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95" windowWidth="14625" windowHeight="11640" tabRatio="964" activeTab="5"/>
  </bookViews>
  <sheets>
    <sheet name="naslovnica" sheetId="1" r:id="rId1"/>
    <sheet name="sadrzaj" sheetId="2" r:id="rId2"/>
    <sheet name="uvod" sheetId="3" r:id="rId3"/>
    <sheet name="prihodi-1" sheetId="4" r:id="rId4"/>
    <sheet name="prihodi-2" sheetId="5" r:id="rId5"/>
    <sheet name="prihodi-3" sheetId="6" r:id="rId6"/>
    <sheet name="prihodi-4" sheetId="7" r:id="rId7"/>
    <sheet name="prihodi-5" sheetId="8" r:id="rId8"/>
    <sheet name="rashodi-1" sheetId="9" r:id="rId9"/>
    <sheet name="rashodi-2" sheetId="10" r:id="rId10"/>
    <sheet name="1" sheetId="11" r:id="rId11"/>
    <sheet name="2" sheetId="12" r:id="rId12"/>
    <sheet name="3" sheetId="13" r:id="rId13"/>
    <sheet name="4" sheetId="14" r:id="rId14"/>
    <sheet name="5" sheetId="15" r:id="rId15"/>
    <sheet name="6" sheetId="16" r:id="rId16"/>
    <sheet name="7" sheetId="17" r:id="rId17"/>
    <sheet name="8" sheetId="18" r:id="rId18"/>
    <sheet name="9" sheetId="19" r:id="rId19"/>
    <sheet name="10" sheetId="20" r:id="rId20"/>
    <sheet name="11" sheetId="21" r:id="rId21"/>
    <sheet name="12" sheetId="22" r:id="rId22"/>
    <sheet name="13" sheetId="23" r:id="rId23"/>
    <sheet name="14" sheetId="24" r:id="rId24"/>
    <sheet name="15" sheetId="25" r:id="rId25"/>
    <sheet name="16" sheetId="26" r:id="rId26"/>
    <sheet name="17" sheetId="27" r:id="rId27"/>
    <sheet name="18" sheetId="28" r:id="rId28"/>
    <sheet name="19" sheetId="29" r:id="rId29"/>
    <sheet name="20" sheetId="30" r:id="rId30"/>
    <sheet name="21" sheetId="31" r:id="rId31"/>
    <sheet name="22" sheetId="32" r:id="rId32"/>
    <sheet name="23" sheetId="33" r:id="rId33"/>
    <sheet name="24" sheetId="34" r:id="rId34"/>
    <sheet name="25" sheetId="35" r:id="rId35"/>
    <sheet name="26" sheetId="36" r:id="rId36"/>
    <sheet name="27" sheetId="37" r:id="rId37"/>
    <sheet name="28" sheetId="38" r:id="rId38"/>
    <sheet name="29" sheetId="39" r:id="rId39"/>
    <sheet name="30" sheetId="40" r:id="rId40"/>
    <sheet name="31" sheetId="41" r:id="rId41"/>
    <sheet name="32" sheetId="42" r:id="rId42"/>
    <sheet name="33" sheetId="43" r:id="rId43"/>
    <sheet name="34" sheetId="44" r:id="rId44"/>
    <sheet name="35" sheetId="45" r:id="rId45"/>
    <sheet name="36" sheetId="46" r:id="rId46"/>
    <sheet name="37" sheetId="47" r:id="rId47"/>
    <sheet name="sumarno" sheetId="48" r:id="rId48"/>
    <sheet name="funkcijska1" sheetId="49" r:id="rId49"/>
    <sheet name="funkcijska2" sheetId="50" r:id="rId50"/>
    <sheet name="kap.pror." sheetId="51" r:id="rId51"/>
    <sheet name="kraj" sheetId="52" r:id="rId52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24">'15'!$B$1:$I$44</definedName>
    <definedName name="_xlnm.Print_Area" localSheetId="25">'16'!$A$1:$I$58</definedName>
    <definedName name="_xlnm.Print_Area" localSheetId="26">'17'!$A$1:$I$52</definedName>
    <definedName name="_xlnm.Print_Area" localSheetId="30">'21'!$A$1:$I$45</definedName>
    <definedName name="_xlnm.Print_Area" localSheetId="49">'funkcijska2'!$A$1:$F$34</definedName>
    <definedName name="_xlnm.Print_Area" localSheetId="3">'prihodi-1'!$A$1:$F$51</definedName>
    <definedName name="_xlnm.Print_Area" localSheetId="4">'prihodi-2'!$A$1:$F$47</definedName>
    <definedName name="_xlnm.Print_Area" localSheetId="5">'prihodi-3'!$A$1:$F$44</definedName>
    <definedName name="_xlnm.Print_Area" localSheetId="6">'prihodi-4'!$A$1:$F$44</definedName>
    <definedName name="_xlnm.Print_Area" localSheetId="7">'prihodi-5'!$A$1:$F$37</definedName>
    <definedName name="_xlnm.Print_Area" localSheetId="8">'rashodi-1'!$A$1:$G$59</definedName>
    <definedName name="_xlnm.Print_Area" localSheetId="9">'rashodi-2'!$A$1:$G$57</definedName>
    <definedName name="_xlnm.Print_Area" localSheetId="1">'sadrzaj'!$A$1:$J$48</definedName>
    <definedName name="_xlnm.Print_Area" localSheetId="2">'uvod'!$A$1:$D$52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fullCalcOnLoad="1"/>
</workbook>
</file>

<file path=xl/sharedStrings.xml><?xml version="1.0" encoding="utf-8"?>
<sst xmlns="http://schemas.openxmlformats.org/spreadsheetml/2006/main" count="2203" uniqueCount="779">
  <si>
    <r>
      <t xml:space="preserve">      19010001 Ministarstvo poljopr., vodoprivrede i šumarstva 
      </t>
    </r>
    <r>
      <rPr>
        <b/>
        <sz val="10"/>
        <color indexed="8"/>
        <rFont val="Calibri"/>
        <family val="2"/>
      </rPr>
      <t>(razgraničenja)</t>
    </r>
  </si>
  <si>
    <r>
      <t xml:space="preserve">      99999999 Riznica </t>
    </r>
    <r>
      <rPr>
        <b/>
        <sz val="10"/>
        <color indexed="8"/>
        <rFont val="Calibri"/>
        <family val="2"/>
      </rPr>
      <t>(razgraničenja)</t>
    </r>
  </si>
  <si>
    <r>
      <t xml:space="preserve">      23010001 Uprava za civilnu zaštitu </t>
    </r>
    <r>
      <rPr>
        <b/>
        <sz val="10"/>
        <color indexed="8"/>
        <rFont val="Calibri"/>
        <family val="2"/>
      </rPr>
      <t>(razgraničenja)</t>
    </r>
  </si>
  <si>
    <r>
      <t xml:space="preserve">      20030007 Osnovna škola Braće Radića Domaljevac
      </t>
    </r>
    <r>
      <rPr>
        <b/>
        <sz val="10"/>
        <color indexed="8"/>
        <rFont val="Calibri"/>
        <family val="2"/>
      </rPr>
      <t>(razgraničenja)</t>
    </r>
  </si>
  <si>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</si>
  <si>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</si>
  <si>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</si>
  <si>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</si>
  <si>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</si>
  <si>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</si>
  <si>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</si>
  <si>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</si>
  <si>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</si>
  <si>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</si>
  <si>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</si>
  <si>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</si>
  <si>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</si>
  <si>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</si>
  <si>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</si>
  <si>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</si>
  <si>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</si>
  <si>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</si>
  <si>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</si>
  <si>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</si>
  <si>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</si>
  <si>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</si>
  <si>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</si>
  <si>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</si>
  <si>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</si>
  <si>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</si>
  <si>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</si>
  <si>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</si>
  <si>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</si>
  <si>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</si>
  <si>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</si>
  <si>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</si>
  <si>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</si>
  <si>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</si>
  <si>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</si>
  <si>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</si>
  <si>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</si>
  <si>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</si>
  <si>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</si>
  <si>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</si>
  <si>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</si>
  <si>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</si>
  <si>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</si>
  <si>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</si>
  <si>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</si>
  <si>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</si>
  <si>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</si>
  <si>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</si>
  <si>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</si>
  <si>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</si>
  <si>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</si>
  <si>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</si>
  <si>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</si>
  <si>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</si>
  <si>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</si>
  <si>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</si>
  <si>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</si>
  <si>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</si>
  <si>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</si>
  <si>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</si>
  <si>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</si>
  <si>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</si>
  <si>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</si>
  <si>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</si>
  <si>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</si>
  <si>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</si>
  <si>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</si>
  <si>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 xml:space="preserve">Usluge prouvpožarne zaštite </t>
  </si>
  <si>
    <t>Promet</t>
  </si>
  <si>
    <t>Zaštita raznovrsnosti flore i faune i zaštita okoliša</t>
  </si>
  <si>
    <t>Vodoopskrba</t>
  </si>
  <si>
    <t>Izvanbolničke usluge</t>
  </si>
  <si>
    <t>Usluge športa i rekreacije</t>
  </si>
  <si>
    <t xml:space="preserve">Usluge emitiranja i izdavaštva </t>
  </si>
  <si>
    <t>Obrazovanje koje nije definirano razinom</t>
  </si>
  <si>
    <t>Obitelj i djeca</t>
  </si>
  <si>
    <t>Neuposlenost</t>
  </si>
  <si>
    <t>FUNKCIJSKA KLASIFIKACIJA RASHODA I IZDATAKA PRORAČUNA ŽUPANIJE POSAVSKE ZA 2016.GODINU</t>
  </si>
  <si>
    <t>Funkcijska klasifikacija rashoda i izdataka Proračuna Županije Posavske za 2016. godinu</t>
  </si>
  <si>
    <t>I - PRIHODI, PRIMICI I FINANCIRANJE</t>
  </si>
  <si>
    <t xml:space="preserve">II - RASHODI I IZDACI  </t>
  </si>
  <si>
    <t>Ministarstvo
(razdjel)</t>
  </si>
  <si>
    <t>Proračunska
institucija</t>
  </si>
  <si>
    <t>Ekonomski 
kod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</si>
  <si>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</si>
  <si>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</si>
  <si>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</si>
  <si>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</si>
  <si>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</si>
  <si>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</si>
  <si>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</si>
  <si>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</si>
  <si>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</si>
  <si>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</si>
  <si>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</si>
  <si>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</si>
  <si>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</si>
  <si>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</si>
  <si>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</si>
  <si>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</si>
  <si>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</si>
  <si>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</si>
  <si>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</si>
  <si>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</si>
  <si>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</si>
  <si>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</si>
  <si>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</si>
  <si>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</si>
  <si>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</si>
  <si>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 xml:space="preserve"> Grantovi za zdravstvene i socijalne potrebe</t>
  </si>
  <si>
    <t>614200</t>
  </si>
  <si>
    <t>614300</t>
  </si>
  <si>
    <t>614100</t>
  </si>
  <si>
    <t xml:space="preserve"> Grantovi neprofitnim org. i udruženjima građana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</si>
  <si>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</si>
  <si>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</si>
  <si>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</si>
  <si>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</si>
  <si>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</si>
  <si>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razvoj poduzetništva i obrta</t>
  </si>
  <si>
    <t xml:space="preserve"> Grantovi za branitelje i stradalnike dom. rata</t>
  </si>
  <si>
    <t xml:space="preserve"> Grant za zaštitu od prirodnih i drugih nesreća</t>
  </si>
  <si>
    <t>SKUPŠTINA ŽUPANIJE POSAVSKE</t>
  </si>
  <si>
    <t>STRUČNA SLUŽBA SKUPŠTINE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</si>
  <si>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</si>
  <si>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</si>
  <si>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</si>
  <si>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</si>
  <si>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</si>
  <si>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</si>
  <si>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</si>
  <si>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</si>
  <si>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</si>
  <si>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</si>
  <si>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</si>
  <si>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</si>
  <si>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</si>
  <si>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</si>
  <si>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</si>
  <si>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</si>
  <si>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</si>
  <si>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</si>
  <si>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</si>
  <si>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</si>
  <si>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</si>
  <si>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</si>
  <si>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</si>
  <si>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</si>
  <si>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</si>
  <si>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</si>
  <si>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</si>
  <si>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</si>
  <si>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</si>
  <si>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</si>
  <si>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</si>
  <si>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</si>
  <si>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</si>
  <si>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</si>
  <si>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</si>
  <si>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</si>
  <si>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</si>
  <si>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</si>
  <si>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</si>
  <si>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</si>
  <si>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</si>
  <si>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</si>
  <si>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 xml:space="preserve"> UKUPNI IZDACI 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</si>
  <si>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</si>
  <si>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</si>
  <si>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</si>
  <si>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</si>
  <si>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</si>
  <si>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</si>
  <si>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</si>
  <si>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</si>
  <si>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</si>
  <si>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</si>
  <si>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</si>
  <si>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</si>
  <si>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</si>
  <si>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</si>
  <si>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</si>
  <si>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</si>
  <si>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</si>
  <si>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</si>
  <si>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</si>
  <si>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</si>
  <si>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</si>
  <si>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 xml:space="preserve"> Podrška trezoru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</si>
  <si>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</si>
  <si>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</si>
  <si>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</si>
  <si>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</si>
  <si>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</si>
  <si>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</si>
  <si>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</si>
  <si>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</si>
  <si>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</si>
  <si>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</si>
  <si>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</si>
  <si>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</si>
  <si>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</si>
  <si>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</si>
  <si>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 xml:space="preserve"> MINISTARSTVO PRAVOSUĐA I UPRAVE - OPĆINSKI SUD ORAŠJE</t>
  </si>
  <si>
    <t>MINISTARSTVO PRAVOSUĐA I UPRAVE - ZAVOD ZA PRUŽANJE PRAVNE POMOĆI</t>
  </si>
  <si>
    <t>06</t>
  </si>
  <si>
    <t>I  OPĆI DIO</t>
  </si>
  <si>
    <t>Članak 1.</t>
  </si>
  <si>
    <t xml:space="preserve">Bosna i Hercegovina </t>
  </si>
  <si>
    <t xml:space="preserve">FEDERACIJA BOSNE I HERCEGOVINE </t>
  </si>
  <si>
    <t>ŽUPANIJA POSAVSKA</t>
  </si>
  <si>
    <t xml:space="preserve">Skupština </t>
  </si>
  <si>
    <t xml:space="preserve">Broj: </t>
  </si>
  <si>
    <t xml:space="preserve">Domaljevac, 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</si>
  <si>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</si>
  <si>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</si>
  <si>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</si>
  <si>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</si>
  <si>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</si>
  <si>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</si>
  <si>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</si>
  <si>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</si>
  <si>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</si>
  <si>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</si>
  <si>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 xml:space="preserve"> Agencija za državnu službu</t>
  </si>
  <si>
    <t>615100</t>
  </si>
  <si>
    <t xml:space="preserve"> Kapitalni grantovi za zdravstvo</t>
  </si>
  <si>
    <t>1.Prihodi od poduzetničkih aktivnosti i imovine i prihodi od pozitivnih tečajnih razlika</t>
  </si>
  <si>
    <t>Ekonom. 
kod</t>
  </si>
  <si>
    <t xml:space="preserve"> Kamate na domaće pozajmljivanje-Koreja</t>
  </si>
  <si>
    <t>Izdaci za otplate dugova</t>
  </si>
  <si>
    <t xml:space="preserve"> Kamate na domaće pozajmljivanje-OPEC</t>
  </si>
  <si>
    <t xml:space="preserve"> Transfer za zdravstvene institucije i centre za soc.rad</t>
  </si>
  <si>
    <t xml:space="preserve"> Otplate domaćeg pozajmljivanja - OPEC</t>
  </si>
  <si>
    <t xml:space="preserve"> Kamate na domaće pozajmljivanje-Austrija</t>
  </si>
  <si>
    <t>Članak 2.</t>
  </si>
  <si>
    <t>II POSEBAN DIO</t>
  </si>
  <si>
    <t>Članak 3.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</si>
  <si>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</si>
  <si>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</si>
  <si>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</si>
  <si>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</si>
  <si>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Grantovi za financiranje višeg i visokog obrazovanja i Zavoda za
 školstvo</t>
  </si>
  <si>
    <t xml:space="preserve"> Grant za Crveni križ Županije Posavske</t>
  </si>
  <si>
    <t>ŽUPANIJSKO PRAVOBRANITELJSTVO</t>
  </si>
  <si>
    <t xml:space="preserve"> Grant za Gospodarsku komoru ŽP</t>
  </si>
  <si>
    <t>Bosna i Hercegovina
Federacija Bosne i Hercegovine
Županija Posavska
V L A D A</t>
  </si>
  <si>
    <t>Bosnia and Herzegovina
Federation of Bosnia and Herzegovina
Posavina County
G O V E R N M E N T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</si>
  <si>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</si>
  <si>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</si>
  <si>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</si>
  <si>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</si>
  <si>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</si>
  <si>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</si>
  <si>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</si>
  <si>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</si>
  <si>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</si>
  <si>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</si>
  <si>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Ured za raseljene</t>
  </si>
  <si>
    <t>Ured za zakonodavstvo</t>
  </si>
  <si>
    <t>Stručna služba Skupštine Županije Posavske</t>
  </si>
  <si>
    <t>Služba za odnose s javnošću</t>
  </si>
  <si>
    <t>Zajednička služba Vlade</t>
  </si>
  <si>
    <t>Ministarstvo unutarnjih poslova Županije Posavske</t>
  </si>
  <si>
    <t>Ministarstvo pravosuđa i uprave</t>
  </si>
  <si>
    <t>Ministarstvo pravosuđa i uprave - Općinski sud Orašje</t>
  </si>
  <si>
    <t>Ministarstvo pravosuđa i uprave - Općinsko pravobraniteljstvo Orašje</t>
  </si>
  <si>
    <t>Ministarstvo pravosuđa i uprave - Općinsko pravobraniteljstvo Odžak</t>
  </si>
  <si>
    <t>Ministarstvo pravosuđa i uprave - Zavod za pružanje pravne pomoći</t>
  </si>
  <si>
    <t>Ministarstvo gospodarstva i prostornog uređenja</t>
  </si>
  <si>
    <t>Ministarstvo financija</t>
  </si>
  <si>
    <t>Ministarstvo zdravstva, rada i socijalne politike</t>
  </si>
  <si>
    <t>Ministarstvo prometa, veza, turizma i zaštite okoliša</t>
  </si>
  <si>
    <t>Ministarstvo poljoprivrede, vodoprivrede i šumarstva</t>
  </si>
  <si>
    <t>Ministarstvo prosvjete, znanosti, kulture i športa</t>
  </si>
  <si>
    <t>Stranica</t>
  </si>
  <si>
    <t>Ministarstvo prosvjete - Srednja škola Pere Zečevića Odžak</t>
  </si>
  <si>
    <t>Ministarstvo prosvjete - Osnovna škola Orašje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</si>
  <si>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</si>
  <si>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</si>
  <si>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</si>
  <si>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</si>
  <si>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A.G.Matoša Vidovice</t>
  </si>
  <si>
    <t>Ministarstvo prosvjete - Osnovna škola Braće Radića Domaljevac</t>
  </si>
  <si>
    <t>Ministarstvo branitelja</t>
  </si>
  <si>
    <t>Agencija za privatizaciju</t>
  </si>
  <si>
    <t>Uprava za civilnu zaštitu Županije Posavske</t>
  </si>
  <si>
    <t>Kantonalni sud Odžak</t>
  </si>
  <si>
    <t>Županijsko pravobraniteljstvo</t>
  </si>
  <si>
    <t>Kantonalno tužiteljstvo</t>
  </si>
  <si>
    <t>Županijska uprava za inspekcijske poslove</t>
  </si>
  <si>
    <t>Završne odredbe</t>
  </si>
  <si>
    <t>RB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</si>
  <si>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</si>
  <si>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</si>
  <si>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</si>
  <si>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</si>
  <si>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</si>
  <si>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</si>
  <si>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</si>
  <si>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</si>
  <si>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</si>
  <si>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</si>
  <si>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</si>
  <si>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</si>
  <si>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</si>
  <si>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</si>
  <si>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</si>
  <si>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</si>
  <si>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</si>
  <si>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</si>
  <si>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</si>
  <si>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</si>
  <si>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</si>
  <si>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</si>
  <si>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</si>
  <si>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</si>
  <si>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</si>
  <si>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</si>
  <si>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</si>
  <si>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</si>
  <si>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</si>
  <si>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</si>
  <si>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</si>
  <si>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</si>
  <si>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</si>
  <si>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</si>
  <si>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</si>
  <si>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</si>
  <si>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O P I S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</si>
  <si>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</si>
  <si>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</si>
  <si>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</si>
  <si>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41.</t>
  </si>
  <si>
    <t>Ministarstvo prosvjete - Školski centar Fra Martina Nedića Orašje</t>
  </si>
  <si>
    <t>Ministarstvo prosvjete - Srednja strukovna škola Orašje</t>
  </si>
  <si>
    <t>Otplate domaćeg pozajmljivanja-MMF</t>
  </si>
  <si>
    <t>Otplate domaćeg pozajmljivanja-Koreja</t>
  </si>
  <si>
    <t xml:space="preserve"> Otplate domaćeg pozajmljivanja - Koreja</t>
  </si>
  <si>
    <t>INDEKS
4/3</t>
  </si>
  <si>
    <t xml:space="preserve"> Grant za sufinanciranje osn.i srednjeg obrazovanja
 djece s posebnim potrebama</t>
  </si>
  <si>
    <t xml:space="preserve"> Grant za sufinanciranje osn.i srednjeg obrazovanja djece s 
 posebnim potrebama</t>
  </si>
  <si>
    <t xml:space="preserve"> Grant za Udrugu roditelja djece s posebnim potrebama Orašje</t>
  </si>
  <si>
    <t xml:space="preserve"> Grant za Udr.roditelja djece s pos.potrebama Orašje</t>
  </si>
  <si>
    <t xml:space="preserve"> Otplate domaćeg pozajmljivanja - MMF</t>
  </si>
  <si>
    <t xml:space="preserve"> Kamate na domaće pozajmljivanje-MMF</t>
  </si>
  <si>
    <t xml:space="preserve"> Grant za sanaciju šteta uzrokovanih poplavom</t>
  </si>
  <si>
    <t xml:space="preserve"> Grant za Sveučilište u Mostaru</t>
  </si>
  <si>
    <t xml:space="preserve"> Grant za sufinanciranje nabavke udžbenika 
 učenicima</t>
  </si>
  <si>
    <t xml:space="preserve"> Grantovi nižim razinama vlasti</t>
  </si>
  <si>
    <t xml:space="preserve"> Grant za sufinanciranje nabavke udžbenika učenicima </t>
  </si>
  <si>
    <t>61 (70)</t>
  </si>
  <si>
    <t>Članak 4.</t>
  </si>
  <si>
    <t>Ured za gospodarski razvoj Županije Posavske</t>
  </si>
  <si>
    <t>42.</t>
  </si>
  <si>
    <t>URED ZA GOSPODARSKI RAZVOJ ŽUPANIJE POSAVSKE</t>
  </si>
  <si>
    <t>PRORAČUN za
2015.</t>
  </si>
  <si>
    <t>PRORAČUN za 2015.</t>
  </si>
  <si>
    <t>Članak 5.</t>
  </si>
  <si>
    <t>Predsjednik</t>
  </si>
  <si>
    <t>Joso Marković</t>
  </si>
  <si>
    <t xml:space="preserve"> Grantovi nižim razinama vlast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</si>
  <si>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</si>
  <si>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</si>
  <si>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</si>
  <si>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</si>
  <si>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</si>
  <si>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</si>
  <si>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</si>
  <si>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</si>
  <si>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</si>
  <si>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</si>
  <si>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</si>
  <si>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</si>
  <si>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</si>
  <si>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</si>
  <si>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</si>
  <si>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</si>
  <si>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</si>
  <si>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</si>
  <si>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</si>
  <si>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</si>
  <si>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</si>
  <si>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</si>
  <si>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</si>
  <si>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</si>
  <si>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</si>
  <si>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</si>
  <si>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</si>
  <si>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</si>
  <si>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</si>
  <si>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</si>
  <si>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</si>
  <si>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</si>
  <si>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</si>
  <si>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</si>
  <si>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</si>
  <si>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</si>
  <si>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</si>
  <si>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</si>
  <si>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</si>
  <si>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</si>
  <si>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Prihodi od iznajmljivanja zemljišta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</si>
  <si>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</si>
  <si>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</si>
  <si>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</si>
  <si>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Državi</t>
  </si>
  <si>
    <t xml:space="preserve">   Kamate primljene od pozajmica Federaciji</t>
  </si>
  <si>
    <t xml:space="preserve">   Prihodi od pozitivnih tečajnih razlika</t>
  </si>
  <si>
    <t xml:space="preserve">   Prihodi od privatizacije</t>
  </si>
  <si>
    <t xml:space="preserve">   Prihodi od privatizacije poduzeća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</si>
  <si>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</si>
  <si>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</si>
  <si>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</si>
  <si>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</si>
  <si>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</si>
  <si>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</si>
  <si>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</si>
  <si>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</si>
  <si>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</si>
  <si>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</si>
  <si>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</si>
  <si>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</si>
  <si>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</si>
  <si>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Naknade i pristojbe po Federalnim zakonima i drugim    
  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</si>
  <si>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</si>
  <si>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</si>
  <si>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</si>
  <si>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</si>
  <si>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</si>
  <si>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</si>
  <si>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</si>
  <si>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</si>
  <si>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</si>
  <si>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</si>
  <si>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</si>
  <si>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</si>
  <si>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</si>
  <si>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</si>
  <si>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</si>
  <si>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</si>
  <si>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</si>
  <si>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</si>
  <si>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Posebna vodna naknada za korištenje površ.i podzem.voda za
   flaš.vode i min.vode za uzgoj ribe u ribnj.za navod.i dr.namj.</t>
  </si>
  <si>
    <t xml:space="preserve">   Posebna vodna naknada za korištenje površinskih i podzemnih 
   voda za industrijske procese, uključujući i termoelektrane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</si>
  <si>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</si>
  <si>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</si>
  <si>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</si>
  <si>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Posebna naknada za zaštitu od prirodnih i drugih nesreća gdje 
   je osnovica sumarni iznos neto plaće za isplatu</t>
  </si>
  <si>
    <t xml:space="preserve">   Posebna naknada za zaštitu od prirodnih i drugih nesreća gdje 
   je osnovica sumarni iznos neto prim.po osnovi dr.samostalne 
   djelatnosti i povremenog samostalnog rada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</si>
  <si>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</si>
  <si>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</si>
  <si>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</si>
  <si>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</si>
  <si>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</si>
  <si>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</si>
  <si>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</si>
  <si>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</si>
  <si>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</si>
  <si>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</si>
  <si>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</si>
  <si>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</si>
  <si>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</si>
  <si>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</si>
  <si>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</si>
  <si>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</si>
  <si>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</si>
  <si>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</si>
  <si>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</si>
  <si>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</si>
  <si>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</si>
  <si>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</si>
  <si>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</si>
  <si>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</si>
  <si>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</si>
  <si>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</si>
  <si>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Ostali kapitalni primici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</si>
  <si>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</si>
  <si>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</si>
  <si>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</si>
  <si>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</si>
  <si>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</si>
  <si>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>PRORAČUN za 
2015.godinu</t>
  </si>
  <si>
    <t>INDEKS
(3/2)</t>
  </si>
  <si>
    <t>UKUPNO PRIHODI, PRIMICI I FINANCIRANJE</t>
  </si>
  <si>
    <t xml:space="preserve">       1.1.1.  Porezi na dobit pojedinaca i poduzeća</t>
  </si>
  <si>
    <t xml:space="preserve">       1.1.2.  Porez na plaću i radnu snagu (zaost.obveze)</t>
  </si>
  <si>
    <t xml:space="preserve">       1.1.3.  Porez na imovinu</t>
  </si>
  <si>
    <t xml:space="preserve">       1.1.4.  Domaći porezi na dobra i usluge (zaost.uplate)</t>
  </si>
  <si>
    <t xml:space="preserve">       1.1.5.  Porez na dohodak</t>
  </si>
  <si>
    <t xml:space="preserve">       1.1.6.  Prihodi od neizravnih poreza</t>
  </si>
  <si>
    <t xml:space="preserve">       1.1.7.  Ostali porezi</t>
  </si>
  <si>
    <t>1.2.  NEPOREZNI PRIHODI</t>
  </si>
  <si>
    <t>2.1.  RASHODI</t>
  </si>
  <si>
    <t>2.2.  IZDACI</t>
  </si>
  <si>
    <t xml:space="preserve">       2.2.2.  Izdaci za kamate</t>
  </si>
  <si>
    <t>4. PRIMICI OD PRODAJE NEFINANCIJSKE IMOVINE</t>
  </si>
  <si>
    <t>5. IZDACI ZA NABAVKU NEFINANCIJSKE IMOVINE</t>
  </si>
  <si>
    <t>3. TEKUĆA BILANCA (1-2)</t>
  </si>
  <si>
    <t>6. NETO NABAVKA NEFINANCIJSKE IMOVINE (4-5)</t>
  </si>
  <si>
    <t>1.1.  PRIHODI OD POREZA (1.1.1.+...+1.1.7.)</t>
  </si>
  <si>
    <t>2. RASHODI I IZDACI (2.1.+2.2.)</t>
  </si>
  <si>
    <t>8. PRIMICI OD FINANCIJSKE IMOVINE I ZADUŽIVANJA</t>
  </si>
  <si>
    <t>9. IZDACI ZA NABAVKU FINANCIJSKE IMOVINE I 
    OTPLATE DUGOVA</t>
  </si>
  <si>
    <t>1.5.  PRIHODI PO OSNOVI ZAOSTALIH OBVEZA</t>
  </si>
  <si>
    <t>1. PRORAČUNSKI PRIHODI (1.1.+1.2.+1.3.+1.4.+1.5.)</t>
  </si>
  <si>
    <t xml:space="preserve">       9.1.  Izdaci za otplate dugova</t>
  </si>
  <si>
    <t>10. NETO FINANCIRANJE (8-9)</t>
  </si>
  <si>
    <t>11. UKUPAN FINANCIJSKI REZULTAT (7+10)</t>
  </si>
  <si>
    <t>12. POKRIĆE OSTVARENOG DEFICITA (12=11)</t>
  </si>
  <si>
    <t>UKUPNO RASHODI, IZDACI I POKRIĆE DEFICITA</t>
  </si>
  <si>
    <t xml:space="preserve">      17010001 Ministarstvo zdravstva, rada i socijalne politike - 
      Civilne žrtve rata</t>
  </si>
  <si>
    <t xml:space="preserve">      99999999 Riznica ŽP - Proračunska potpora</t>
  </si>
  <si>
    <t xml:space="preserve">      20010001 Ministarstvo prosvjete, znanosti, kulture i športa - 
      Nabavka udžbenika</t>
  </si>
  <si>
    <r>
      <t xml:space="preserve">      18010001 Ministarstvo prometa, veza, turizma i zašt.okoliša
      </t>
    </r>
    <r>
      <rPr>
        <sz val="10"/>
        <color indexed="8"/>
        <rFont val="Calibri"/>
        <family val="2"/>
      </rPr>
      <t>- GSM licence</t>
    </r>
  </si>
  <si>
    <t xml:space="preserve">      20030002 Osnovna škola Vladimira Nazora Odžak</t>
  </si>
  <si>
    <t xml:space="preserve">      20020002 Srednja škola Pere Zečevića Odžak</t>
  </si>
  <si>
    <t xml:space="preserve">      20020004 Srednja strukovna škola Orašje</t>
  </si>
  <si>
    <t>7. UKUPAN SUFICIT/DEFICIT (3+6)</t>
  </si>
  <si>
    <t xml:space="preserve">      99999999 Riznica ŽP - Sanacija šteta od poplava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</si>
  <si>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</si>
  <si>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</si>
  <si>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</si>
  <si>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     20030003 Osnovna škola Ruđera Boškovića Donja Mahala</t>
  </si>
  <si>
    <t xml:space="preserve">      20001001 Ministarstvo prosvjete, znanosti, kulture i športa - 
      škole (projekti)</t>
  </si>
  <si>
    <t xml:space="preserve">      99999999 Riznica</t>
  </si>
  <si>
    <t>INDEKS 4/3</t>
  </si>
  <si>
    <t>INDEKS 7/6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</si>
  <si>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</si>
  <si>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</si>
  <si>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</si>
  <si>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</si>
  <si>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60 (61)</t>
  </si>
  <si>
    <t>61 (62)</t>
  </si>
  <si>
    <t>23 (24)</t>
  </si>
  <si>
    <t xml:space="preserve">      13010001 Ministarstvo unutarnjih poslova</t>
  </si>
  <si>
    <t>Ministarstvo unutarnjih poslova</t>
  </si>
  <si>
    <t>Proračunski
korisnik</t>
  </si>
  <si>
    <t>Stručna služba Skupštine</t>
  </si>
  <si>
    <t>Ministarstvo prosvjete, znanosti, kulture i športa - Srednja škola Pere Zečevića Odžak</t>
  </si>
  <si>
    <t>Ministarstvo prosvjete, znanosti, kulture i športa - Školski centar fra Martina Nedića Orašje</t>
  </si>
  <si>
    <t>Ministarstvo prosvjete, znanosti, kulture i športa - Srednja strukovna škola Orašje</t>
  </si>
  <si>
    <t>Ministarstvo prosvjete, znanosti, kulture i športa - Osnovna škola Orašje</t>
  </si>
  <si>
    <t>Ministarstvo prosvjete, znanosti, kulture i športa - Osnovna škola Vladimira Nazora Odžak</t>
  </si>
  <si>
    <t>Ministarstvo prosvjete, znanosti, kulture i športa - Osnovna škola Ruđera Boškovića Donja Mahala</t>
  </si>
  <si>
    <t>Ministarstvo prosvjete, znanosti, kulture i športa - Osnovna škola fra Ilije Starčevića Tolisa</t>
  </si>
  <si>
    <t>Ministarstvo prosvjete, znanosti, kulture i športa - Osnovna škola Stjepana Radića Oštra Luka-Bok</t>
  </si>
  <si>
    <t>Ministarstvo prosvjete, znanosti, kulture i športa - Osnovna škola A.G.Matoša Vidovice</t>
  </si>
  <si>
    <t>Ministarstvo prosvjete, znanosti, kulture i športa - Osnovna škola Braće Radića Domaljevac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</si>
  <si>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</si>
  <si>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</si>
  <si>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</si>
  <si>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</si>
  <si>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</si>
  <si>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</si>
  <si>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</si>
  <si>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</si>
  <si>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</si>
  <si>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</si>
  <si>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</si>
  <si>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</si>
  <si>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</si>
  <si>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43.</t>
  </si>
  <si>
    <t>44.</t>
  </si>
  <si>
    <t>Proračun</t>
  </si>
  <si>
    <t>Donacije</t>
  </si>
  <si>
    <t>Grantovi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</si>
  <si>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</si>
  <si>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</si>
  <si>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</si>
  <si>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</si>
  <si>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inozemnih vlada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</si>
  <si>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</si>
  <si>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</si>
  <si>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</si>
  <si>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</si>
  <si>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</si>
  <si>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 xml:space="preserve">   Primljeni namjenski grantovi od drugih razina vlasti</t>
  </si>
  <si>
    <t xml:space="preserve">   Primljeni namjenski grantovi za kulturu</t>
  </si>
  <si>
    <t xml:space="preserve">   Primljeni namjenski grantovi za šport</t>
  </si>
  <si>
    <t xml:space="preserve">   Primljeni namjenski grantovi za šumarstvo</t>
  </si>
  <si>
    <t xml:space="preserve">   Primljeni namjenski grantovi za izbore</t>
  </si>
  <si>
    <t xml:space="preserve">   Primljeni namjenski grantovi za obrazovanje</t>
  </si>
  <si>
    <t xml:space="preserve">   Primljeni namjenski grantovi za razvoj turizma u FBiH</t>
  </si>
  <si>
    <t xml:space="preserve">   Primljeni namjenski grantovi iz sredstava za zaštitu okoliša</t>
  </si>
  <si>
    <t xml:space="preserve">   Grantovi od izvanproračunskih fondova</t>
  </si>
  <si>
    <t xml:space="preserve">   Grant od Federalnog zavoda za zapošljavanje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</si>
  <si>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</si>
  <si>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</si>
  <si>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</si>
  <si>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</si>
  <si>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 xml:space="preserve">   Primljeni kapitalni grantovi od međunarodnih organizacija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</si>
  <si>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</si>
  <si>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</si>
  <si>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</si>
  <si>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 xml:space="preserve">   Primljeni kapitalni grantovi od županija</t>
  </si>
  <si>
    <t>UKUPNO PRIHODI, TEKUĆI I KAPITALNI GRANTOVI I PRIMICI:</t>
  </si>
  <si>
    <r>
      <t xml:space="preserve">Minist.prosv., znanosti, kulture i športa - Osnovna škola fra Ilije Starčevića Tolisa </t>
    </r>
    <r>
      <rPr>
        <b/>
        <sz val="10"/>
        <rFont val="Arial"/>
        <family val="2"/>
      </rPr>
      <t>(razgraničenja)</t>
    </r>
  </si>
  <si>
    <t xml:space="preserve">       2.2.1.  Kapitalni izdaci i grantovi</t>
  </si>
  <si>
    <t>Rashodi i izdaci</t>
  </si>
  <si>
    <t>Pokriće deficita</t>
  </si>
  <si>
    <t>III TEKUĆI GRANTOVI (GRANTOVI I DONACIJE)</t>
  </si>
  <si>
    <t>1.3.  TEKUĆI GRANTOVI (GRANTOVI I DONACIJE)</t>
  </si>
  <si>
    <t>1.4.  KAPITALNI GRANTOVI</t>
  </si>
  <si>
    <t xml:space="preserve"> Ugovorene i druge posebne usluge-Prostorni plan</t>
  </si>
  <si>
    <t xml:space="preserve">      99999999 Riznica - HO Crveni polumjesec Kuvajt</t>
  </si>
  <si>
    <t xml:space="preserve">      15010001 Ministarstvo gospodarstva i prostornog uređenja - 
      Prostorni plan Županije Posavske</t>
  </si>
  <si>
    <t>47 (59)</t>
  </si>
  <si>
    <t>37 (38)</t>
  </si>
  <si>
    <t>47 (47)</t>
  </si>
  <si>
    <t>45 (45)</t>
  </si>
  <si>
    <t>110 (116)</t>
  </si>
  <si>
    <t>984 (1015)</t>
  </si>
  <si>
    <t>PRORAČUN ŽUPANIJE POSAVSKE ZA 2016. GODINU (po korisnicima i ekonomskim klasifikacijama izdataka)</t>
  </si>
  <si>
    <t>IZDACI ZA NABAVKU STALNIH SREDSTAVA ŽUPANIJE POSAVSKE ZA 2016. GODINU (po proračunskim korisnicima i izvorima financiranja)</t>
  </si>
  <si>
    <t xml:space="preserve">     Ovaj Proračun stupa na snagu narednog dana od dana objave u "Narodnim novinama Županije Posavske", a primjenjivat će se za fiskalnu 2016. godinu.</t>
  </si>
  <si>
    <r>
      <t>PRORAČUN 
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2016. godinu</t>
    </r>
  </si>
  <si>
    <t>Proračun ŽP za 2016. godinu (po korisnicima i ekonom.klasifikacijama izdataka)</t>
  </si>
  <si>
    <t>Izdaci za nabavku stalnih sredstava za 2016.g.(po pror.korisn.i izv.financiranja)</t>
  </si>
  <si>
    <t>P R O R A Č U N</t>
  </si>
  <si>
    <t xml:space="preserve"> Županije Posavske za 2016. godinu</t>
  </si>
  <si>
    <t xml:space="preserve">     Proračun Županije Posavske za 2016.godinu sastoji se od:</t>
  </si>
  <si>
    <t>PRORAČUN za 
2016.godinu</t>
  </si>
  <si>
    <t xml:space="preserve">     "Prihodi, primici i financiranje" i "Rashodi i izdaci" po grupama utvrđuju se u Računu prihoda i rashoda za 2016.godinu kako slijedi:</t>
  </si>
  <si>
    <t>PRORAČUN za
2016.</t>
  </si>
  <si>
    <t>PRORAČUN za 2016.</t>
  </si>
  <si>
    <t>45.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</si>
  <si>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</si>
  <si>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</si>
  <si>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</si>
  <si>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</si>
  <si>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</si>
  <si>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</si>
  <si>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</si>
  <si>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</si>
  <si>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</si>
  <si>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</si>
  <si>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</si>
  <si>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</si>
  <si>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</si>
  <si>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</si>
  <si>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</si>
  <si>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</si>
  <si>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</si>
  <si>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</si>
  <si>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</si>
  <si>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</si>
  <si>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</si>
  <si>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Javni red i sigurnost       (18+….+23)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</si>
  <si>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</si>
  <si>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</si>
  <si>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</si>
  <si>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</si>
  <si>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</si>
  <si>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</si>
  <si>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</si>
  <si>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</si>
  <si>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</si>
  <si>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</si>
  <si>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</si>
  <si>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</si>
  <si>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</si>
  <si>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</si>
  <si>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</si>
  <si>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</si>
  <si>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</si>
  <si>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</si>
  <si>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</si>
  <si>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</si>
  <si>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</si>
  <si>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</si>
  <si>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</si>
  <si>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</si>
  <si>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</si>
  <si>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</si>
  <si>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</si>
  <si>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</si>
  <si>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</si>
  <si>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</si>
  <si>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</si>
  <si>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</si>
  <si>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</si>
  <si>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</si>
  <si>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</si>
  <si>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</si>
  <si>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</si>
  <si>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</si>
  <si>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</si>
  <si>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</si>
  <si>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</si>
  <si>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</si>
  <si>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</si>
  <si>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</si>
  <si>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</si>
  <si>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</si>
  <si>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</si>
  <si>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</si>
  <si>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</si>
  <si>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</si>
  <si>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</si>
  <si>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</si>
  <si>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</si>
  <si>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</si>
  <si>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</si>
  <si>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</si>
  <si>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</si>
  <si>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</si>
  <si>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  Porez na ukupan prihod fizičkih osoba</t>
  </si>
  <si>
    <t xml:space="preserve">   Porez na promet proizvoda (niža stopa)</t>
  </si>
  <si>
    <t xml:space="preserve">   Ostali prihodi za korištenje, zaštitu i unapređenje šuma po 
   županijskim propisima</t>
  </si>
  <si>
    <t xml:space="preserve">   Posebna vodna naknada za vađenje materijala iz vodotoka</t>
  </si>
  <si>
    <t xml:space="preserve">   Ostali povrati</t>
  </si>
  <si>
    <t xml:space="preserve">      27010001 Kant.tužiteljstvo - IPA</t>
  </si>
  <si>
    <t xml:space="preserve">      17010001 Ministarstvo zdravstva, rada i socijalne politike - 
      Županijska bolnica Orašje</t>
  </si>
  <si>
    <t xml:space="preserve">      20030001 Osnovna škola Orašje</t>
  </si>
  <si>
    <t xml:space="preserve">      20030004 Osnovna škola fra Ilije Starčevića Tolisa </t>
  </si>
  <si>
    <t xml:space="preserve">      20030004 Osnovna škola fra Ilije Starčevića Tolisa</t>
  </si>
  <si>
    <t xml:space="preserve">      20030006 Osnovna škola A.G.Matoša Vidovice</t>
  </si>
  <si>
    <t xml:space="preserve">      18010001 Ministarstvo prometa, veza, turizma i zašt.okoliša
      - Federalno ministarstvo raseljenih osoba i izbjeglica</t>
  </si>
  <si>
    <t xml:space="preserve">      20030007 Osnovna škola Braće Radića Domaljevac</t>
  </si>
  <si>
    <t xml:space="preserve">      20030006 Osnovna škola A.G.Matoš Vidovice </t>
  </si>
  <si>
    <t xml:space="preserve">      20030005 Osnovna škola Stjepana Radića O.Luka-Bok</t>
  </si>
  <si>
    <t xml:space="preserve"> Grant za Udrugu roditelja djece s posebnim 
 potrebama Angelus Domaljevac</t>
  </si>
  <si>
    <t xml:space="preserve"> Grant za Udrugu roditelja djece s posebnim potrebama 
 Angelus Domaljevac</t>
  </si>
  <si>
    <t>Minist.prosv., znan., kulture i športa - Osnovna škola Braće Radića Domaljevac</t>
  </si>
  <si>
    <t>Minist.prosv., znan., kult.i šp.- Osnovna škola Stjepana Radića Oštra Luka-Bok</t>
  </si>
  <si>
    <t>Minist.prosvj., znanosti, kulture i športa - Osnovna škola A.G.Matoša Vidovice</t>
  </si>
  <si>
    <t xml:space="preserve"> Naknade troškova zaposlenih - volonteri (4) (2)</t>
  </si>
  <si>
    <t xml:space="preserve"> Ugovorene i druge posebne usluge-volonteri (4) (2)</t>
  </si>
  <si>
    <t xml:space="preserve"> Naknade troškova zaposlenih - volonteri (1) (8)</t>
  </si>
  <si>
    <t xml:space="preserve"> Ugovorene i druge posebne usluge-volonteri (1) (8)</t>
  </si>
  <si>
    <t xml:space="preserve"> Naknade troškova zaposlenih - volonteri (4) (0)</t>
  </si>
  <si>
    <t xml:space="preserve"> Ugovorene i druge posebne usluge-volonteri (4) (0)</t>
  </si>
  <si>
    <t xml:space="preserve"> Naknade troškova zaposlenih - volonteri (2) (2)</t>
  </si>
  <si>
    <t xml:space="preserve"> Ugovorene i druge posebne usluge-volonteri (2) (2)</t>
  </si>
  <si>
    <t xml:space="preserve"> Naknade troškova zaposlenih - volonteri (0) (7)</t>
  </si>
  <si>
    <t xml:space="preserve"> Ugovorene i druge posebne usluge-volonteri (0) (7)</t>
  </si>
  <si>
    <t xml:space="preserve"> Naknade troškova zaposlenih - volonteri (0) (1)</t>
  </si>
  <si>
    <t xml:space="preserve"> Ugovorene i druge posebne usluge-volonteri (0) (1)</t>
  </si>
  <si>
    <t xml:space="preserve"> Naknade troškova zaposlenih - volonteri (0) (0)</t>
  </si>
  <si>
    <t xml:space="preserve"> Ugovorene i druge posebne usluge-volonteri (0) (0)</t>
  </si>
  <si>
    <t xml:space="preserve"> Naknade troškova zaposlenih - volonteri (0) (2)</t>
  </si>
  <si>
    <t xml:space="preserve"> Ugovorene i druge posebne usluge-volonteri (0) (2)</t>
  </si>
  <si>
    <t xml:space="preserve"> Naknade troškova zaposlenih - volonteri (0) (3)</t>
  </si>
  <si>
    <t xml:space="preserve"> Ugovorene i druge posebne usluge-volonteri (0) (3)</t>
  </si>
  <si>
    <t xml:space="preserve"> Naknade troškova zaposlenih - volonteri (0) (14)</t>
  </si>
  <si>
    <t xml:space="preserve"> Ugovorene i druge posebne usluge-volonteri (0) (14)</t>
  </si>
  <si>
    <t xml:space="preserve"> Naknade troškova zaposlenih - volonteri (0) (5)</t>
  </si>
  <si>
    <t xml:space="preserve"> Ugovorene i druge posebne usluge-volonteri (0) (5)</t>
  </si>
  <si>
    <t xml:space="preserve"> Naknade troškova zaposlenih - volonteri (0) (4)</t>
  </si>
  <si>
    <t xml:space="preserve"> Ugovorene i druge posebne usluge-volonteri (0) (4)</t>
  </si>
  <si>
    <t xml:space="preserve"> Naknade troškova zaposlenih - volonteri (13) (122)</t>
  </si>
  <si>
    <t xml:space="preserve"> Ugovorene i druge posebne usluge-volonterski rad (13) (122)</t>
  </si>
  <si>
    <t>Orašje, prosinac 2015.godine</t>
  </si>
  <si>
    <t>56 (65)</t>
  </si>
  <si>
    <t>58 (59)</t>
  </si>
  <si>
    <t>49 (59)</t>
  </si>
  <si>
    <t>53 (54)</t>
  </si>
  <si>
    <t>105 (111)</t>
  </si>
  <si>
    <t>35 (36)</t>
  </si>
  <si>
    <t>43 (44)</t>
  </si>
  <si>
    <t>21 (22)</t>
  </si>
  <si>
    <t>39 (39)</t>
  </si>
  <si>
    <t xml:space="preserve"> Ostali grantovi-izvršenje sudskih presuda i rješenja o izvršenju</t>
  </si>
  <si>
    <t>951 (981)</t>
  </si>
  <si>
    <t xml:space="preserve">     U tekuću pričuvu Vlade izdvojit će se 2,49% prihoda bez namjenskih prihoda, vlastitih prihoda i primitaka Proračuna.</t>
  </si>
  <si>
    <r>
      <t xml:space="preserve">     Rashodi i izdaci u Proračunu u iznosu od 39.348.510</t>
    </r>
    <r>
      <rPr>
        <sz val="10"/>
        <rFont val="Arial"/>
        <family val="2"/>
      </rPr>
      <t xml:space="preserve"> KM</t>
    </r>
    <r>
      <rPr>
        <sz val="10"/>
        <rFont val="Arial"/>
        <family val="2"/>
      </rPr>
      <t xml:space="preserve"> raspoređuju se po korisnicima proračuna u Posebnom dijelu Proračuna kako slijedi:</t>
    </r>
  </si>
  <si>
    <t xml:space="preserve">     Na temelju članka 26. stavak (1.) točka f) Ustava Županije Posavske ("Narodne novine Županije Posavske", broj: 1/96, 3/96, 7/99, 3/00, 5/00 i 7/04) i članka 32.(1.) Zakona o proračunima u Federaciji Bosne i Hercegovine ("Službene novine Federacije BiH", broj: 102/13, 9/14, 13/14, 8/15 i 91/15), Skupština Županije Posavske na  _____ sjednici održanoj dana ______________ 2015. godine usvaja</t>
  </si>
  <si>
    <t xml:space="preserve"> Naknade troškova zaposlenih - volonteri (0) (17)</t>
  </si>
  <si>
    <t xml:space="preserve"> Ugovorene i druge posebne usluge-volonteri (0) (17)</t>
  </si>
  <si>
    <t xml:space="preserve"> Naknade troškova zaposlenih - volonteri (1) (9)</t>
  </si>
  <si>
    <t xml:space="preserve"> Ugovorene i druge posebne usluge-volonteri (1) (9)</t>
  </si>
  <si>
    <t xml:space="preserve"> Naknade troškova zaposlenih - volonteri (1) (6)</t>
  </si>
  <si>
    <t xml:space="preserve"> Ugovorene i druge posebne usluge-volonteri (1) (6)</t>
  </si>
  <si>
    <t>Proračun ŽP za 2016. godinu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</si>
</sst>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L.&quot;\ #,##0;\-&quot;L.&quot;\ #,##0"/>
    <numFmt numFmtId="191" formatCode="&quot;L.&quot;\ #,##0;[Red]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_-* #,##0_-;\-* #,##0_-;_-* &quot;-&quot;??_-;_-@_-"/>
    <numFmt numFmtId="197" formatCode="_-* #,##0.0_-;\-* #,##0.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0.000"/>
    <numFmt numFmtId="201" formatCode="0.00000"/>
    <numFmt numFmtId="202" formatCode="0.0000"/>
    <numFmt numFmtId="203" formatCode="_-* #,##0.00000_-;\-* #,##0.00000_-;_-* &quot;-&quot;??_-;_-@_-"/>
    <numFmt numFmtId="204" formatCode="0.000000"/>
    <numFmt numFmtId="205" formatCode="_-* #,##0.0_-;\-* #,##0.0_-;_-* &quot;-&quot;_-;_-@_-"/>
    <numFmt numFmtId="206" formatCode="_-* #,##0.00_-;\-* #,##0.00_-;_-* &quot;-&quot;_-;_-@_-"/>
    <numFmt numFmtId="207" formatCode="#,##0;[Red]#,##0"/>
    <numFmt numFmtId="208" formatCode="#,##0.000"/>
    <numFmt numFmtId="209" formatCode="000"/>
    <numFmt numFmtId="210" formatCode="#,##0.000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17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center"/>
      <protection/>
    </xf>
    <xf numFmtId="0" fontId="1" fillId="0" borderId="10" xfId="52" applyFont="1" applyBorder="1" applyAlignment="1">
      <alignment horizontal="center" vertical="center" textRotation="90" wrapText="1"/>
      <protection/>
    </xf>
    <xf numFmtId="0" fontId="1" fillId="0" borderId="11" xfId="52" applyFont="1" applyBorder="1" applyAlignment="1">
      <alignment horizontal="center" vertical="center" textRotation="90" wrapText="1"/>
      <protection/>
    </xf>
    <xf numFmtId="0" fontId="1" fillId="0" borderId="11" xfId="52" applyFont="1" applyFill="1" applyBorder="1" applyAlignment="1">
      <alignment horizontal="center" vertical="center" textRotation="90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49" fontId="1" fillId="0" borderId="12" xfId="52" applyNumberFormat="1" applyFont="1" applyBorder="1" applyAlignment="1">
      <alignment horizontal="center"/>
      <protection/>
    </xf>
    <xf numFmtId="49" fontId="1" fillId="0" borderId="13" xfId="52" applyNumberFormat="1" applyFont="1" applyBorder="1" applyAlignment="1">
      <alignment horizontal="center"/>
      <protection/>
    </xf>
    <xf numFmtId="0" fontId="1" fillId="0" borderId="13" xfId="52" applyFont="1" applyBorder="1">
      <alignment/>
      <protection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3" xfId="52" applyBorder="1" applyAlignment="1">
      <alignment horizontal="center"/>
      <protection/>
    </xf>
    <xf numFmtId="0" fontId="1" fillId="0" borderId="12" xfId="52" applyFont="1" applyBorder="1">
      <alignment/>
      <protection/>
    </xf>
    <xf numFmtId="0" fontId="0" fillId="0" borderId="13" xfId="52" applyFont="1" applyBorder="1">
      <alignment/>
      <protection/>
    </xf>
    <xf numFmtId="0" fontId="0" fillId="0" borderId="13" xfId="52" applyFill="1" applyBorder="1">
      <alignment/>
      <protection/>
    </xf>
    <xf numFmtId="3" fontId="1" fillId="0" borderId="13" xfId="52" applyNumberFormat="1" applyFont="1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5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3" fontId="1" fillId="0" borderId="13" xfId="52" applyNumberFormat="1" applyFont="1" applyBorder="1" applyAlignment="1">
      <alignment horizontal="right"/>
      <protection/>
    </xf>
    <xf numFmtId="0" fontId="0" fillId="0" borderId="13" xfId="52" applyFont="1" applyBorder="1">
      <alignment/>
      <protection/>
    </xf>
    <xf numFmtId="0" fontId="1" fillId="0" borderId="13" xfId="52" applyFont="1" applyBorder="1" applyAlignment="1">
      <alignment horizontal="left"/>
      <protection/>
    </xf>
    <xf numFmtId="0" fontId="1" fillId="0" borderId="16" xfId="52" applyFont="1" applyBorder="1">
      <alignment/>
      <protection/>
    </xf>
    <xf numFmtId="0" fontId="0" fillId="33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7" xfId="52" applyBorder="1">
      <alignment/>
      <protection/>
    </xf>
    <xf numFmtId="0" fontId="1" fillId="0" borderId="17" xfId="52" applyFont="1" applyBorder="1">
      <alignment/>
      <protection/>
    </xf>
    <xf numFmtId="49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7" xfId="52" applyFont="1" applyBorder="1" applyAlignment="1">
      <alignment horizontal="center"/>
      <protection/>
    </xf>
    <xf numFmtId="0" fontId="0" fillId="0" borderId="18" xfId="52" applyBorder="1">
      <alignment/>
      <protection/>
    </xf>
    <xf numFmtId="0" fontId="0" fillId="0" borderId="12" xfId="52" applyBorder="1" applyAlignment="1">
      <alignment horizontal="center"/>
      <protection/>
    </xf>
    <xf numFmtId="49" fontId="0" fillId="0" borderId="12" xfId="52" applyNumberFormat="1" applyBorder="1" applyAlignment="1">
      <alignment horizontal="center"/>
      <protection/>
    </xf>
    <xf numFmtId="49" fontId="0" fillId="0" borderId="12" xfId="52" applyNumberFormat="1" applyFont="1" applyBorder="1" applyAlignment="1">
      <alignment horizontal="center"/>
      <protection/>
    </xf>
    <xf numFmtId="49" fontId="1" fillId="0" borderId="12" xfId="0" applyNumberFormat="1" applyFont="1" applyBorder="1" applyAlignment="1">
      <alignment horizontal="center"/>
    </xf>
    <xf numFmtId="0" fontId="0" fillId="0" borderId="14" xfId="52" applyBorder="1" applyAlignment="1">
      <alignment horizontal="center"/>
      <protection/>
    </xf>
    <xf numFmtId="0" fontId="1" fillId="34" borderId="10" xfId="52" applyFont="1" applyFill="1" applyBorder="1" applyAlignment="1">
      <alignment horizontal="center" vertical="center" wrapText="1"/>
      <protection/>
    </xf>
    <xf numFmtId="0" fontId="1" fillId="34" borderId="11" xfId="52" applyFont="1" applyFill="1" applyBorder="1" applyAlignment="1">
      <alignment horizontal="center" vertical="center"/>
      <protection/>
    </xf>
    <xf numFmtId="0" fontId="1" fillId="34" borderId="19" xfId="52" applyFont="1" applyFill="1" applyBorder="1" applyAlignment="1">
      <alignment horizontal="center" vertical="center" wrapText="1"/>
      <protection/>
    </xf>
    <xf numFmtId="3" fontId="0" fillId="0" borderId="13" xfId="52" applyNumberFormat="1" applyBorder="1">
      <alignment/>
      <protection/>
    </xf>
    <xf numFmtId="3" fontId="0" fillId="0" borderId="13" xfId="52" applyNumberFormat="1" applyFont="1" applyBorder="1">
      <alignment/>
      <protection/>
    </xf>
    <xf numFmtId="3" fontId="0" fillId="0" borderId="15" xfId="52" applyNumberFormat="1" applyBorder="1">
      <alignment/>
      <protection/>
    </xf>
    <xf numFmtId="0" fontId="0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3" fontId="0" fillId="0" borderId="18" xfId="52" applyNumberFormat="1" applyBorder="1">
      <alignment/>
      <protection/>
    </xf>
    <xf numFmtId="3" fontId="1" fillId="33" borderId="13" xfId="52" applyNumberFormat="1" applyFont="1" applyFill="1" applyBorder="1">
      <alignment/>
      <protection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52" applyFont="1" applyBorder="1" applyAlignment="1">
      <alignment horizontal="center"/>
      <protection/>
    </xf>
    <xf numFmtId="0" fontId="0" fillId="0" borderId="13" xfId="52" applyFont="1" applyBorder="1" applyAlignment="1">
      <alignment horizontal="left"/>
      <protection/>
    </xf>
    <xf numFmtId="0" fontId="0" fillId="0" borderId="20" xfId="0" applyBorder="1" applyAlignment="1">
      <alignment/>
    </xf>
    <xf numFmtId="0" fontId="1" fillId="0" borderId="21" xfId="52" applyFont="1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49" fontId="0" fillId="0" borderId="13" xfId="0" applyNumberFormat="1" applyBorder="1" applyAlignment="1">
      <alignment horizontal="center"/>
    </xf>
    <xf numFmtId="0" fontId="0" fillId="0" borderId="20" xfId="52" applyFill="1" applyBorder="1">
      <alignment/>
      <protection/>
    </xf>
    <xf numFmtId="0" fontId="0" fillId="0" borderId="21" xfId="52" applyBorder="1" applyAlignment="1">
      <alignment horizontal="center"/>
      <protection/>
    </xf>
    <xf numFmtId="3" fontId="0" fillId="0" borderId="13" xfId="52" applyNumberFormat="1" applyFont="1" applyBorder="1" applyAlignment="1">
      <alignment horizontal="right"/>
      <protection/>
    </xf>
    <xf numFmtId="0" fontId="0" fillId="0" borderId="12" xfId="52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22" xfId="52" applyFont="1" applyBorder="1">
      <alignment/>
      <protection/>
    </xf>
    <xf numFmtId="0" fontId="0" fillId="0" borderId="0" xfId="0" applyFont="1" applyAlignment="1">
      <alignment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Border="1" applyAlignment="1">
      <alignment horizontal="right" wrapText="1"/>
    </xf>
    <xf numFmtId="4" fontId="1" fillId="0" borderId="23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1" fillId="0" borderId="22" xfId="52" applyFont="1" applyBorder="1">
      <alignment/>
      <protection/>
    </xf>
    <xf numFmtId="0" fontId="0" fillId="0" borderId="20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25" xfId="52" applyBorder="1">
      <alignment/>
      <protection/>
    </xf>
    <xf numFmtId="0" fontId="0" fillId="0" borderId="0" xfId="52" applyBorder="1">
      <alignment/>
      <protection/>
    </xf>
    <xf numFmtId="49" fontId="0" fillId="0" borderId="12" xfId="0" applyNumberFormat="1" applyFont="1" applyBorder="1" applyAlignment="1">
      <alignment horizontal="center"/>
    </xf>
    <xf numFmtId="0" fontId="0" fillId="0" borderId="0" xfId="52" applyFont="1">
      <alignment/>
      <protection/>
    </xf>
    <xf numFmtId="3" fontId="0" fillId="0" borderId="13" xfId="52" applyNumberFormat="1" applyFill="1" applyBorder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6" fillId="0" borderId="0" xfId="0" applyFont="1" applyBorder="1" applyAlignment="1">
      <alignment/>
    </xf>
    <xf numFmtId="3" fontId="0" fillId="0" borderId="27" xfId="52" applyNumberFormat="1" applyBorder="1">
      <alignment/>
      <protection/>
    </xf>
    <xf numFmtId="2" fontId="1" fillId="0" borderId="0" xfId="52" applyNumberFormat="1" applyFont="1">
      <alignment/>
      <protection/>
    </xf>
    <xf numFmtId="3" fontId="0" fillId="0" borderId="0" xfId="52" applyNumberFormat="1">
      <alignment/>
      <protection/>
    </xf>
    <xf numFmtId="3" fontId="1" fillId="0" borderId="0" xfId="52" applyNumberFormat="1" applyFont="1">
      <alignment/>
      <protection/>
    </xf>
    <xf numFmtId="3" fontId="1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52" applyNumberFormat="1" applyFont="1">
      <alignment/>
      <protection/>
    </xf>
    <xf numFmtId="0" fontId="0" fillId="0" borderId="0" xfId="52" applyFont="1">
      <alignment/>
      <protection/>
    </xf>
    <xf numFmtId="0" fontId="0" fillId="0" borderId="12" xfId="52" applyFont="1" applyBorder="1">
      <alignment/>
      <protection/>
    </xf>
    <xf numFmtId="0" fontId="1" fillId="0" borderId="28" xfId="5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0" borderId="22" xfId="0" applyNumberFormat="1" applyBorder="1" applyAlignment="1">
      <alignment horizontal="center"/>
    </xf>
    <xf numFmtId="0" fontId="1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5" fillId="0" borderId="0" xfId="52" applyFont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>
      <alignment/>
      <protection/>
    </xf>
    <xf numFmtId="3" fontId="1" fillId="0" borderId="13" xfId="52" applyNumberFormat="1" applyFont="1" applyFill="1" applyBorder="1">
      <alignment/>
      <protection/>
    </xf>
    <xf numFmtId="3" fontId="0" fillId="0" borderId="13" xfId="52" applyNumberFormat="1" applyFont="1" applyBorder="1">
      <alignment/>
      <protection/>
    </xf>
    <xf numFmtId="0" fontId="0" fillId="0" borderId="13" xfId="52" applyFont="1" applyFill="1" applyBorder="1">
      <alignment/>
      <protection/>
    </xf>
    <xf numFmtId="0" fontId="0" fillId="0" borderId="0" xfId="52" applyFont="1" applyFill="1">
      <alignment/>
      <protection/>
    </xf>
    <xf numFmtId="0" fontId="0" fillId="0" borderId="0" xfId="52" applyFill="1">
      <alignment/>
      <protection/>
    </xf>
    <xf numFmtId="0" fontId="1" fillId="0" borderId="0" xfId="52" applyFont="1" applyFill="1">
      <alignment/>
      <protection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52" applyFont="1" applyFill="1" applyBorder="1">
      <alignment/>
      <protection/>
    </xf>
    <xf numFmtId="3" fontId="0" fillId="0" borderId="13" xfId="52" applyNumberFormat="1" applyFont="1" applyFill="1" applyBorder="1">
      <alignment/>
      <protection/>
    </xf>
    <xf numFmtId="0" fontId="0" fillId="0" borderId="22" xfId="52" applyFill="1" applyBorder="1" applyAlignment="1">
      <alignment horizontal="center"/>
      <protection/>
    </xf>
    <xf numFmtId="0" fontId="0" fillId="0" borderId="13" xfId="52" applyFill="1" applyBorder="1" applyAlignment="1">
      <alignment horizontal="center"/>
      <protection/>
    </xf>
    <xf numFmtId="0" fontId="0" fillId="0" borderId="12" xfId="52" applyFill="1" applyBorder="1" applyAlignment="1">
      <alignment horizontal="center"/>
      <protection/>
    </xf>
    <xf numFmtId="3" fontId="0" fillId="0" borderId="13" xfId="52" applyNumberFormat="1" applyFont="1" applyFill="1" applyBorder="1" applyProtection="1">
      <alignment/>
      <protection locked="0"/>
    </xf>
    <xf numFmtId="49" fontId="0" fillId="0" borderId="12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22" xfId="52" applyFont="1" applyFill="1" applyBorder="1" applyAlignment="1">
      <alignment horizontal="center"/>
      <protection/>
    </xf>
    <xf numFmtId="1" fontId="0" fillId="0" borderId="0" xfId="52" applyNumberFormat="1" applyFont="1">
      <alignment/>
      <protection/>
    </xf>
    <xf numFmtId="2" fontId="0" fillId="0" borderId="0" xfId="52" applyNumberFormat="1" applyFont="1">
      <alignment/>
      <protection/>
    </xf>
    <xf numFmtId="3" fontId="1" fillId="0" borderId="13" xfId="52" applyNumberFormat="1" applyFont="1" applyFill="1" applyBorder="1" applyAlignment="1">
      <alignment horizontal="right"/>
      <protection/>
    </xf>
    <xf numFmtId="49" fontId="1" fillId="0" borderId="12" xfId="52" applyNumberFormat="1" applyFont="1" applyFill="1" applyBorder="1" applyAlignment="1">
      <alignment horizontal="center"/>
      <protection/>
    </xf>
    <xf numFmtId="49" fontId="1" fillId="0" borderId="13" xfId="52" applyNumberFormat="1" applyFont="1" applyFill="1" applyBorder="1" applyAlignment="1">
      <alignment horizontal="center"/>
      <protection/>
    </xf>
    <xf numFmtId="3" fontId="1" fillId="0" borderId="0" xfId="52" applyNumberFormat="1" applyFont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1" fillId="34" borderId="11" xfId="0" applyFont="1" applyFill="1" applyBorder="1" applyAlignment="1">
      <alignment horizontal="center" vertical="center" wrapText="1"/>
    </xf>
    <xf numFmtId="4" fontId="0" fillId="0" borderId="0" xfId="52" applyNumberFormat="1">
      <alignment/>
      <protection/>
    </xf>
    <xf numFmtId="4" fontId="1" fillId="34" borderId="19" xfId="52" applyNumberFormat="1" applyFont="1" applyFill="1" applyBorder="1" applyAlignment="1">
      <alignment horizontal="center" vertical="center" wrapText="1"/>
      <protection/>
    </xf>
    <xf numFmtId="4" fontId="0" fillId="0" borderId="23" xfId="52" applyNumberFormat="1" applyBorder="1">
      <alignment/>
      <protection/>
    </xf>
    <xf numFmtId="4" fontId="1" fillId="0" borderId="23" xfId="52" applyNumberFormat="1" applyFont="1" applyBorder="1">
      <alignment/>
      <protection/>
    </xf>
    <xf numFmtId="4" fontId="0" fillId="0" borderId="30" xfId="52" applyNumberFormat="1" applyBorder="1">
      <alignment/>
      <protection/>
    </xf>
    <xf numFmtId="4" fontId="6" fillId="0" borderId="0" xfId="52" applyNumberFormat="1" applyFont="1" applyAlignment="1">
      <alignment horizontal="left"/>
      <protection/>
    </xf>
    <xf numFmtId="4" fontId="1" fillId="0" borderId="0" xfId="52" applyNumberFormat="1" applyFont="1" applyAlignment="1">
      <alignment horizontal="left"/>
      <protection/>
    </xf>
    <xf numFmtId="4" fontId="1" fillId="0" borderId="0" xfId="52" applyNumberFormat="1" applyFont="1" applyFill="1" applyAlignment="1">
      <alignment horizontal="left"/>
      <protection/>
    </xf>
    <xf numFmtId="4" fontId="0" fillId="0" borderId="27" xfId="52" applyNumberFormat="1" applyBorder="1">
      <alignment/>
      <protection/>
    </xf>
    <xf numFmtId="4" fontId="1" fillId="0" borderId="31" xfId="52" applyNumberFormat="1" applyFont="1" applyFill="1" applyBorder="1" applyAlignment="1">
      <alignment horizontal="center" vertical="center" wrapText="1"/>
      <protection/>
    </xf>
    <xf numFmtId="0" fontId="1" fillId="0" borderId="32" xfId="52" applyFont="1" applyBorder="1" applyAlignment="1">
      <alignment horizontal="center"/>
      <protection/>
    </xf>
    <xf numFmtId="4" fontId="1" fillId="0" borderId="32" xfId="52" applyNumberFormat="1" applyFont="1" applyBorder="1" applyAlignment="1">
      <alignment horizontal="center"/>
      <protection/>
    </xf>
    <xf numFmtId="4" fontId="1" fillId="0" borderId="32" xfId="52" applyNumberFormat="1" applyFont="1" applyFill="1" applyBorder="1">
      <alignment/>
      <protection/>
    </xf>
    <xf numFmtId="4" fontId="0" fillId="0" borderId="32" xfId="52" applyNumberFormat="1" applyFont="1" applyFill="1" applyBorder="1">
      <alignment/>
      <protection/>
    </xf>
    <xf numFmtId="4" fontId="0" fillId="0" borderId="32" xfId="52" applyNumberFormat="1" applyBorder="1">
      <alignment/>
      <protection/>
    </xf>
    <xf numFmtId="4" fontId="1" fillId="0" borderId="32" xfId="52" applyNumberFormat="1" applyFont="1" applyBorder="1">
      <alignment/>
      <protection/>
    </xf>
    <xf numFmtId="4" fontId="0" fillId="0" borderId="33" xfId="52" applyNumberFormat="1" applyBorder="1">
      <alignment/>
      <protection/>
    </xf>
    <xf numFmtId="3" fontId="0" fillId="0" borderId="20" xfId="52" applyNumberFormat="1" applyBorder="1">
      <alignment/>
      <protection/>
    </xf>
    <xf numFmtId="3" fontId="1" fillId="33" borderId="20" xfId="52" applyNumberFormat="1" applyFont="1" applyFill="1" applyBorder="1">
      <alignment/>
      <protection/>
    </xf>
    <xf numFmtId="3" fontId="0" fillId="0" borderId="20" xfId="52" applyNumberFormat="1" applyFont="1" applyBorder="1">
      <alignment/>
      <protection/>
    </xf>
    <xf numFmtId="3" fontId="0" fillId="0" borderId="20" xfId="52" applyNumberFormat="1" applyFill="1" applyBorder="1">
      <alignment/>
      <protection/>
    </xf>
    <xf numFmtId="0" fontId="1" fillId="0" borderId="20" xfId="52" applyFont="1" applyBorder="1" applyAlignment="1">
      <alignment horizontal="center"/>
      <protection/>
    </xf>
    <xf numFmtId="3" fontId="1" fillId="0" borderId="20" xfId="52" applyNumberFormat="1" applyFont="1" applyFill="1" applyBorder="1" applyAlignment="1">
      <alignment horizontal="right"/>
      <protection/>
    </xf>
    <xf numFmtId="3" fontId="1" fillId="0" borderId="20" xfId="52" applyNumberFormat="1" applyFont="1" applyBorder="1">
      <alignment/>
      <protection/>
    </xf>
    <xf numFmtId="3" fontId="0" fillId="0" borderId="20" xfId="52" applyNumberFormat="1" applyFont="1" applyFill="1" applyBorder="1">
      <alignment/>
      <protection/>
    </xf>
    <xf numFmtId="3" fontId="1" fillId="0" borderId="13" xfId="52" applyNumberFormat="1" applyFont="1" applyBorder="1" applyAlignment="1">
      <alignment horizontal="center"/>
      <protection/>
    </xf>
    <xf numFmtId="3" fontId="0" fillId="0" borderId="13" xfId="52" applyNumberFormat="1" applyFont="1" applyFill="1" applyBorder="1">
      <alignment/>
      <protection/>
    </xf>
    <xf numFmtId="3" fontId="1" fillId="0" borderId="13" xfId="52" applyNumberFormat="1" applyFont="1" applyFill="1" applyBorder="1">
      <alignment/>
      <protection/>
    </xf>
    <xf numFmtId="4" fontId="1" fillId="0" borderId="32" xfId="52" applyNumberFormat="1" applyFont="1" applyBorder="1" applyAlignment="1">
      <alignment horizontal="right"/>
      <protection/>
    </xf>
    <xf numFmtId="3" fontId="0" fillId="0" borderId="13" xfId="52" applyNumberFormat="1" applyFont="1" applyFill="1" applyBorder="1">
      <alignment/>
      <protection/>
    </xf>
    <xf numFmtId="4" fontId="1" fillId="0" borderId="32" xfId="52" applyNumberFormat="1" applyFont="1" applyFill="1" applyBorder="1" applyAlignment="1">
      <alignment horizontal="right"/>
      <protection/>
    </xf>
    <xf numFmtId="4" fontId="1" fillId="0" borderId="33" xfId="52" applyNumberFormat="1" applyFont="1" applyBorder="1">
      <alignment/>
      <protection/>
    </xf>
    <xf numFmtId="3" fontId="1" fillId="0" borderId="15" xfId="52" applyNumberFormat="1" applyFont="1" applyBorder="1">
      <alignment/>
      <protection/>
    </xf>
    <xf numFmtId="4" fontId="0" fillId="0" borderId="32" xfId="52" applyNumberFormat="1" applyFont="1" applyBorder="1" applyAlignment="1">
      <alignment horizontal="right"/>
      <protection/>
    </xf>
    <xf numFmtId="0" fontId="1" fillId="34" borderId="11" xfId="52" applyFont="1" applyFill="1" applyBorder="1" applyAlignment="1">
      <alignment horizontal="center" vertical="center" wrapText="1"/>
      <protection/>
    </xf>
    <xf numFmtId="208" fontId="0" fillId="0" borderId="0" xfId="0" applyNumberFormat="1" applyAlignment="1">
      <alignment/>
    </xf>
    <xf numFmtId="0" fontId="0" fillId="0" borderId="13" xfId="52" applyFont="1" applyFill="1" applyBorder="1" applyAlignment="1">
      <alignment wrapText="1"/>
      <protection/>
    </xf>
    <xf numFmtId="3" fontId="0" fillId="0" borderId="0" xfId="52" applyNumberFormat="1" applyFont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" fontId="12" fillId="0" borderId="23" xfId="0" applyNumberFormat="1" applyFont="1" applyBorder="1" applyAlignment="1">
      <alignment/>
    </xf>
    <xf numFmtId="164" fontId="7" fillId="0" borderId="25" xfId="52" applyNumberFormat="1" applyFont="1" applyBorder="1" applyAlignment="1">
      <alignment/>
      <protection/>
    </xf>
    <xf numFmtId="164" fontId="13" fillId="0" borderId="25" xfId="0" applyNumberFormat="1" applyFont="1" applyBorder="1" applyAlignment="1">
      <alignment/>
    </xf>
    <xf numFmtId="0" fontId="0" fillId="0" borderId="12" xfId="52" applyBorder="1" applyAlignment="1">
      <alignment vertical="center"/>
      <protection/>
    </xf>
    <xf numFmtId="0" fontId="0" fillId="0" borderId="13" xfId="52" applyBorder="1" applyAlignment="1">
      <alignment vertical="center"/>
      <protection/>
    </xf>
    <xf numFmtId="0" fontId="0" fillId="0" borderId="17" xfId="52" applyBorder="1" applyAlignment="1">
      <alignment vertical="center"/>
      <protection/>
    </xf>
    <xf numFmtId="0" fontId="0" fillId="0" borderId="13" xfId="52" applyBorder="1" applyAlignment="1">
      <alignment horizontal="center" vertical="center"/>
      <protection/>
    </xf>
    <xf numFmtId="0" fontId="0" fillId="0" borderId="13" xfId="0" applyFill="1" applyBorder="1" applyAlignment="1">
      <alignment vertical="center" wrapText="1"/>
    </xf>
    <xf numFmtId="3" fontId="0" fillId="0" borderId="13" xfId="52" applyNumberFormat="1" applyFont="1" applyFill="1" applyBorder="1" applyAlignment="1">
      <alignment vertical="center"/>
      <protection/>
    </xf>
    <xf numFmtId="4" fontId="0" fillId="0" borderId="32" xfId="52" applyNumberFormat="1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0" fillId="0" borderId="13" xfId="0" applyBorder="1" applyAlignment="1">
      <alignment vertical="center" wrapText="1"/>
    </xf>
    <xf numFmtId="0" fontId="0" fillId="0" borderId="12" xfId="52" applyFont="1" applyBorder="1" applyAlignment="1">
      <alignment vertical="center"/>
      <protection/>
    </xf>
    <xf numFmtId="0" fontId="0" fillId="0" borderId="13" xfId="52" applyFont="1" applyBorder="1" applyAlignment="1">
      <alignment vertical="center"/>
      <protection/>
    </xf>
    <xf numFmtId="0" fontId="0" fillId="0" borderId="13" xfId="52" applyFont="1" applyBorder="1" applyAlignment="1">
      <alignment horizontal="center" vertical="center"/>
      <protection/>
    </xf>
    <xf numFmtId="0" fontId="0" fillId="0" borderId="13" xfId="52" applyFont="1" applyFill="1" applyBorder="1" applyAlignment="1">
      <alignment vertical="center" wrapText="1"/>
      <protection/>
    </xf>
    <xf numFmtId="3" fontId="0" fillId="0" borderId="20" xfId="52" applyNumberFormat="1" applyFont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3" fontId="0" fillId="0" borderId="0" xfId="52" applyNumberFormat="1" applyFont="1" applyAlignment="1">
      <alignment vertical="center"/>
      <protection/>
    </xf>
    <xf numFmtId="4" fontId="1" fillId="0" borderId="32" xfId="52" applyNumberFormat="1" applyFont="1" applyFill="1" applyBorder="1">
      <alignment/>
      <protection/>
    </xf>
    <xf numFmtId="0" fontId="0" fillId="0" borderId="13" xfId="0" applyFont="1" applyBorder="1" applyAlignment="1">
      <alignment wrapText="1"/>
    </xf>
    <xf numFmtId="0" fontId="0" fillId="0" borderId="12" xfId="0" applyBorder="1" applyAlignment="1">
      <alignment horizontal="right"/>
    </xf>
    <xf numFmtId="0" fontId="1" fillId="0" borderId="12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1" fillId="35" borderId="13" xfId="0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4" fontId="1" fillId="35" borderId="23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0" fontId="1" fillId="35" borderId="13" xfId="34" applyNumberFormat="1" applyFont="1" applyFill="1" applyBorder="1" applyAlignment="1">
      <alignment wrapText="1"/>
    </xf>
    <xf numFmtId="3" fontId="0" fillId="33" borderId="17" xfId="0" applyNumberFormat="1" applyFill="1" applyBorder="1" applyAlignment="1">
      <alignment/>
    </xf>
    <xf numFmtId="3" fontId="1" fillId="35" borderId="13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0" fillId="0" borderId="12" xfId="0" applyFont="1" applyBorder="1" applyAlignment="1">
      <alignment horizontal="right"/>
    </xf>
    <xf numFmtId="3" fontId="14" fillId="0" borderId="17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0" fontId="1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35" borderId="13" xfId="0" applyFont="1" applyFill="1" applyBorder="1" applyAlignment="1">
      <alignment wrapText="1"/>
    </xf>
    <xf numFmtId="4" fontId="1" fillId="35" borderId="23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0" fontId="14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35" borderId="13" xfId="0" applyFont="1" applyFill="1" applyBorder="1" applyAlignment="1">
      <alignment/>
    </xf>
    <xf numFmtId="3" fontId="8" fillId="35" borderId="13" xfId="0" applyNumberFormat="1" applyFont="1" applyFill="1" applyBorder="1" applyAlignment="1">
      <alignment/>
    </xf>
    <xf numFmtId="4" fontId="8" fillId="35" borderId="2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14" fillId="0" borderId="12" xfId="0" applyFont="1" applyBorder="1" applyAlignment="1">
      <alignment horizontal="right"/>
    </xf>
    <xf numFmtId="0" fontId="1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0" fontId="14" fillId="0" borderId="12" xfId="0" applyFont="1" applyBorder="1" applyAlignment="1">
      <alignment horizontal="right"/>
    </xf>
    <xf numFmtId="0" fontId="16" fillId="0" borderId="13" xfId="0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3" fontId="1" fillId="0" borderId="17" xfId="0" applyNumberFormat="1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/>
    </xf>
    <xf numFmtId="0" fontId="8" fillId="0" borderId="12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3" fontId="8" fillId="0" borderId="13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208" fontId="5" fillId="0" borderId="0" xfId="0" applyNumberFormat="1" applyFont="1" applyAlignment="1">
      <alignment/>
    </xf>
    <xf numFmtId="0" fontId="8" fillId="35" borderId="13" xfId="0" applyFont="1" applyFill="1" applyBorder="1" applyAlignment="1">
      <alignment wrapText="1"/>
    </xf>
    <xf numFmtId="0" fontId="8" fillId="0" borderId="0" xfId="0" applyFont="1" applyAlignment="1">
      <alignment/>
    </xf>
    <xf numFmtId="3" fontId="8" fillId="35" borderId="17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" fillId="35" borderId="13" xfId="0" applyFont="1" applyFill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>
      <alignment/>
    </xf>
    <xf numFmtId="0" fontId="1" fillId="35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35" borderId="13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left" vertical="center"/>
    </xf>
    <xf numFmtId="3" fontId="1" fillId="35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left" vertical="center"/>
    </xf>
    <xf numFmtId="0" fontId="1" fillId="35" borderId="36" xfId="0" applyFont="1" applyFill="1" applyBorder="1" applyAlignment="1">
      <alignment/>
    </xf>
    <xf numFmtId="3" fontId="1" fillId="35" borderId="36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4" fontId="0" fillId="0" borderId="37" xfId="0" applyNumberFormat="1" applyFill="1" applyBorder="1" applyAlignment="1">
      <alignment/>
    </xf>
    <xf numFmtId="0" fontId="1" fillId="35" borderId="21" xfId="0" applyFont="1" applyFill="1" applyBorder="1" applyAlignment="1">
      <alignment/>
    </xf>
    <xf numFmtId="3" fontId="1" fillId="35" borderId="2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/>
    </xf>
    <xf numFmtId="3" fontId="0" fillId="0" borderId="35" xfId="0" applyNumberFormat="1" applyFont="1" applyFill="1" applyBorder="1" applyAlignment="1">
      <alignment horizontal="right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39" xfId="52" applyFont="1" applyFill="1" applyBorder="1" applyAlignment="1">
      <alignment horizontal="center" vertical="center" wrapText="1"/>
      <protection/>
    </xf>
    <xf numFmtId="0" fontId="18" fillId="0" borderId="40" xfId="52" applyFont="1" applyFill="1" applyBorder="1" applyAlignment="1">
      <alignment horizontal="center" vertical="center" wrapText="1"/>
      <protection/>
    </xf>
    <xf numFmtId="2" fontId="1" fillId="35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/>
    </xf>
    <xf numFmtId="2" fontId="1" fillId="35" borderId="13" xfId="0" applyNumberFormat="1" applyFont="1" applyFill="1" applyBorder="1" applyAlignment="1">
      <alignment horizontal="right"/>
    </xf>
    <xf numFmtId="2" fontId="0" fillId="0" borderId="35" xfId="0" applyNumberFormat="1" applyFill="1" applyBorder="1" applyAlignment="1">
      <alignment horizontal="right" vertical="center"/>
    </xf>
    <xf numFmtId="2" fontId="1" fillId="35" borderId="34" xfId="0" applyNumberFormat="1" applyFont="1" applyFill="1" applyBorder="1" applyAlignment="1">
      <alignment horizontal="right"/>
    </xf>
    <xf numFmtId="2" fontId="1" fillId="35" borderId="21" xfId="0" applyNumberFormat="1" applyFont="1" applyFill="1" applyBorder="1" applyAlignment="1">
      <alignment horizontal="right"/>
    </xf>
    <xf numFmtId="2" fontId="1" fillId="35" borderId="36" xfId="0" applyNumberFormat="1" applyFon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 vertical="center"/>
    </xf>
    <xf numFmtId="3" fontId="0" fillId="0" borderId="17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17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20" xfId="0" applyFont="1" applyBorder="1" applyAlignment="1">
      <alignment/>
    </xf>
    <xf numFmtId="3" fontId="0" fillId="0" borderId="13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13" xfId="0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3" fontId="1" fillId="34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1" fillId="0" borderId="0" xfId="52" applyNumberFormat="1" applyFont="1" applyAlignment="1">
      <alignment horizontal="center"/>
      <protection/>
    </xf>
    <xf numFmtId="0" fontId="1" fillId="35" borderId="13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 horizontal="right"/>
    </xf>
    <xf numFmtId="0" fontId="9" fillId="0" borderId="15" xfId="0" applyFont="1" applyBorder="1" applyAlignment="1">
      <alignment/>
    </xf>
    <xf numFmtId="3" fontId="0" fillId="0" borderId="18" xfId="0" applyNumberFormat="1" applyBorder="1" applyAlignment="1">
      <alignment/>
    </xf>
    <xf numFmtId="4" fontId="0" fillId="0" borderId="42" xfId="0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15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3" fontId="0" fillId="0" borderId="18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0" xfId="0" applyAlignment="1">
      <alignment wrapText="1"/>
    </xf>
    <xf numFmtId="4" fontId="0" fillId="0" borderId="0" xfId="52" applyNumberFormat="1" applyFont="1">
      <alignment/>
      <protection/>
    </xf>
    <xf numFmtId="4" fontId="17" fillId="0" borderId="23" xfId="0" applyNumberFormat="1" applyFont="1" applyBorder="1" applyAlignment="1">
      <alignment/>
    </xf>
    <xf numFmtId="3" fontId="0" fillId="0" borderId="0" xfId="52" applyNumberFormat="1" applyFill="1">
      <alignment/>
      <protection/>
    </xf>
    <xf numFmtId="4" fontId="0" fillId="0" borderId="0" xfId="52" applyNumberFormat="1" applyFill="1">
      <alignment/>
      <protection/>
    </xf>
    <xf numFmtId="0" fontId="0" fillId="0" borderId="16" xfId="0" applyFont="1" applyBorder="1" applyAlignment="1">
      <alignment horizontal="right"/>
    </xf>
    <xf numFmtId="0" fontId="9" fillId="0" borderId="21" xfId="0" applyFont="1" applyFill="1" applyBorder="1" applyAlignment="1">
      <alignment wrapText="1"/>
    </xf>
    <xf numFmtId="3" fontId="0" fillId="0" borderId="43" xfId="0" applyNumberFormat="1" applyFont="1" applyFill="1" applyBorder="1" applyAlignment="1">
      <alignment/>
    </xf>
    <xf numFmtId="4" fontId="0" fillId="0" borderId="44" xfId="0" applyNumberFormat="1" applyFont="1" applyBorder="1" applyAlignment="1">
      <alignment/>
    </xf>
    <xf numFmtId="0" fontId="0" fillId="0" borderId="0" xfId="0" applyAlignment="1">
      <alignment/>
    </xf>
    <xf numFmtId="3" fontId="8" fillId="35" borderId="45" xfId="0" applyNumberFormat="1" applyFont="1" applyFill="1" applyBorder="1" applyAlignment="1">
      <alignment/>
    </xf>
    <xf numFmtId="4" fontId="8" fillId="35" borderId="46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Continuous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209" fontId="1" fillId="34" borderId="13" xfId="0" applyNumberFormat="1" applyFont="1" applyFill="1" applyBorder="1" applyAlignment="1">
      <alignment horizontal="left" vertical="center" wrapText="1"/>
    </xf>
    <xf numFmtId="3" fontId="1" fillId="34" borderId="13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209" fontId="0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4" fontId="1" fillId="34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1" fillId="34" borderId="13" xfId="0" applyNumberFormat="1" applyFont="1" applyFill="1" applyBorder="1" applyAlignment="1">
      <alignment vertical="center"/>
    </xf>
    <xf numFmtId="210" fontId="0" fillId="0" borderId="0" xfId="0" applyNumberFormat="1" applyAlignment="1">
      <alignment/>
    </xf>
    <xf numFmtId="189" fontId="5" fillId="0" borderId="0" xfId="0" applyNumberFormat="1" applyFont="1" applyAlignment="1">
      <alignment/>
    </xf>
    <xf numFmtId="0" fontId="0" fillId="0" borderId="13" xfId="52" applyFont="1" applyFill="1" applyBorder="1" applyAlignment="1">
      <alignment wrapText="1"/>
      <protection/>
    </xf>
    <xf numFmtId="0" fontId="15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3" fontId="12" fillId="0" borderId="13" xfId="52" applyNumberFormat="1" applyFont="1" applyBorder="1">
      <alignment/>
      <protection/>
    </xf>
    <xf numFmtId="4" fontId="12" fillId="0" borderId="23" xfId="0" applyNumberFormat="1" applyFont="1" applyFill="1" applyBorder="1" applyAlignment="1">
      <alignment/>
    </xf>
    <xf numFmtId="4" fontId="22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3" fontId="0" fillId="0" borderId="13" xfId="52" applyNumberFormat="1" applyFont="1" applyFill="1" applyBorder="1" applyAlignment="1">
      <alignment horizontal="right"/>
      <protection/>
    </xf>
    <xf numFmtId="4" fontId="19" fillId="0" borderId="0" xfId="0" applyNumberFormat="1" applyFont="1" applyAlignment="1">
      <alignment/>
    </xf>
    <xf numFmtId="3" fontId="0" fillId="0" borderId="13" xfId="0" applyNumberFormat="1" applyFill="1" applyBorder="1" applyAlignment="1">
      <alignment/>
    </xf>
    <xf numFmtId="0" fontId="19" fillId="0" borderId="0" xfId="0" applyFont="1" applyAlignment="1">
      <alignment/>
    </xf>
    <xf numFmtId="9" fontId="1" fillId="0" borderId="0" xfId="0" applyNumberFormat="1" applyFont="1" applyAlignment="1">
      <alignment/>
    </xf>
    <xf numFmtId="43" fontId="1" fillId="0" borderId="0" xfId="63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0" fontId="5" fillId="0" borderId="4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top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justify"/>
    </xf>
    <xf numFmtId="196" fontId="4" fillId="0" borderId="25" xfId="34" applyNumberFormat="1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8" fillId="0" borderId="47" xfId="0" applyFont="1" applyBorder="1" applyAlignment="1">
      <alignment horizontal="right" wrapText="1"/>
    </xf>
    <xf numFmtId="0" fontId="8" fillId="0" borderId="20" xfId="0" applyFont="1" applyBorder="1" applyAlignment="1">
      <alignment horizontal="right" wrapText="1"/>
    </xf>
    <xf numFmtId="0" fontId="8" fillId="35" borderId="24" xfId="0" applyFont="1" applyFill="1" applyBorder="1" applyAlignment="1">
      <alignment horizontal="right" wrapText="1"/>
    </xf>
    <xf numFmtId="0" fontId="8" fillId="35" borderId="48" xfId="0" applyFont="1" applyFill="1" applyBorder="1" applyAlignment="1">
      <alignment horizontal="right" wrapText="1"/>
    </xf>
    <xf numFmtId="0" fontId="4" fillId="0" borderId="25" xfId="52" applyFont="1" applyBorder="1" applyAlignment="1">
      <alignment horizontal="left"/>
      <protection/>
    </xf>
    <xf numFmtId="0" fontId="0" fillId="0" borderId="25" xfId="0" applyBorder="1" applyAlignment="1">
      <alignment/>
    </xf>
    <xf numFmtId="0" fontId="4" fillId="0" borderId="0" xfId="52" applyFont="1" applyBorder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0" fillId="0" borderId="0" xfId="52" applyFont="1" applyFill="1" applyAlignment="1">
      <alignment horizontal="justify" vertical="top" wrapText="1"/>
      <protection/>
    </xf>
    <xf numFmtId="0" fontId="0" fillId="0" borderId="0" xfId="0" applyFill="1" applyAlignment="1">
      <alignment horizontal="justify" vertical="top"/>
    </xf>
    <xf numFmtId="0" fontId="1" fillId="0" borderId="0" xfId="52" applyFont="1" applyFill="1" applyAlignment="1">
      <alignment horizontal="left"/>
      <protection/>
    </xf>
    <xf numFmtId="0" fontId="1" fillId="0" borderId="25" xfId="52" applyFont="1" applyBorder="1" applyAlignment="1">
      <alignment horizontal="right"/>
      <protection/>
    </xf>
    <xf numFmtId="0" fontId="1" fillId="0" borderId="0" xfId="52" applyFont="1" applyAlignment="1">
      <alignment horizontal="left"/>
      <protection/>
    </xf>
    <xf numFmtId="0" fontId="13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3" fontId="1" fillId="0" borderId="0" xfId="63" applyFont="1" applyFill="1" applyAlignment="1">
      <alignment/>
    </xf>
    <xf numFmtId="3" fontId="8" fillId="36" borderId="45" xfId="0" applyNumberFormat="1" applyFont="1" applyFill="1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_izvrsenje300903-s planom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sablon1-230704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38100</xdr:rowOff>
    </xdr:from>
    <xdr:to>
      <xdr:col>6</xdr:col>
      <xdr:colOff>47625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38100"/>
          <a:ext cx="123825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38100</xdr:rowOff>
    </xdr:from>
    <xdr:to>
      <xdr:col>6</xdr:col>
      <xdr:colOff>47625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38100"/>
          <a:ext cx="123825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4">
      <selection activeCell="G12" sqref="G12:I12"/>
    </sheetView>
  </sheetViews>
  <sheetFormatPr defaultColWidth="9.140625" defaultRowHeight="12.75"/>
  <cols>
    <col min="3" max="3" width="12.57421875" style="0" customWidth="1"/>
    <col min="4" max="4" width="4.57421875" style="0" customWidth="1"/>
    <col min="6" max="6" width="4.421875" style="0" customWidth="1"/>
    <col min="9" max="9" width="20.00390625" style="0" customWidth="1"/>
  </cols>
  <sheetData>
    <row r="1" spans="1:9" ht="12.75">
      <c r="A1" s="407"/>
      <c r="B1" s="407"/>
      <c r="C1" s="407"/>
      <c r="D1" s="407"/>
      <c r="E1" s="407"/>
      <c r="F1" s="407"/>
      <c r="G1" s="407"/>
      <c r="H1" s="407"/>
      <c r="I1" s="407"/>
    </row>
    <row r="2" spans="1:9" ht="12.75">
      <c r="A2" s="408" t="s">
        <v>250</v>
      </c>
      <c r="B2" s="409"/>
      <c r="C2" s="409"/>
      <c r="G2" s="408" t="s">
        <v>251</v>
      </c>
      <c r="H2" s="409"/>
      <c r="I2" s="409"/>
    </row>
    <row r="3" spans="1:9" ht="12.75">
      <c r="A3" s="409"/>
      <c r="B3" s="409"/>
      <c r="C3" s="409"/>
      <c r="G3" s="409"/>
      <c r="H3" s="409"/>
      <c r="I3" s="409"/>
    </row>
    <row r="4" spans="1:9" ht="12.75">
      <c r="A4" s="409"/>
      <c r="B4" s="409"/>
      <c r="C4" s="409"/>
      <c r="G4" s="409"/>
      <c r="H4" s="409"/>
      <c r="I4" s="409"/>
    </row>
    <row r="5" spans="1:9" ht="12.75">
      <c r="A5" s="409"/>
      <c r="B5" s="409"/>
      <c r="C5" s="409"/>
      <c r="G5" s="409"/>
      <c r="H5" s="409"/>
      <c r="I5" s="409"/>
    </row>
    <row r="6" spans="1:9" ht="12.75">
      <c r="A6" s="409"/>
      <c r="B6" s="409"/>
      <c r="C6" s="409"/>
      <c r="G6" s="409"/>
      <c r="H6" s="409"/>
      <c r="I6" s="409"/>
    </row>
    <row r="7" spans="1:9" ht="12.75">
      <c r="A7" s="409"/>
      <c r="B7" s="409"/>
      <c r="C7" s="409"/>
      <c r="G7" s="409"/>
      <c r="H7" s="409"/>
      <c r="I7" s="409"/>
    </row>
    <row r="8" spans="1:9" ht="12.75">
      <c r="A8" s="129"/>
      <c r="B8" s="129"/>
      <c r="C8" s="129"/>
      <c r="D8" s="129"/>
      <c r="E8" s="129"/>
      <c r="F8" s="129"/>
      <c r="G8" s="129"/>
      <c r="H8" s="129"/>
      <c r="I8" s="129"/>
    </row>
    <row r="12" spans="7:9" ht="18.75">
      <c r="G12" s="404"/>
      <c r="H12" s="405"/>
      <c r="I12" s="405"/>
    </row>
    <row r="20" spans="1:9" ht="12.75" customHeight="1">
      <c r="A20" s="410" t="s">
        <v>620</v>
      </c>
      <c r="B20" s="411"/>
      <c r="C20" s="411"/>
      <c r="D20" s="411"/>
      <c r="E20" s="411"/>
      <c r="F20" s="411"/>
      <c r="G20" s="411"/>
      <c r="H20" s="411"/>
      <c r="I20" s="411"/>
    </row>
    <row r="21" spans="1:9" ht="12.75">
      <c r="A21" s="411"/>
      <c r="B21" s="411"/>
      <c r="C21" s="411"/>
      <c r="D21" s="411"/>
      <c r="E21" s="411"/>
      <c r="F21" s="411"/>
      <c r="G21" s="411"/>
      <c r="H21" s="411"/>
      <c r="I21" s="411"/>
    </row>
    <row r="22" spans="1:9" ht="12.75">
      <c r="A22" s="407"/>
      <c r="B22" s="407"/>
      <c r="C22" s="407"/>
      <c r="D22" s="407"/>
      <c r="E22" s="407"/>
      <c r="F22" s="407"/>
      <c r="G22" s="407"/>
      <c r="H22" s="407"/>
      <c r="I22" s="407"/>
    </row>
    <row r="23" spans="1:9" ht="12.75">
      <c r="A23" s="407"/>
      <c r="B23" s="407"/>
      <c r="C23" s="407"/>
      <c r="D23" s="407"/>
      <c r="E23" s="407"/>
      <c r="F23" s="407"/>
      <c r="G23" s="407"/>
      <c r="H23" s="407"/>
      <c r="I23" s="407"/>
    </row>
    <row r="24" spans="1:9" ht="12.75">
      <c r="A24" s="407"/>
      <c r="B24" s="407"/>
      <c r="C24" s="407"/>
      <c r="D24" s="407"/>
      <c r="E24" s="407"/>
      <c r="F24" s="407"/>
      <c r="G24" s="407"/>
      <c r="H24" s="407"/>
      <c r="I24" s="407"/>
    </row>
    <row r="25" spans="1:9" ht="12.75">
      <c r="A25" s="407"/>
      <c r="B25" s="407"/>
      <c r="C25" s="407"/>
      <c r="D25" s="407"/>
      <c r="E25" s="407"/>
      <c r="F25" s="407"/>
      <c r="G25" s="407"/>
      <c r="H25" s="407"/>
      <c r="I25" s="407"/>
    </row>
    <row r="26" spans="1:9" ht="12.75">
      <c r="A26" s="407"/>
      <c r="B26" s="407"/>
      <c r="C26" s="407"/>
      <c r="D26" s="407"/>
      <c r="E26" s="407"/>
      <c r="F26" s="407"/>
      <c r="G26" s="407"/>
      <c r="H26" s="407"/>
      <c r="I26" s="407"/>
    </row>
    <row r="54" spans="1:9" ht="12.75">
      <c r="A54" s="406" t="s">
        <v>757</v>
      </c>
      <c r="B54" s="407"/>
      <c r="C54" s="407"/>
      <c r="D54" s="407"/>
      <c r="E54" s="407"/>
      <c r="F54" s="407"/>
      <c r="G54" s="407"/>
      <c r="H54" s="407"/>
      <c r="I54" s="407"/>
    </row>
    <row r="55" spans="1:9" ht="12.75">
      <c r="A55" s="407"/>
      <c r="B55" s="407"/>
      <c r="C55" s="407"/>
      <c r="D55" s="407"/>
      <c r="E55" s="407"/>
      <c r="F55" s="407"/>
      <c r="G55" s="407"/>
      <c r="H55" s="407"/>
      <c r="I55" s="407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</sheetData>
  <sheetProtection/>
  <mergeCells count="6">
    <mergeCell ref="G12:I12"/>
    <mergeCell ref="A54:I55"/>
    <mergeCell ref="A1:I1"/>
    <mergeCell ref="A2:C7"/>
    <mergeCell ref="G2:I7"/>
    <mergeCell ref="A20:I26"/>
  </mergeCells>
  <printOptions/>
  <pageMargins left="0.66" right="0.4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5"/>
  <dimension ref="A1:I63"/>
  <sheetViews>
    <sheetView zoomScalePageLayoutView="0" workbookViewId="0" topLeftCell="C28">
      <selection activeCell="I44" sqref="I44"/>
    </sheetView>
  </sheetViews>
  <sheetFormatPr defaultColWidth="9.140625" defaultRowHeight="12" customHeight="1"/>
  <cols>
    <col min="1" max="1" width="0.5625" style="13" hidden="1" customWidth="1"/>
    <col min="2" max="2" width="5.7109375" style="13" hidden="1" customWidth="1"/>
    <col min="3" max="3" width="10.7109375" style="24" customWidth="1"/>
    <col min="4" max="4" width="54.00390625" style="13" customWidth="1"/>
    <col min="5" max="6" width="15.7109375" style="13" customWidth="1"/>
    <col min="7" max="7" width="8.7109375" style="146" customWidth="1"/>
    <col min="8" max="8" width="9.140625" style="13" customWidth="1"/>
    <col min="9" max="9" width="10.421875" style="13" bestFit="1" customWidth="1"/>
    <col min="10" max="10" width="9.140625" style="13" customWidth="1"/>
    <col min="11" max="11" width="10.140625" style="13" bestFit="1" customWidth="1"/>
    <col min="12" max="16384" width="9.140625" style="13" customWidth="1"/>
  </cols>
  <sheetData>
    <row r="1" spans="2:7" s="1" customFormat="1" ht="51.75" customHeight="1">
      <c r="B1" s="3" t="s">
        <v>85</v>
      </c>
      <c r="C1" s="42" t="s">
        <v>87</v>
      </c>
      <c r="D1" s="43" t="s">
        <v>88</v>
      </c>
      <c r="E1" s="180" t="s">
        <v>361</v>
      </c>
      <c r="F1" s="180" t="s">
        <v>629</v>
      </c>
      <c r="G1" s="147" t="s">
        <v>530</v>
      </c>
    </row>
    <row r="2" spans="2:7" s="2" customFormat="1" ht="13.5" customHeight="1">
      <c r="B2" s="8">
        <v>1</v>
      </c>
      <c r="C2" s="8">
        <v>1</v>
      </c>
      <c r="D2" s="9">
        <v>2</v>
      </c>
      <c r="E2" s="35">
        <v>3</v>
      </c>
      <c r="F2" s="9">
        <v>4</v>
      </c>
      <c r="G2" s="156">
        <v>5</v>
      </c>
    </row>
    <row r="3" spans="2:7" s="1" customFormat="1" ht="13.5" customHeight="1">
      <c r="B3" s="17"/>
      <c r="C3" s="33" t="s">
        <v>115</v>
      </c>
      <c r="D3" s="116" t="s">
        <v>247</v>
      </c>
      <c r="E3" s="87">
        <f>3!G40</f>
        <v>30000</v>
      </c>
      <c r="F3" s="87">
        <f>3!H40</f>
        <v>30000</v>
      </c>
      <c r="G3" s="179">
        <f aca="true" t="shared" si="0" ref="G3:G14">F3/E3*100</f>
        <v>100</v>
      </c>
    </row>
    <row r="4" spans="2:7" s="1" customFormat="1" ht="13.5" customHeight="1">
      <c r="B4" s="17"/>
      <c r="C4" s="128" t="s">
        <v>115</v>
      </c>
      <c r="D4" s="116" t="s">
        <v>334</v>
      </c>
      <c r="E4" s="87">
        <f>3!G41</f>
        <v>15000</v>
      </c>
      <c r="F4" s="87">
        <f>3!H41</f>
        <v>15000</v>
      </c>
      <c r="G4" s="179">
        <f t="shared" si="0"/>
        <v>100</v>
      </c>
    </row>
    <row r="5" spans="2:7" s="1" customFormat="1" ht="13.5" customHeight="1">
      <c r="B5" s="17"/>
      <c r="C5" s="128" t="s">
        <v>115</v>
      </c>
      <c r="D5" s="116" t="s">
        <v>346</v>
      </c>
      <c r="E5" s="87">
        <f>3!G42</f>
        <v>15000</v>
      </c>
      <c r="F5" s="87">
        <f>3!H42</f>
        <v>15000</v>
      </c>
      <c r="G5" s="179">
        <f t="shared" si="0"/>
        <v>100</v>
      </c>
    </row>
    <row r="6" spans="2:7" s="1" customFormat="1" ht="24.75" customHeight="1">
      <c r="B6" s="17"/>
      <c r="C6" s="128" t="s">
        <v>115</v>
      </c>
      <c r="D6" s="391" t="s">
        <v>727</v>
      </c>
      <c r="E6" s="87">
        <f>3!G43</f>
        <v>0</v>
      </c>
      <c r="F6" s="87">
        <f>3!H43</f>
        <v>5000</v>
      </c>
      <c r="G6" s="179"/>
    </row>
    <row r="7" spans="2:7" s="1" customFormat="1" ht="13.5" customHeight="1">
      <c r="B7" s="17"/>
      <c r="C7" s="128" t="s">
        <v>115</v>
      </c>
      <c r="D7" s="116" t="s">
        <v>249</v>
      </c>
      <c r="E7" s="87">
        <f>3!G44</f>
        <v>30000</v>
      </c>
      <c r="F7" s="87">
        <f>3!H44</f>
        <v>30000</v>
      </c>
      <c r="G7" s="179">
        <f t="shared" si="0"/>
        <v>100</v>
      </c>
    </row>
    <row r="8" spans="2:7" s="1" customFormat="1" ht="13.5" customHeight="1">
      <c r="B8" s="17"/>
      <c r="C8" s="128" t="s">
        <v>115</v>
      </c>
      <c r="D8" s="121" t="s">
        <v>109</v>
      </c>
      <c r="E8" s="87">
        <f>'20'!G37</f>
        <v>30000</v>
      </c>
      <c r="F8" s="87">
        <f>'20'!H37</f>
        <v>30000</v>
      </c>
      <c r="G8" s="179">
        <f t="shared" si="0"/>
        <v>100</v>
      </c>
    </row>
    <row r="9" spans="2:7" s="1" customFormat="1" ht="13.5" customHeight="1">
      <c r="B9" s="17"/>
      <c r="C9" s="128" t="s">
        <v>115</v>
      </c>
      <c r="D9" s="121" t="s">
        <v>110</v>
      </c>
      <c r="E9" s="87">
        <f>'20'!G38</f>
        <v>80000</v>
      </c>
      <c r="F9" s="87">
        <f>'20'!H38</f>
        <v>150000</v>
      </c>
      <c r="G9" s="179">
        <f t="shared" si="0"/>
        <v>187.5</v>
      </c>
    </row>
    <row r="10" spans="2:7" ht="13.5" customHeight="1">
      <c r="B10" s="14"/>
      <c r="C10" s="128" t="s">
        <v>226</v>
      </c>
      <c r="D10" s="121" t="s">
        <v>123</v>
      </c>
      <c r="E10" s="87">
        <f>'15'!G31</f>
        <v>500000</v>
      </c>
      <c r="F10" s="87">
        <f>'15'!H31</f>
        <v>600000</v>
      </c>
      <c r="G10" s="179">
        <f t="shared" si="0"/>
        <v>120</v>
      </c>
    </row>
    <row r="11" spans="2:7" ht="13.5" customHeight="1">
      <c r="B11" s="14"/>
      <c r="C11" s="33" t="s">
        <v>226</v>
      </c>
      <c r="D11" s="30" t="s">
        <v>532</v>
      </c>
      <c r="E11" s="45">
        <f>'19'!G31</f>
        <v>800000</v>
      </c>
      <c r="F11" s="45">
        <f>'19'!H31</f>
        <v>800000</v>
      </c>
      <c r="G11" s="179">
        <f t="shared" si="0"/>
        <v>100</v>
      </c>
    </row>
    <row r="12" spans="2:7" ht="13.5" customHeight="1">
      <c r="B12" s="14"/>
      <c r="C12" s="33" t="s">
        <v>226</v>
      </c>
      <c r="D12" s="30" t="s">
        <v>533</v>
      </c>
      <c r="E12" s="45">
        <f>'19'!G32</f>
        <v>190000</v>
      </c>
      <c r="F12" s="45">
        <f>'19'!H32</f>
        <v>400000</v>
      </c>
      <c r="G12" s="179">
        <f t="shared" si="0"/>
        <v>210.52631578947367</v>
      </c>
    </row>
    <row r="13" spans="2:7" ht="13.5" customHeight="1">
      <c r="B13" s="14"/>
      <c r="C13" s="33" t="s">
        <v>226</v>
      </c>
      <c r="D13" s="30" t="s">
        <v>534</v>
      </c>
      <c r="E13" s="87">
        <f>'19'!G33</f>
        <v>800000</v>
      </c>
      <c r="F13" s="45">
        <f>'19'!H33</f>
        <v>800000</v>
      </c>
      <c r="G13" s="179">
        <f t="shared" si="0"/>
        <v>100</v>
      </c>
    </row>
    <row r="14" spans="2:7" ht="13.5" customHeight="1">
      <c r="B14" s="14"/>
      <c r="C14" s="33">
        <v>614800</v>
      </c>
      <c r="D14" s="30" t="s">
        <v>120</v>
      </c>
      <c r="E14" s="45">
        <f>'16'!G35</f>
        <v>66500</v>
      </c>
      <c r="F14" s="45">
        <f>'16'!H35</f>
        <v>50000</v>
      </c>
      <c r="G14" s="179">
        <f t="shared" si="0"/>
        <v>75.18796992481202</v>
      </c>
    </row>
    <row r="15" spans="2:7" ht="13.5" customHeight="1">
      <c r="B15" s="14"/>
      <c r="C15" s="33">
        <v>614800</v>
      </c>
      <c r="D15" s="30" t="s">
        <v>767</v>
      </c>
      <c r="E15" s="45">
        <f>'16'!G36</f>
        <v>0</v>
      </c>
      <c r="F15" s="45">
        <f>'16'!H36</f>
        <v>326000</v>
      </c>
      <c r="G15" s="179"/>
    </row>
    <row r="16" spans="1:7" ht="13.5" customHeight="1">
      <c r="A16" s="13">
        <v>614400</v>
      </c>
      <c r="B16" s="14"/>
      <c r="C16" s="17"/>
      <c r="D16" s="12"/>
      <c r="E16" s="20"/>
      <c r="F16" s="20"/>
      <c r="G16" s="179"/>
    </row>
    <row r="17" spans="2:7" ht="13.5" customHeight="1">
      <c r="B17" s="14"/>
      <c r="C17" s="14"/>
      <c r="D17" s="15"/>
      <c r="E17" s="45"/>
      <c r="F17" s="45"/>
      <c r="G17" s="179"/>
    </row>
    <row r="18" spans="2:9" ht="13.5" customHeight="1">
      <c r="B18" s="14"/>
      <c r="C18" s="40">
        <v>615000</v>
      </c>
      <c r="D18" s="34" t="s">
        <v>97</v>
      </c>
      <c r="E18" s="20">
        <f>SUM(E19:E21)</f>
        <v>158880</v>
      </c>
      <c r="F18" s="20">
        <f>SUM(F19:F21)</f>
        <v>400000</v>
      </c>
      <c r="G18" s="174">
        <f>F18/E18*100</f>
        <v>251.76233635448136</v>
      </c>
      <c r="I18" s="95"/>
    </row>
    <row r="19" spans="2:9" s="100" customFormat="1" ht="13.5" customHeight="1">
      <c r="B19" s="101"/>
      <c r="C19" s="85" t="s">
        <v>229</v>
      </c>
      <c r="D19" s="69" t="s">
        <v>97</v>
      </c>
      <c r="E19" s="46">
        <f>3!G48+'20'!G41</f>
        <v>130000</v>
      </c>
      <c r="F19" s="46">
        <f>3!H48+'20'!H41</f>
        <v>400000</v>
      </c>
      <c r="G19" s="179">
        <f>F19/E19*100</f>
        <v>307.69230769230774</v>
      </c>
      <c r="I19" s="183"/>
    </row>
    <row r="20" spans="2:7" ht="13.5" customHeight="1">
      <c r="B20" s="14"/>
      <c r="C20" s="85" t="s">
        <v>229</v>
      </c>
      <c r="D20" s="69" t="s">
        <v>230</v>
      </c>
      <c r="E20" s="46">
        <f>'17'!G34</f>
        <v>28880</v>
      </c>
      <c r="F20" s="46">
        <f>'17'!H34</f>
        <v>0</v>
      </c>
      <c r="G20" s="179">
        <f>F20/E20*100</f>
        <v>0</v>
      </c>
    </row>
    <row r="21" spans="2:7" ht="13.5" customHeight="1">
      <c r="B21" s="14"/>
      <c r="C21" s="39"/>
      <c r="D21" s="30"/>
      <c r="E21" s="123"/>
      <c r="F21" s="394"/>
      <c r="G21" s="179"/>
    </row>
    <row r="22" spans="2:7" ht="13.5" customHeight="1">
      <c r="B22" s="14"/>
      <c r="C22" s="38"/>
      <c r="D22" s="30"/>
      <c r="E22" s="46"/>
      <c r="F22" s="46"/>
      <c r="G22" s="179"/>
    </row>
    <row r="23" spans="2:7" ht="13.5" customHeight="1">
      <c r="B23" s="14"/>
      <c r="C23" s="10" t="s">
        <v>111</v>
      </c>
      <c r="D23" s="34" t="s">
        <v>223</v>
      </c>
      <c r="E23" s="114">
        <f>SUM(E24:E27)</f>
        <v>118180</v>
      </c>
      <c r="F23" s="20">
        <f>SUM(F24:F27)</f>
        <v>108400</v>
      </c>
      <c r="G23" s="174">
        <f>F23/E23*100</f>
        <v>91.72448806904721</v>
      </c>
    </row>
    <row r="24" spans="2:7" ht="13.5" customHeight="1">
      <c r="B24" s="14"/>
      <c r="C24" s="37">
        <v>616300</v>
      </c>
      <c r="D24" s="69" t="s">
        <v>206</v>
      </c>
      <c r="E24" s="123">
        <f>'20'!G44</f>
        <v>16220</v>
      </c>
      <c r="F24" s="46">
        <f>'20'!H44</f>
        <v>13100</v>
      </c>
      <c r="G24" s="179">
        <f>F24/E24*100</f>
        <v>80.76448828606658</v>
      </c>
    </row>
    <row r="25" spans="2:7" ht="13.5" customHeight="1">
      <c r="B25" s="14"/>
      <c r="C25" s="37">
        <v>616300</v>
      </c>
      <c r="D25" s="69" t="s">
        <v>349</v>
      </c>
      <c r="E25" s="46">
        <f>'16'!G39</f>
        <v>34100</v>
      </c>
      <c r="F25" s="46">
        <f>'16'!H39</f>
        <v>25500</v>
      </c>
      <c r="G25" s="179">
        <f>48+203+123+56+58+49+53+105+35+43+45+21+39+73</f>
        <v>951</v>
      </c>
    </row>
    <row r="26" spans="2:7" ht="13.5" customHeight="1">
      <c r="B26" s="14"/>
      <c r="C26" s="37">
        <v>616300</v>
      </c>
      <c r="D26" s="69" t="s">
        <v>233</v>
      </c>
      <c r="E26" s="46">
        <f>'16'!G40</f>
        <v>23800</v>
      </c>
      <c r="F26" s="46">
        <f>'16'!H40</f>
        <v>25700</v>
      </c>
      <c r="G26" s="179">
        <f>F26/E26*100</f>
        <v>107.98319327731092</v>
      </c>
    </row>
    <row r="27" spans="2:7" ht="13.5" customHeight="1">
      <c r="B27" s="14"/>
      <c r="C27" s="126">
        <v>616300</v>
      </c>
      <c r="D27" s="69" t="s">
        <v>238</v>
      </c>
      <c r="E27" s="46">
        <f>'16'!G41</f>
        <v>44060</v>
      </c>
      <c r="F27" s="46">
        <f>'16'!H41</f>
        <v>44100</v>
      </c>
      <c r="G27" s="179">
        <f>F27/E27*100</f>
        <v>100.09078529278257</v>
      </c>
    </row>
    <row r="28" spans="2:7" ht="13.5" customHeight="1">
      <c r="B28" s="14"/>
      <c r="C28" s="37"/>
      <c r="D28" s="69"/>
      <c r="E28" s="46"/>
      <c r="F28" s="46"/>
      <c r="G28" s="179"/>
    </row>
    <row r="29" spans="2:7" ht="13.5" customHeight="1">
      <c r="B29" s="14"/>
      <c r="C29" s="37"/>
      <c r="D29" s="15"/>
      <c r="E29" s="45"/>
      <c r="F29" s="45"/>
      <c r="G29" s="179"/>
    </row>
    <row r="30" spans="2:9" ht="13.5" customHeight="1">
      <c r="B30" s="14"/>
      <c r="C30" s="8">
        <v>821000</v>
      </c>
      <c r="D30" s="12" t="s">
        <v>98</v>
      </c>
      <c r="E30" s="20">
        <f>SUM(E31:E33)</f>
        <v>1466410</v>
      </c>
      <c r="F30" s="20">
        <f>SUM(F31:F33)</f>
        <v>1355930</v>
      </c>
      <c r="G30" s="174">
        <f>F30/E30*100</f>
        <v>92.46595426926984</v>
      </c>
      <c r="I30" s="95"/>
    </row>
    <row r="31" spans="2:7" ht="13.5" customHeight="1">
      <c r="B31" s="14"/>
      <c r="C31" s="126">
        <v>821200</v>
      </c>
      <c r="D31" s="19" t="s">
        <v>99</v>
      </c>
      <c r="E31" s="123">
        <f>1!G37+2!G37+3!G51+4!G38+5!G37+6!G37+8!G37+9!G37+'10'!G37+'11'!G37+'12'!G37+'13'!G37+'14'!G37+'15'!G34+'16'!G44+'17'!G37+'18'!G38+'19'!G36+'20'!G47+'22'!G37+'23'!G37+'21'!G37+'24'!G37+'25'!G37+'26'!G37+'27'!G37+'28'!G37+'29'!G37+'30'!G37+'31'!G34+'32'!G36+'33'!G35+'34'!G37+'35'!G37+'36'!G37+'37'!G37+7!G37</f>
        <v>415460</v>
      </c>
      <c r="F31" s="123">
        <f>1!H37+2!H37+3!H51+4!H38+5!H37+6!H37+8!H37+9!H37+'10'!H37+'11'!H37+'12'!H37+'13'!H37+'14'!H37+'15'!H34+'16'!H44+'17'!H37+'18'!H38+'19'!H36+'20'!H47+'22'!H37+'23'!H37+'21'!H37+'24'!H37+'25'!H37+'26'!H37+'27'!H37+'28'!H37+'29'!H37+'30'!H37+'31'!H34+'32'!H36+'33'!H35+'34'!H37+'35'!H37+'36'!H37+'37'!H37+7!H37</f>
        <v>163000</v>
      </c>
      <c r="G31" s="179">
        <f>F31/E31*100</f>
        <v>39.2336205651567</v>
      </c>
    </row>
    <row r="32" spans="2:7" ht="13.5" customHeight="1">
      <c r="B32" s="14"/>
      <c r="C32" s="126">
        <v>821300</v>
      </c>
      <c r="D32" s="19" t="s">
        <v>100</v>
      </c>
      <c r="E32" s="123">
        <f>1!G38+2!G38+3!G52+4!G39+5!G38+6!G38+8!G38+9!G38+'10'!G38+'11'!G38+'12'!G38+'13'!G38+'14'!G38+'15'!G35+'16'!G45+'17'!G38+'18'!G39+'19'!G37+'20'!G48+'22'!G38+'23'!G38+'21'!G38+'24'!G38+'25'!G38+'26'!G38+'27'!G38+'28'!G38+'29'!G38+'30'!G38+'31'!G35+'32'!G37+'33'!G36+'34'!G38+'35'!G38+'36'!G38+'37'!G38+7!G38</f>
        <v>210950</v>
      </c>
      <c r="F32" s="123">
        <f>1!H38+2!H38+3!H52+4!H39+5!H38+6!H38+8!H38+9!H38+'10'!H38+'11'!H38+'12'!H38+'13'!H38+'14'!H38+'15'!H35+'16'!H45+'17'!H38+'18'!H39+'19'!H37+'20'!H48+'22'!H38+'23'!H38+'21'!H38+'24'!H38+'25'!H38+'26'!H38+'27'!H38+'28'!H38+'29'!H38+'30'!H38+'31'!H35+'32'!H37+'33'!H36+'34'!H38+'35'!H38+'36'!H38+'37'!H38+7!H38</f>
        <v>342930</v>
      </c>
      <c r="G32" s="179">
        <f>F32/E32*100</f>
        <v>162.56458876511022</v>
      </c>
    </row>
    <row r="33" spans="2:7" s="1" customFormat="1" ht="13.5" customHeight="1">
      <c r="B33" s="17"/>
      <c r="C33" s="126">
        <v>821600</v>
      </c>
      <c r="D33" s="116" t="s">
        <v>112</v>
      </c>
      <c r="E33" s="123">
        <f>'18'!G40</f>
        <v>840000</v>
      </c>
      <c r="F33" s="123">
        <f>'18'!H40</f>
        <v>850000</v>
      </c>
      <c r="G33" s="179">
        <f>F33/E33*100</f>
        <v>101.19047619047619</v>
      </c>
    </row>
    <row r="34" spans="2:7" ht="13.5" customHeight="1">
      <c r="B34" s="14"/>
      <c r="C34" s="37"/>
      <c r="D34" s="15"/>
      <c r="E34" s="45"/>
      <c r="F34" s="45"/>
      <c r="G34" s="179"/>
    </row>
    <row r="35" spans="2:7" ht="13.5" customHeight="1">
      <c r="B35" s="14"/>
      <c r="C35" s="37"/>
      <c r="D35" s="26"/>
      <c r="E35" s="123"/>
      <c r="F35" s="46"/>
      <c r="G35" s="179"/>
    </row>
    <row r="36" spans="2:7" ht="13.5" customHeight="1">
      <c r="B36" s="14"/>
      <c r="C36" s="8">
        <v>823000</v>
      </c>
      <c r="D36" s="12" t="s">
        <v>224</v>
      </c>
      <c r="E36" s="20">
        <f>SUM(E37:E39)</f>
        <v>1946960</v>
      </c>
      <c r="F36" s="20">
        <f>SUM(F37:F39)</f>
        <v>1461750</v>
      </c>
      <c r="G36" s="174">
        <f>F36/E36*100</f>
        <v>75.07858404897893</v>
      </c>
    </row>
    <row r="37" spans="2:7" ht="13.5" customHeight="1">
      <c r="B37" s="14"/>
      <c r="C37" s="37">
        <v>823300</v>
      </c>
      <c r="D37" s="26" t="s">
        <v>237</v>
      </c>
      <c r="E37" s="87">
        <f>'20'!G51</f>
        <v>75850</v>
      </c>
      <c r="F37" s="45">
        <f>'20'!H51</f>
        <v>77100</v>
      </c>
      <c r="G37" s="179">
        <f>F37/E37*100</f>
        <v>101.6479894528675</v>
      </c>
    </row>
    <row r="38" spans="2:7" ht="13.5" customHeight="1">
      <c r="B38" s="14"/>
      <c r="C38" s="37">
        <v>823300</v>
      </c>
      <c r="D38" s="26" t="s">
        <v>348</v>
      </c>
      <c r="E38" s="46">
        <f>'16'!G48</f>
        <v>1730770</v>
      </c>
      <c r="F38" s="46">
        <f>'16'!H48</f>
        <v>1384650</v>
      </c>
      <c r="G38" s="179">
        <f>F38/E38*100</f>
        <v>80.00196444357137</v>
      </c>
    </row>
    <row r="39" spans="2:7" ht="13.5" customHeight="1">
      <c r="B39" s="14"/>
      <c r="C39" s="37">
        <v>823300</v>
      </c>
      <c r="D39" s="26" t="s">
        <v>342</v>
      </c>
      <c r="E39" s="45">
        <f>'16'!G49</f>
        <v>140340</v>
      </c>
      <c r="F39" s="45">
        <f>'16'!H49</f>
        <v>0</v>
      </c>
      <c r="G39" s="179">
        <f>F39/E39*100</f>
        <v>0</v>
      </c>
    </row>
    <row r="40" spans="2:7" ht="13.5" customHeight="1">
      <c r="B40" s="14"/>
      <c r="C40" s="37"/>
      <c r="D40" s="15"/>
      <c r="E40" s="45"/>
      <c r="F40" s="45"/>
      <c r="G40" s="160"/>
    </row>
    <row r="41" spans="2:7" ht="13.5" customHeight="1">
      <c r="B41" s="14"/>
      <c r="C41" s="37"/>
      <c r="D41" s="15"/>
      <c r="E41" s="45"/>
      <c r="F41" s="45"/>
      <c r="G41" s="160"/>
    </row>
    <row r="42" spans="2:9" ht="13.5" customHeight="1">
      <c r="B42" s="14"/>
      <c r="C42" s="8"/>
      <c r="D42" s="12" t="s">
        <v>101</v>
      </c>
      <c r="E42" s="140" t="s">
        <v>616</v>
      </c>
      <c r="F42" s="140" t="s">
        <v>768</v>
      </c>
      <c r="G42" s="176"/>
      <c r="I42" s="95"/>
    </row>
    <row r="43" spans="2:9" ht="13.5" customHeight="1">
      <c r="B43" s="14"/>
      <c r="C43" s="8"/>
      <c r="D43" s="12" t="s">
        <v>122</v>
      </c>
      <c r="E43" s="114">
        <f>1!G42+2!G42+3!G56+4!G43+5!G42+6!G42+7!G42+8!G42+9!G42+'10'!G42+'11'!G42+'12'!G42+'13'!G42+'14'!G42+'15'!G39+'16'!G52+'17'!G42+'18'!G43+'19'!G41+'20'!G55+'22'!G42+'23'!G42+'21'!G42+'24'!G42+'25'!G42+'26'!G42+'27'!G42+'28'!G42+'29'!G42+'30'!G42+'31'!G39+'32'!G41+'33'!G40+'34'!G42+'35'!G42+'36'!G42+'37'!G42</f>
        <v>37494520</v>
      </c>
      <c r="F43" s="20">
        <f>1!H42+2!H42+3!H56+4!H43+5!H42+6!H42+7!H42+8!H42+9!H42+'10'!H42+'11'!H42+'12'!H42+'13'!H42+'14'!H42+'15'!H39+'16'!H52+'17'!H42+'18'!H43+'19'!H41+'20'!H55+'22'!H42+'23'!H42+'21'!H42+'24'!H42+'25'!H42+'26'!H42+'27'!H42+'28'!H42+'29'!H42+'30'!H42+'31'!H39+'32'!H41+'33'!H40+'34'!H42+'35'!H42+'36'!H42+'37'!H42</f>
        <v>39348510</v>
      </c>
      <c r="G43" s="161">
        <f>F43/E43*100</f>
        <v>104.9446959182302</v>
      </c>
      <c r="I43" s="95"/>
    </row>
    <row r="44" spans="2:7" s="1" customFormat="1" ht="13.5" customHeight="1" thickBot="1">
      <c r="B44" s="17"/>
      <c r="C44" s="41"/>
      <c r="D44" s="22"/>
      <c r="E44" s="36"/>
      <c r="F44" s="22"/>
      <c r="G44" s="162"/>
    </row>
    <row r="45" spans="2:7" ht="13.5" customHeight="1" thickBot="1">
      <c r="B45" s="14"/>
      <c r="C45" s="82"/>
      <c r="D45" s="83"/>
      <c r="E45" s="83"/>
      <c r="F45" s="83"/>
      <c r="G45" s="150"/>
    </row>
    <row r="46" ht="12" customHeight="1">
      <c r="B46" s="14"/>
    </row>
    <row r="47" spans="2:7" s="1" customFormat="1" ht="12" customHeight="1">
      <c r="B47" s="17"/>
      <c r="C47" s="109"/>
      <c r="D47" s="13"/>
      <c r="E47" s="95"/>
      <c r="F47" s="95"/>
      <c r="G47" s="146"/>
    </row>
    <row r="48" spans="2:7" s="1" customFormat="1" ht="12" customHeight="1">
      <c r="B48" s="17"/>
      <c r="C48" s="48"/>
      <c r="D48" s="13"/>
      <c r="E48" s="13"/>
      <c r="F48" s="13"/>
      <c r="G48" s="146"/>
    </row>
    <row r="49" spans="2:7" s="1" customFormat="1" ht="15.75" customHeight="1">
      <c r="B49" s="17"/>
      <c r="C49" s="111" t="s">
        <v>240</v>
      </c>
      <c r="D49" s="13"/>
      <c r="E49" s="13"/>
      <c r="F49" s="13"/>
      <c r="G49" s="146"/>
    </row>
    <row r="50" spans="2:3" ht="12" customHeight="1">
      <c r="B50" s="14"/>
      <c r="C50" s="112"/>
    </row>
    <row r="51" spans="2:7" ht="3.75" customHeight="1">
      <c r="B51" s="14"/>
      <c r="C51" s="436"/>
      <c r="D51" s="436"/>
      <c r="E51" s="436"/>
      <c r="F51" s="436"/>
      <c r="G51" s="436"/>
    </row>
    <row r="52" spans="2:7" s="1" customFormat="1" ht="12" customHeight="1">
      <c r="B52" s="17"/>
      <c r="C52" s="436" t="s">
        <v>241</v>
      </c>
      <c r="D52" s="436"/>
      <c r="E52" s="49"/>
      <c r="F52" s="49"/>
      <c r="G52" s="151"/>
    </row>
    <row r="53" spans="2:3" ht="8.25" customHeight="1">
      <c r="B53" s="14"/>
      <c r="C53" s="112"/>
    </row>
    <row r="54" spans="2:7" ht="12" customHeight="1">
      <c r="B54" s="14"/>
      <c r="C54" s="437" t="s">
        <v>770</v>
      </c>
      <c r="D54" s="438"/>
      <c r="E54" s="438"/>
      <c r="F54" s="438"/>
      <c r="G54" s="438"/>
    </row>
    <row r="55" spans="2:7" ht="29.25" customHeight="1">
      <c r="B55" s="14"/>
      <c r="C55" s="438"/>
      <c r="D55" s="438"/>
      <c r="E55" s="438"/>
      <c r="F55" s="438"/>
      <c r="G55" s="438"/>
    </row>
    <row r="56" spans="2:3" ht="12" customHeight="1">
      <c r="B56" s="14"/>
      <c r="C56" s="48"/>
    </row>
    <row r="57" spans="2:3" ht="12" customHeight="1">
      <c r="B57" s="14"/>
      <c r="C57" s="48"/>
    </row>
    <row r="58" spans="2:3" ht="12" customHeight="1">
      <c r="B58" s="14"/>
      <c r="C58" s="48"/>
    </row>
    <row r="59" spans="2:7" s="1" customFormat="1" ht="12" customHeight="1">
      <c r="B59" s="17"/>
      <c r="C59" s="24"/>
      <c r="D59" s="13"/>
      <c r="E59" s="13"/>
      <c r="F59" s="13"/>
      <c r="G59" s="146"/>
    </row>
    <row r="60" spans="2:7" s="1" customFormat="1" ht="12" customHeight="1">
      <c r="B60" s="28"/>
      <c r="C60" s="24"/>
      <c r="D60" s="13"/>
      <c r="E60" s="13"/>
      <c r="F60" s="13"/>
      <c r="G60" s="146"/>
    </row>
    <row r="61" spans="2:7" s="1" customFormat="1" ht="12" customHeight="1">
      <c r="B61" s="28"/>
      <c r="C61" s="24"/>
      <c r="D61" s="13"/>
      <c r="E61" s="13"/>
      <c r="F61" s="13"/>
      <c r="G61" s="146"/>
    </row>
    <row r="62" spans="2:7" s="1" customFormat="1" ht="12" customHeight="1">
      <c r="B62" s="28"/>
      <c r="C62" s="24"/>
      <c r="D62" s="13"/>
      <c r="E62" s="13"/>
      <c r="F62" s="13"/>
      <c r="G62" s="146"/>
    </row>
    <row r="63" ht="12" customHeight="1" thickBot="1">
      <c r="B63" s="21"/>
    </row>
  </sheetData>
  <sheetProtection/>
  <mergeCells count="3">
    <mergeCell ref="C51:G51"/>
    <mergeCell ref="C52:D52"/>
    <mergeCell ref="C54:G55"/>
  </mergeCells>
  <printOptions/>
  <pageMargins left="0.67" right="0.16" top="0.63" bottom="0.56" header="0.5118110236220472" footer="0.4"/>
  <pageSetup horizontalDpi="600" verticalDpi="600" orientation="portrait" paperSize="9" scale="88" r:id="rId1"/>
  <headerFooter alignWithMargins="0">
    <oddFooter>&amp;R8</oddFooter>
  </headerFooter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L47"/>
  <sheetViews>
    <sheetView zoomScalePageLayoutView="0" workbookViewId="0" topLeftCell="B1">
      <selection activeCell="H10" sqref="H1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28125" style="24" customWidth="1"/>
    <col min="6" max="6" width="43.7109375" style="13" customWidth="1"/>
    <col min="7" max="8" width="15.7109375" style="13" customWidth="1"/>
    <col min="9" max="9" width="8.7109375" style="146" customWidth="1"/>
    <col min="10" max="10" width="9.140625" style="13" customWidth="1"/>
    <col min="11" max="11" width="9.57421875" style="13" bestFit="1" customWidth="1"/>
    <col min="12" max="16384" width="9.140625" style="13" customWidth="1"/>
  </cols>
  <sheetData>
    <row r="2" spans="2:9" ht="15" customHeight="1">
      <c r="B2" s="439" t="s">
        <v>126</v>
      </c>
      <c r="C2" s="439"/>
      <c r="D2" s="439"/>
      <c r="E2" s="439"/>
      <c r="F2" s="439"/>
      <c r="G2" s="439"/>
      <c r="H2" s="439"/>
      <c r="I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>
        <v>10</v>
      </c>
      <c r="C6" s="11" t="s">
        <v>89</v>
      </c>
      <c r="D6" s="11" t="s">
        <v>90</v>
      </c>
      <c r="E6" s="9"/>
      <c r="F6" s="9"/>
      <c r="G6" s="35"/>
      <c r="H6" s="9"/>
      <c r="I6" s="157"/>
    </row>
    <row r="7" spans="2:11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SUM(G8:G10)</f>
        <v>364720</v>
      </c>
      <c r="H7" s="20">
        <f>SUM(H8:H10)</f>
        <v>343350</v>
      </c>
      <c r="I7" s="158">
        <f aca="true" t="shared" si="0" ref="I7:I38">IF(G7=0,"",H7/G7*100)</f>
        <v>94.14071068216714</v>
      </c>
      <c r="K7" s="94"/>
    </row>
    <row r="8" spans="2:11" ht="12.75" customHeight="1">
      <c r="B8" s="14"/>
      <c r="C8" s="15"/>
      <c r="D8" s="15"/>
      <c r="E8" s="16">
        <v>611100</v>
      </c>
      <c r="F8" s="26" t="s">
        <v>218</v>
      </c>
      <c r="G8" s="87">
        <v>298200</v>
      </c>
      <c r="H8" s="87">
        <f>257300+12400</f>
        <v>269700</v>
      </c>
      <c r="I8" s="159">
        <f t="shared" si="0"/>
        <v>90.44265593561369</v>
      </c>
      <c r="J8" s="86"/>
      <c r="K8" s="94"/>
    </row>
    <row r="9" spans="2:11" ht="12.75" customHeight="1">
      <c r="B9" s="14"/>
      <c r="C9" s="15"/>
      <c r="D9" s="15"/>
      <c r="E9" s="16">
        <v>611200</v>
      </c>
      <c r="F9" s="26" t="s">
        <v>219</v>
      </c>
      <c r="G9" s="87">
        <v>61300</v>
      </c>
      <c r="H9" s="87">
        <f>53100+2650+400</f>
        <v>56150</v>
      </c>
      <c r="I9" s="159">
        <f t="shared" si="0"/>
        <v>91.59869494290375</v>
      </c>
      <c r="K9" s="94"/>
    </row>
    <row r="10" spans="2:11" ht="12.75" customHeight="1">
      <c r="B10" s="14"/>
      <c r="C10" s="15"/>
      <c r="D10" s="15"/>
      <c r="E10" s="16">
        <v>611200</v>
      </c>
      <c r="F10" s="26" t="s">
        <v>739</v>
      </c>
      <c r="G10" s="87">
        <v>5220</v>
      </c>
      <c r="H10" s="87">
        <v>17500</v>
      </c>
      <c r="I10" s="159">
        <f t="shared" si="0"/>
        <v>335.2490421455939</v>
      </c>
      <c r="K10" s="94"/>
    </row>
    <row r="11" spans="2:11" ht="12.75" customHeight="1">
      <c r="B11" s="14"/>
      <c r="C11" s="15"/>
      <c r="D11" s="15"/>
      <c r="E11" s="16"/>
      <c r="F11" s="15"/>
      <c r="G11" s="45"/>
      <c r="H11" s="45"/>
      <c r="I11" s="158">
        <f t="shared" si="0"/>
      </c>
      <c r="K11" s="94"/>
    </row>
    <row r="12" spans="2:11" ht="12.75" customHeight="1">
      <c r="B12" s="17"/>
      <c r="C12" s="12"/>
      <c r="D12" s="12"/>
      <c r="E12" s="9">
        <v>612000</v>
      </c>
      <c r="F12" s="12" t="s">
        <v>173</v>
      </c>
      <c r="G12" s="20">
        <f>G13+G14</f>
        <v>31600</v>
      </c>
      <c r="H12" s="20">
        <f>H13+H14</f>
        <v>28610</v>
      </c>
      <c r="I12" s="158">
        <f t="shared" si="0"/>
        <v>90.5379746835443</v>
      </c>
      <c r="K12" s="94"/>
    </row>
    <row r="13" spans="2:11" s="1" customFormat="1" ht="12.75" customHeight="1">
      <c r="B13" s="14"/>
      <c r="C13" s="15"/>
      <c r="D13" s="15"/>
      <c r="E13" s="16">
        <v>612100</v>
      </c>
      <c r="F13" s="18" t="s">
        <v>91</v>
      </c>
      <c r="G13" s="87">
        <v>31600</v>
      </c>
      <c r="H13" s="87">
        <f>27300+1310</f>
        <v>28610</v>
      </c>
      <c r="I13" s="159">
        <f t="shared" si="0"/>
        <v>90.5379746835443</v>
      </c>
      <c r="K13" s="94"/>
    </row>
    <row r="14" spans="2:11" ht="12.75" customHeight="1">
      <c r="B14" s="14"/>
      <c r="C14" s="15"/>
      <c r="D14" s="15"/>
      <c r="E14" s="16"/>
      <c r="F14" s="15"/>
      <c r="G14" s="45"/>
      <c r="H14" s="45"/>
      <c r="I14" s="158">
        <f t="shared" si="0"/>
      </c>
      <c r="K14" s="94"/>
    </row>
    <row r="15" spans="2:11" ht="12.75" customHeight="1">
      <c r="B15" s="14"/>
      <c r="C15" s="15"/>
      <c r="D15" s="15"/>
      <c r="E15" s="16"/>
      <c r="F15" s="15"/>
      <c r="G15" s="45"/>
      <c r="H15" s="45"/>
      <c r="I15" s="158">
        <f t="shared" si="0"/>
      </c>
      <c r="K15" s="94"/>
    </row>
    <row r="16" spans="2:11" ht="12.75" customHeight="1">
      <c r="B16" s="17"/>
      <c r="C16" s="12"/>
      <c r="D16" s="12"/>
      <c r="E16" s="9">
        <v>613000</v>
      </c>
      <c r="F16" s="12" t="s">
        <v>175</v>
      </c>
      <c r="G16" s="51">
        <f>SUM(G17:G26)</f>
        <v>251150</v>
      </c>
      <c r="H16" s="51">
        <f>SUM(H17:H26)</f>
        <v>267850</v>
      </c>
      <c r="I16" s="158">
        <f t="shared" si="0"/>
        <v>106.64941270157276</v>
      </c>
      <c r="K16" s="94"/>
    </row>
    <row r="17" spans="2:11" s="1" customFormat="1" ht="12.75" customHeight="1">
      <c r="B17" s="14"/>
      <c r="C17" s="15"/>
      <c r="D17" s="15"/>
      <c r="E17" s="16">
        <v>613100</v>
      </c>
      <c r="F17" s="15" t="s">
        <v>92</v>
      </c>
      <c r="G17" s="45">
        <v>6000</v>
      </c>
      <c r="H17" s="45">
        <v>6000</v>
      </c>
      <c r="I17" s="159">
        <f t="shared" si="0"/>
        <v>100</v>
      </c>
      <c r="K17" s="94"/>
    </row>
    <row r="18" spans="2:11" ht="12.75" customHeight="1">
      <c r="B18" s="14"/>
      <c r="C18" s="15"/>
      <c r="D18" s="15"/>
      <c r="E18" s="16">
        <v>613200</v>
      </c>
      <c r="F18" s="15" t="s">
        <v>93</v>
      </c>
      <c r="G18" s="45">
        <v>13600</v>
      </c>
      <c r="H18" s="45">
        <v>13600</v>
      </c>
      <c r="I18" s="159">
        <f t="shared" si="0"/>
        <v>100</v>
      </c>
      <c r="K18" s="94"/>
    </row>
    <row r="19" spans="2:11" ht="12.75" customHeight="1">
      <c r="B19" s="14"/>
      <c r="C19" s="15"/>
      <c r="D19" s="15"/>
      <c r="E19" s="16">
        <v>613300</v>
      </c>
      <c r="F19" s="26" t="s">
        <v>220</v>
      </c>
      <c r="G19" s="45">
        <v>6300</v>
      </c>
      <c r="H19" s="45">
        <v>7300</v>
      </c>
      <c r="I19" s="159">
        <f t="shared" si="0"/>
        <v>115.87301587301589</v>
      </c>
      <c r="K19" s="94"/>
    </row>
    <row r="20" spans="2:11" ht="12.75" customHeight="1">
      <c r="B20" s="14"/>
      <c r="C20" s="15"/>
      <c r="D20" s="15"/>
      <c r="E20" s="16">
        <v>613400</v>
      </c>
      <c r="F20" s="26" t="s">
        <v>176</v>
      </c>
      <c r="G20" s="87">
        <v>5500</v>
      </c>
      <c r="H20" s="87">
        <v>5500</v>
      </c>
      <c r="I20" s="159">
        <f t="shared" si="0"/>
        <v>100</v>
      </c>
      <c r="K20" s="94"/>
    </row>
    <row r="21" spans="2:11" ht="12.75" customHeight="1">
      <c r="B21" s="14"/>
      <c r="C21" s="15"/>
      <c r="D21" s="15"/>
      <c r="E21" s="16">
        <v>613500</v>
      </c>
      <c r="F21" s="15" t="s">
        <v>94</v>
      </c>
      <c r="G21" s="87">
        <v>10000</v>
      </c>
      <c r="H21" s="87">
        <v>10000</v>
      </c>
      <c r="I21" s="159">
        <f t="shared" si="0"/>
        <v>100</v>
      </c>
      <c r="K21" s="94"/>
    </row>
    <row r="22" spans="2:11" ht="12.75" customHeight="1">
      <c r="B22" s="14"/>
      <c r="C22" s="15"/>
      <c r="D22" s="15"/>
      <c r="E22" s="16">
        <v>613600</v>
      </c>
      <c r="F22" s="26" t="s">
        <v>221</v>
      </c>
      <c r="G22" s="45">
        <v>0</v>
      </c>
      <c r="H22" s="45">
        <v>0</v>
      </c>
      <c r="I22" s="159">
        <f t="shared" si="0"/>
      </c>
      <c r="K22" s="94"/>
    </row>
    <row r="23" spans="2:11" ht="12.75" customHeight="1">
      <c r="B23" s="14"/>
      <c r="C23" s="15"/>
      <c r="D23" s="15"/>
      <c r="E23" s="16">
        <v>613700</v>
      </c>
      <c r="F23" s="15" t="s">
        <v>95</v>
      </c>
      <c r="G23" s="45">
        <v>9000</v>
      </c>
      <c r="H23" s="45">
        <v>8000</v>
      </c>
      <c r="I23" s="159">
        <f t="shared" si="0"/>
        <v>88.88888888888889</v>
      </c>
      <c r="K23" s="94"/>
    </row>
    <row r="24" spans="2:11" ht="12.75" customHeight="1">
      <c r="B24" s="14"/>
      <c r="C24" s="15"/>
      <c r="D24" s="15"/>
      <c r="E24" s="16">
        <v>613800</v>
      </c>
      <c r="F24" s="26" t="s">
        <v>177</v>
      </c>
      <c r="G24" s="45">
        <v>350</v>
      </c>
      <c r="H24" s="45">
        <v>350</v>
      </c>
      <c r="I24" s="159">
        <f t="shared" si="0"/>
        <v>100</v>
      </c>
      <c r="K24" s="139"/>
    </row>
    <row r="25" spans="2:11" ht="12.75" customHeight="1">
      <c r="B25" s="14"/>
      <c r="C25" s="15"/>
      <c r="D25" s="15"/>
      <c r="E25" s="16">
        <v>613900</v>
      </c>
      <c r="F25" s="26" t="s">
        <v>178</v>
      </c>
      <c r="G25" s="87">
        <v>194000</v>
      </c>
      <c r="H25" s="87">
        <v>194000</v>
      </c>
      <c r="I25" s="159">
        <f t="shared" si="0"/>
        <v>100</v>
      </c>
      <c r="J25" s="113"/>
      <c r="K25" s="138"/>
    </row>
    <row r="26" spans="2:12" ht="12.75" customHeight="1">
      <c r="B26" s="14"/>
      <c r="C26" s="15"/>
      <c r="D26" s="15"/>
      <c r="E26" s="16">
        <v>613900</v>
      </c>
      <c r="F26" s="26" t="s">
        <v>740</v>
      </c>
      <c r="G26" s="45">
        <v>6400</v>
      </c>
      <c r="H26" s="45">
        <v>23100</v>
      </c>
      <c r="I26" s="159">
        <f t="shared" si="0"/>
        <v>360.9375</v>
      </c>
      <c r="K26" s="94"/>
      <c r="L26" s="86"/>
    </row>
    <row r="27" spans="2:11" ht="12.75" customHeight="1">
      <c r="B27" s="14"/>
      <c r="C27" s="15"/>
      <c r="D27" s="15"/>
      <c r="E27" s="16"/>
      <c r="F27" s="15"/>
      <c r="G27" s="45"/>
      <c r="H27" s="45"/>
      <c r="I27" s="158">
        <f t="shared" si="0"/>
      </c>
      <c r="K27" s="94"/>
    </row>
    <row r="28" spans="2:11" ht="12.75" customHeight="1">
      <c r="B28" s="17"/>
      <c r="C28" s="12"/>
      <c r="D28" s="12"/>
      <c r="E28" s="9">
        <v>614000</v>
      </c>
      <c r="F28" s="12" t="s">
        <v>222</v>
      </c>
      <c r="G28" s="20">
        <f>SUM(G29:G34)</f>
        <v>160000</v>
      </c>
      <c r="H28" s="20">
        <f>SUM(H29:H34)</f>
        <v>0</v>
      </c>
      <c r="I28" s="158">
        <f t="shared" si="0"/>
        <v>0</v>
      </c>
      <c r="K28" s="94"/>
    </row>
    <row r="29" spans="2:11" s="1" customFormat="1" ht="12.75" customHeight="1">
      <c r="B29" s="14"/>
      <c r="C29" s="15"/>
      <c r="D29" s="15"/>
      <c r="E29" s="16">
        <v>614300</v>
      </c>
      <c r="F29" s="26" t="s">
        <v>104</v>
      </c>
      <c r="G29" s="45">
        <v>160000</v>
      </c>
      <c r="H29" s="45">
        <v>0</v>
      </c>
      <c r="I29" s="159">
        <f t="shared" si="0"/>
        <v>0</v>
      </c>
      <c r="K29" s="94"/>
    </row>
    <row r="30" spans="2:11" ht="12.75" customHeight="1">
      <c r="B30" s="14"/>
      <c r="C30" s="15"/>
      <c r="D30" s="15"/>
      <c r="E30" s="16"/>
      <c r="F30" s="26"/>
      <c r="G30" s="45"/>
      <c r="H30" s="45"/>
      <c r="I30" s="158">
        <f t="shared" si="0"/>
      </c>
      <c r="K30" s="94"/>
    </row>
    <row r="31" spans="2:11" ht="12.75" customHeight="1">
      <c r="B31" s="14"/>
      <c r="C31" s="15"/>
      <c r="D31" s="15"/>
      <c r="E31" s="16"/>
      <c r="F31" s="15"/>
      <c r="G31" s="45"/>
      <c r="H31" s="45"/>
      <c r="I31" s="158">
        <f t="shared" si="0"/>
      </c>
      <c r="K31" s="94"/>
    </row>
    <row r="32" spans="2:11" ht="12.75" customHeight="1">
      <c r="B32" s="14"/>
      <c r="C32" s="15"/>
      <c r="D32" s="15"/>
      <c r="E32" s="16"/>
      <c r="F32" s="15"/>
      <c r="G32" s="45"/>
      <c r="H32" s="45"/>
      <c r="I32" s="158">
        <f t="shared" si="0"/>
      </c>
      <c r="K32" s="94"/>
    </row>
    <row r="33" spans="2:11" ht="12.75" customHeight="1">
      <c r="B33" s="14"/>
      <c r="C33" s="15"/>
      <c r="D33" s="15"/>
      <c r="E33" s="16"/>
      <c r="F33" s="15"/>
      <c r="G33" s="45"/>
      <c r="H33" s="45"/>
      <c r="I33" s="158">
        <f t="shared" si="0"/>
      </c>
      <c r="K33" s="94"/>
    </row>
    <row r="34" spans="2:11" ht="12.75" customHeight="1">
      <c r="B34" s="14"/>
      <c r="C34" s="15"/>
      <c r="D34" s="15"/>
      <c r="E34" s="16"/>
      <c r="F34" s="19"/>
      <c r="G34" s="45"/>
      <c r="H34" s="45"/>
      <c r="I34" s="158">
        <f t="shared" si="0"/>
      </c>
      <c r="K34" s="94"/>
    </row>
    <row r="35" spans="2:11" ht="12.75" customHeight="1">
      <c r="B35" s="14"/>
      <c r="C35" s="15"/>
      <c r="D35" s="15"/>
      <c r="E35" s="16"/>
      <c r="F35" s="15"/>
      <c r="G35" s="45"/>
      <c r="H35" s="45"/>
      <c r="I35" s="158">
        <f t="shared" si="0"/>
      </c>
      <c r="K35" s="94"/>
    </row>
    <row r="36" spans="2:11" ht="12.75" customHeight="1">
      <c r="B36" s="17"/>
      <c r="C36" s="12"/>
      <c r="D36" s="12"/>
      <c r="E36" s="9">
        <v>821000</v>
      </c>
      <c r="F36" s="12" t="s">
        <v>98</v>
      </c>
      <c r="G36" s="20">
        <f>SUM(G37:G38)</f>
        <v>8000</v>
      </c>
      <c r="H36" s="20">
        <f>SUM(H37:H38)</f>
        <v>4000</v>
      </c>
      <c r="I36" s="158">
        <f t="shared" si="0"/>
        <v>50</v>
      </c>
      <c r="K36" s="94"/>
    </row>
    <row r="37" spans="2:11" s="1" customFormat="1" ht="12.75" customHeight="1">
      <c r="B37" s="14"/>
      <c r="C37" s="15"/>
      <c r="D37" s="15"/>
      <c r="E37" s="16">
        <v>821200</v>
      </c>
      <c r="F37" s="15" t="s">
        <v>99</v>
      </c>
      <c r="G37" s="87">
        <v>6000</v>
      </c>
      <c r="H37" s="87">
        <v>2000</v>
      </c>
      <c r="I37" s="159">
        <f t="shared" si="0"/>
        <v>33.33333333333333</v>
      </c>
      <c r="K37" s="94"/>
    </row>
    <row r="38" spans="2:11" ht="12.75" customHeight="1">
      <c r="B38" s="14"/>
      <c r="C38" s="15"/>
      <c r="D38" s="15"/>
      <c r="E38" s="16">
        <v>821300</v>
      </c>
      <c r="F38" s="15" t="s">
        <v>100</v>
      </c>
      <c r="G38" s="87">
        <v>2000</v>
      </c>
      <c r="H38" s="87">
        <v>2000</v>
      </c>
      <c r="I38" s="159">
        <f t="shared" si="0"/>
        <v>100</v>
      </c>
      <c r="J38" s="86"/>
      <c r="K38" s="94"/>
    </row>
    <row r="39" spans="2:11" ht="12.75" customHeight="1">
      <c r="B39" s="14"/>
      <c r="C39" s="15"/>
      <c r="D39" s="15"/>
      <c r="E39" s="16"/>
      <c r="F39" s="15"/>
      <c r="G39" s="45"/>
      <c r="H39" s="45"/>
      <c r="I39" s="159"/>
      <c r="K39" s="94"/>
    </row>
    <row r="40" spans="2:11" ht="12.75" customHeight="1">
      <c r="B40" s="14"/>
      <c r="C40" s="15"/>
      <c r="D40" s="15"/>
      <c r="E40" s="16"/>
      <c r="F40" s="15"/>
      <c r="G40" s="45"/>
      <c r="H40" s="45"/>
      <c r="I40" s="159"/>
      <c r="K40" s="94"/>
    </row>
    <row r="41" spans="2:11" ht="12.75" customHeight="1">
      <c r="B41" s="17"/>
      <c r="C41" s="12"/>
      <c r="D41" s="12"/>
      <c r="E41" s="9"/>
      <c r="F41" s="12" t="s">
        <v>101</v>
      </c>
      <c r="G41" s="114">
        <v>15</v>
      </c>
      <c r="H41" s="114">
        <v>13</v>
      </c>
      <c r="I41" s="159"/>
      <c r="K41" s="94"/>
    </row>
    <row r="42" spans="2:11" s="1" customFormat="1" ht="12.75" customHeight="1">
      <c r="B42" s="17"/>
      <c r="C42" s="12"/>
      <c r="D42" s="12"/>
      <c r="E42" s="9"/>
      <c r="F42" s="12" t="s">
        <v>122</v>
      </c>
      <c r="G42" s="20">
        <f>G7+G12+G16+G28+G36</f>
        <v>815470</v>
      </c>
      <c r="H42" s="20">
        <f>H7+H12+H16+H28+H36</f>
        <v>643810</v>
      </c>
      <c r="I42" s="158">
        <f>IF(G42=0,"",H42/G42*100)</f>
        <v>78.94956282879811</v>
      </c>
      <c r="K42" s="94"/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/>
      <c r="H43" s="20"/>
      <c r="I43" s="161"/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20"/>
      <c r="I44" s="161"/>
    </row>
    <row r="45" spans="2:9" s="1" customFormat="1" ht="12.75" customHeight="1" thickBot="1">
      <c r="B45" s="21"/>
      <c r="C45" s="22"/>
      <c r="D45" s="22"/>
      <c r="E45" s="23"/>
      <c r="F45" s="22"/>
      <c r="G45" s="50"/>
      <c r="H45" s="47"/>
      <c r="I45" s="162"/>
    </row>
    <row r="46" ht="12.75" customHeight="1"/>
    <row r="47" ht="12.75">
      <c r="B47" s="86"/>
    </row>
  </sheetData>
  <sheetProtection/>
  <mergeCells count="2">
    <mergeCell ref="B2:I2"/>
    <mergeCell ref="F3:G3"/>
  </mergeCells>
  <printOptions/>
  <pageMargins left="0.2755905511811024" right="0.2755905511811024" top="0.5905511811023623" bottom="0.5905511811023623" header="0.5118110236220472" footer="0.5118110236220472"/>
  <pageSetup fitToHeight="1" fitToWidth="1" horizontalDpi="180" verticalDpi="180" orientation="portrait" paperSize="9" scale="88" r:id="rId1"/>
  <headerFooter alignWithMargins="0">
    <oddFooter>&amp;R9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K47"/>
  <sheetViews>
    <sheetView zoomScalePageLayoutView="0" workbookViewId="0" topLeftCell="B1">
      <selection activeCell="H41" sqref="H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9" ht="15" customHeight="1">
      <c r="B2" s="439" t="s">
        <v>127</v>
      </c>
      <c r="C2" s="439"/>
      <c r="D2" s="439"/>
      <c r="E2" s="439"/>
      <c r="F2" s="439"/>
      <c r="G2" s="439"/>
      <c r="H2" s="439"/>
      <c r="I2" s="153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>
        <v>10</v>
      </c>
      <c r="C6" s="11" t="s">
        <v>89</v>
      </c>
      <c r="D6" s="11" t="s">
        <v>128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50000</v>
      </c>
      <c r="H7" s="20">
        <f>SUM(H8:H11)</f>
        <v>67300</v>
      </c>
      <c r="I7" s="158">
        <f aca="true" t="shared" si="0" ref="I7:I38">IF(G7=0,"",H7/G7*100)</f>
        <v>134.60000000000002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87">
        <v>38100</v>
      </c>
      <c r="H8" s="87">
        <f>39600+5600+7800</f>
        <v>53000</v>
      </c>
      <c r="I8" s="159">
        <f t="shared" si="0"/>
        <v>139.1076115485564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87">
        <v>10600</v>
      </c>
      <c r="H9" s="87">
        <f>10600+1500+2200</f>
        <v>14300</v>
      </c>
      <c r="I9" s="159">
        <f t="shared" si="0"/>
        <v>134.9056603773585</v>
      </c>
    </row>
    <row r="10" spans="2:11" ht="12.75" customHeight="1">
      <c r="B10" s="14"/>
      <c r="C10" s="15"/>
      <c r="D10" s="15"/>
      <c r="E10" s="16">
        <v>611200</v>
      </c>
      <c r="F10" s="26" t="s">
        <v>743</v>
      </c>
      <c r="G10" s="87">
        <v>1300</v>
      </c>
      <c r="H10" s="87">
        <v>0</v>
      </c>
      <c r="I10" s="159">
        <f t="shared" si="0"/>
        <v>0</v>
      </c>
      <c r="K10" s="94"/>
    </row>
    <row r="11" spans="2:9" ht="12.75" customHeight="1">
      <c r="B11" s="14"/>
      <c r="C11" s="15"/>
      <c r="D11" s="15"/>
      <c r="E11" s="16"/>
      <c r="F11" s="26"/>
      <c r="G11" s="45"/>
      <c r="H11" s="45"/>
      <c r="I11" s="158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4100</v>
      </c>
      <c r="H13" s="20">
        <f>H14+H15</f>
        <v>5720</v>
      </c>
      <c r="I13" s="158">
        <f t="shared" si="0"/>
        <v>139.5121951219512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5">
        <v>4100</v>
      </c>
      <c r="H14" s="45">
        <f>4300+600+820</f>
        <v>5720</v>
      </c>
      <c r="I14" s="159">
        <f t="shared" si="0"/>
        <v>139.5121951219512</v>
      </c>
    </row>
    <row r="15" spans="2:9" ht="12.75" customHeight="1">
      <c r="B15" s="14"/>
      <c r="C15" s="15"/>
      <c r="D15" s="15"/>
      <c r="E15" s="16"/>
      <c r="F15" s="15"/>
      <c r="G15" s="45"/>
      <c r="H15" s="45"/>
      <c r="I15" s="158">
        <f t="shared" si="0"/>
      </c>
    </row>
    <row r="16" spans="2:9" ht="12.75" customHeight="1">
      <c r="B16" s="14"/>
      <c r="C16" s="15"/>
      <c r="D16" s="15"/>
      <c r="E16" s="16"/>
      <c r="F16" s="15"/>
      <c r="G16" s="51"/>
      <c r="H16" s="51"/>
      <c r="I16" s="15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2870</v>
      </c>
      <c r="H17" s="51">
        <f>SUM(H18:H27)</f>
        <v>1050</v>
      </c>
      <c r="I17" s="158">
        <f t="shared" si="0"/>
        <v>36.58536585365854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5">
        <v>500</v>
      </c>
      <c r="H18" s="45">
        <v>500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5">
        <v>0</v>
      </c>
      <c r="H19" s="45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5">
        <v>0</v>
      </c>
      <c r="H20" s="45">
        <v>0</v>
      </c>
      <c r="I20" s="159">
        <f t="shared" si="0"/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5">
        <v>0</v>
      </c>
      <c r="H21" s="45">
        <v>0</v>
      </c>
      <c r="I21" s="159">
        <f t="shared" si="0"/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5">
        <v>0</v>
      </c>
      <c r="H22" s="45">
        <v>0</v>
      </c>
      <c r="I22" s="159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5">
        <v>0</v>
      </c>
      <c r="H23" s="45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45">
        <v>0</v>
      </c>
      <c r="H24" s="45">
        <v>0</v>
      </c>
      <c r="I24" s="159">
        <f t="shared" si="0"/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45">
        <v>0</v>
      </c>
      <c r="H25" s="45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45">
        <v>550</v>
      </c>
      <c r="H26" s="45">
        <v>550</v>
      </c>
      <c r="I26" s="159">
        <f t="shared" si="0"/>
        <v>100</v>
      </c>
    </row>
    <row r="27" spans="2:9" ht="12.75" customHeight="1">
      <c r="B27" s="14"/>
      <c r="C27" s="15"/>
      <c r="D27" s="15"/>
      <c r="E27" s="16">
        <v>613900</v>
      </c>
      <c r="F27" s="26" t="s">
        <v>744</v>
      </c>
      <c r="G27" s="46">
        <v>1820</v>
      </c>
      <c r="H27" s="46">
        <v>0</v>
      </c>
      <c r="I27" s="159">
        <f t="shared" si="0"/>
        <v>0</v>
      </c>
    </row>
    <row r="28" spans="2:9" s="1" customFormat="1" ht="12.75" customHeight="1">
      <c r="B28" s="17"/>
      <c r="C28" s="12"/>
      <c r="D28" s="12"/>
      <c r="E28" s="9"/>
      <c r="F28" s="12"/>
      <c r="G28" s="45"/>
      <c r="H28" s="45"/>
      <c r="I28" s="158">
        <f t="shared" si="0"/>
      </c>
    </row>
    <row r="29" spans="2:9" ht="12.75" customHeight="1">
      <c r="B29" s="14"/>
      <c r="C29" s="15"/>
      <c r="D29" s="15"/>
      <c r="E29" s="16"/>
      <c r="F29" s="26"/>
      <c r="G29" s="45"/>
      <c r="H29" s="45"/>
      <c r="I29" s="158">
        <f t="shared" si="0"/>
      </c>
    </row>
    <row r="30" spans="2:9" ht="12.75" customHeight="1">
      <c r="B30" s="14"/>
      <c r="C30" s="15"/>
      <c r="D30" s="15"/>
      <c r="E30" s="16"/>
      <c r="F30" s="15"/>
      <c r="G30" s="45"/>
      <c r="H30" s="45"/>
      <c r="I30" s="158">
        <f t="shared" si="0"/>
      </c>
    </row>
    <row r="31" spans="2:9" ht="12.75" customHeight="1">
      <c r="B31" s="14"/>
      <c r="C31" s="15"/>
      <c r="D31" s="15"/>
      <c r="E31" s="16"/>
      <c r="F31" s="15"/>
      <c r="G31" s="45"/>
      <c r="H31" s="45"/>
      <c r="I31" s="158">
        <f t="shared" si="0"/>
      </c>
    </row>
    <row r="32" spans="2:9" ht="12.75" customHeight="1">
      <c r="B32" s="14"/>
      <c r="C32" s="15"/>
      <c r="D32" s="15"/>
      <c r="E32" s="16"/>
      <c r="F32" s="15"/>
      <c r="G32" s="45"/>
      <c r="H32" s="45"/>
      <c r="I32" s="158">
        <f t="shared" si="0"/>
      </c>
    </row>
    <row r="33" spans="2:9" ht="12.75" customHeight="1">
      <c r="B33" s="14"/>
      <c r="C33" s="15"/>
      <c r="D33" s="15"/>
      <c r="E33" s="16"/>
      <c r="F33" s="15"/>
      <c r="G33" s="45"/>
      <c r="H33" s="45"/>
      <c r="I33" s="158">
        <f t="shared" si="0"/>
      </c>
    </row>
    <row r="34" spans="2:9" ht="12.75" customHeight="1">
      <c r="B34" s="14"/>
      <c r="C34" s="15"/>
      <c r="D34" s="15"/>
      <c r="E34" s="16"/>
      <c r="F34" s="19"/>
      <c r="G34" s="45"/>
      <c r="H34" s="45"/>
      <c r="I34" s="158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15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20">
        <f>SUM(G37:G38)</f>
        <v>0</v>
      </c>
      <c r="H36" s="20">
        <f>SUM(H37:H38)</f>
        <v>0</v>
      </c>
      <c r="I36" s="158">
        <f t="shared" si="0"/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87">
        <v>0</v>
      </c>
      <c r="H37" s="87">
        <v>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45">
        <v>0</v>
      </c>
      <c r="H38" s="45">
        <v>0</v>
      </c>
      <c r="I38" s="159">
        <f t="shared" si="0"/>
      </c>
    </row>
    <row r="39" spans="2:9" ht="12.75" customHeight="1">
      <c r="B39" s="14"/>
      <c r="C39" s="15"/>
      <c r="D39" s="15"/>
      <c r="E39" s="16"/>
      <c r="F39" s="15"/>
      <c r="G39" s="45"/>
      <c r="H39" s="45"/>
      <c r="I39" s="159"/>
    </row>
    <row r="40" spans="2:9" ht="12.75" customHeight="1">
      <c r="B40" s="14"/>
      <c r="C40" s="15"/>
      <c r="D40" s="15"/>
      <c r="E40" s="16"/>
      <c r="F40" s="15"/>
      <c r="G40" s="20"/>
      <c r="H40" s="20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0">
        <v>3</v>
      </c>
      <c r="H41" s="20">
        <v>4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56970</v>
      </c>
      <c r="H42" s="20">
        <f>H7+H13+H17+H36</f>
        <v>74070</v>
      </c>
      <c r="I42" s="158">
        <f>IF(G42=0,"",H42/G42*100)</f>
        <v>130.01579778830964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G42+1!G42</f>
        <v>872440</v>
      </c>
      <c r="H43" s="20">
        <f>H42+1!H42</f>
        <v>717880</v>
      </c>
      <c r="I43" s="158">
        <f>IF(G43=0,"",H43/G43*100)</f>
        <v>82.28416853881069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>
        <f>G43+1!G43</f>
        <v>872440</v>
      </c>
      <c r="H44" s="20">
        <f>H43+1!H43</f>
        <v>717880</v>
      </c>
      <c r="I44" s="158">
        <f>IF(G44=0,"",H44/G44*100)</f>
        <v>82.28416853881069</v>
      </c>
    </row>
    <row r="45" spans="2:9" ht="12.75" customHeight="1" thickBot="1">
      <c r="B45" s="21"/>
      <c r="C45" s="22"/>
      <c r="D45" s="22"/>
      <c r="E45" s="23"/>
      <c r="F45" s="22"/>
      <c r="G45" s="50"/>
      <c r="H45" s="22"/>
      <c r="I45" s="162"/>
    </row>
    <row r="47" ht="12.75">
      <c r="B47" s="86"/>
    </row>
  </sheetData>
  <sheetProtection/>
  <mergeCells count="2">
    <mergeCell ref="B2:H2"/>
    <mergeCell ref="F3:G3"/>
  </mergeCells>
  <printOptions/>
  <pageMargins left="0.2755905511811024" right="0.2755905511811024" top="0.5905511811023623" bottom="0.5905511811023623" header="0.5118110236220472" footer="0.5118110236220472"/>
  <pageSetup fitToHeight="1" fitToWidth="1" horizontalDpi="180" verticalDpi="180" orientation="portrait" paperSize="9" scale="88" r:id="rId1"/>
  <headerFooter alignWithMargins="0">
    <oddFooter>&amp;R10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B2:M62"/>
  <sheetViews>
    <sheetView zoomScalePageLayoutView="0" workbookViewId="0" topLeftCell="B7">
      <selection activeCell="H51" sqref="H5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9" ht="15" customHeight="1">
      <c r="B2" s="439" t="s">
        <v>129</v>
      </c>
      <c r="C2" s="439"/>
      <c r="D2" s="439"/>
      <c r="E2" s="439"/>
      <c r="F2" s="439"/>
      <c r="G2" s="439"/>
      <c r="H2" s="439"/>
      <c r="I2" s="153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130</v>
      </c>
      <c r="C6" s="11" t="s">
        <v>89</v>
      </c>
      <c r="D6" s="11" t="s">
        <v>90</v>
      </c>
      <c r="E6" s="9"/>
      <c r="F6" s="9"/>
      <c r="G6" s="9"/>
      <c r="H6" s="167"/>
      <c r="I6" s="157"/>
    </row>
    <row r="7" spans="2:9" s="2" customFormat="1" ht="12.75" customHeight="1">
      <c r="B7" s="10"/>
      <c r="C7" s="11"/>
      <c r="D7" s="11"/>
      <c r="E7" s="9">
        <v>600000</v>
      </c>
      <c r="F7" s="27" t="s">
        <v>131</v>
      </c>
      <c r="G7" s="168">
        <f>G8+G9+G10</f>
        <v>295000</v>
      </c>
      <c r="H7" s="168">
        <f>H8+H9+H10</f>
        <v>745000</v>
      </c>
      <c r="I7" s="210">
        <f aca="true" t="shared" si="0" ref="I7:I54">IF(G7=0,"",H7/G7*100)</f>
        <v>252.54237288135593</v>
      </c>
    </row>
    <row r="8" spans="2:9" s="2" customFormat="1" ht="12.75" customHeight="1">
      <c r="B8" s="10"/>
      <c r="C8" s="11"/>
      <c r="D8" s="11"/>
      <c r="E8" s="59">
        <v>600000</v>
      </c>
      <c r="F8" s="60" t="s">
        <v>105</v>
      </c>
      <c r="G8" s="166">
        <v>250000</v>
      </c>
      <c r="H8" s="166">
        <v>700000</v>
      </c>
      <c r="I8" s="159">
        <f t="shared" si="0"/>
        <v>280</v>
      </c>
    </row>
    <row r="9" spans="2:9" s="2" customFormat="1" ht="12.75" customHeight="1">
      <c r="B9" s="10"/>
      <c r="C9" s="11"/>
      <c r="D9" s="11"/>
      <c r="E9" s="59">
        <v>600000</v>
      </c>
      <c r="F9" s="60" t="s">
        <v>106</v>
      </c>
      <c r="G9" s="166">
        <v>30000</v>
      </c>
      <c r="H9" s="166">
        <v>30000</v>
      </c>
      <c r="I9" s="159">
        <f t="shared" si="0"/>
        <v>100</v>
      </c>
    </row>
    <row r="10" spans="2:9" s="2" customFormat="1" ht="12.75" customHeight="1">
      <c r="B10" s="10"/>
      <c r="C10" s="11"/>
      <c r="D10" s="11"/>
      <c r="E10" s="59">
        <v>600000</v>
      </c>
      <c r="F10" s="60" t="s">
        <v>132</v>
      </c>
      <c r="G10" s="166">
        <v>15000</v>
      </c>
      <c r="H10" s="166">
        <v>15000</v>
      </c>
      <c r="I10" s="159">
        <f t="shared" si="0"/>
        <v>100</v>
      </c>
    </row>
    <row r="11" spans="2:9" s="2" customFormat="1" ht="12.75" customHeight="1">
      <c r="B11" s="10"/>
      <c r="C11" s="11"/>
      <c r="D11" s="11"/>
      <c r="E11" s="9"/>
      <c r="F11" s="9"/>
      <c r="G11" s="169"/>
      <c r="H11" s="169"/>
      <c r="I11" s="159">
        <f t="shared" si="0"/>
      </c>
    </row>
    <row r="12" spans="2:9" s="1" customFormat="1" ht="12.75" customHeight="1">
      <c r="B12" s="17"/>
      <c r="C12" s="12"/>
      <c r="D12" s="12"/>
      <c r="E12" s="9">
        <v>611000</v>
      </c>
      <c r="F12" s="12" t="s">
        <v>174</v>
      </c>
      <c r="G12" s="169">
        <f>SUM(G13:G16)</f>
        <v>197700</v>
      </c>
      <c r="H12" s="169">
        <f>SUM(H13:H16)</f>
        <v>167100</v>
      </c>
      <c r="I12" s="210">
        <f t="shared" si="0"/>
        <v>84.52200303490136</v>
      </c>
    </row>
    <row r="13" spans="2:9" ht="12.75" customHeight="1">
      <c r="B13" s="14"/>
      <c r="C13" s="15"/>
      <c r="D13" s="15"/>
      <c r="E13" s="16">
        <v>611100</v>
      </c>
      <c r="F13" s="26" t="s">
        <v>218</v>
      </c>
      <c r="G13" s="163">
        <v>153500</v>
      </c>
      <c r="H13" s="163">
        <f>116000+21500</f>
        <v>137500</v>
      </c>
      <c r="I13" s="159">
        <f t="shared" si="0"/>
        <v>89.57654723127035</v>
      </c>
    </row>
    <row r="14" spans="2:9" ht="12.75" customHeight="1">
      <c r="B14" s="14"/>
      <c r="C14" s="15"/>
      <c r="D14" s="15"/>
      <c r="E14" s="16">
        <v>611200</v>
      </c>
      <c r="F14" s="15" t="s">
        <v>219</v>
      </c>
      <c r="G14" s="163">
        <v>27600</v>
      </c>
      <c r="H14" s="163">
        <f>21700+3500</f>
        <v>25200</v>
      </c>
      <c r="I14" s="159">
        <f t="shared" si="0"/>
        <v>91.30434782608695</v>
      </c>
    </row>
    <row r="15" spans="2:11" ht="12.75" customHeight="1">
      <c r="B15" s="14"/>
      <c r="C15" s="15"/>
      <c r="D15" s="15"/>
      <c r="E15" s="16">
        <v>611200</v>
      </c>
      <c r="F15" s="26" t="s">
        <v>741</v>
      </c>
      <c r="G15" s="166">
        <v>16600</v>
      </c>
      <c r="H15" s="166">
        <v>4400</v>
      </c>
      <c r="I15" s="159">
        <f t="shared" si="0"/>
        <v>26.506024096385545</v>
      </c>
      <c r="K15" s="94"/>
    </row>
    <row r="16" spans="2:9" ht="12.75" customHeight="1">
      <c r="B16" s="14"/>
      <c r="C16" s="15"/>
      <c r="D16" s="15"/>
      <c r="E16" s="16"/>
      <c r="F16" s="26"/>
      <c r="G16" s="164"/>
      <c r="H16" s="164"/>
      <c r="I16" s="159">
        <f t="shared" si="0"/>
      </c>
    </row>
    <row r="17" spans="2:9" ht="12.75" customHeight="1">
      <c r="B17" s="14"/>
      <c r="C17" s="15"/>
      <c r="D17" s="15"/>
      <c r="E17" s="16"/>
      <c r="F17" s="15"/>
      <c r="G17" s="163"/>
      <c r="H17" s="163"/>
      <c r="I17" s="159">
        <f t="shared" si="0"/>
      </c>
    </row>
    <row r="18" spans="2:9" s="1" customFormat="1" ht="12.75" customHeight="1">
      <c r="B18" s="17"/>
      <c r="C18" s="12"/>
      <c r="D18" s="12"/>
      <c r="E18" s="9">
        <v>612000</v>
      </c>
      <c r="F18" s="12" t="s">
        <v>173</v>
      </c>
      <c r="G18" s="169">
        <f>G19+G20</f>
        <v>16300</v>
      </c>
      <c r="H18" s="169">
        <f>H19+H20</f>
        <v>14700</v>
      </c>
      <c r="I18" s="210">
        <f t="shared" si="0"/>
        <v>90.1840490797546</v>
      </c>
    </row>
    <row r="19" spans="2:9" ht="12.75" customHeight="1">
      <c r="B19" s="14"/>
      <c r="C19" s="15"/>
      <c r="D19" s="15"/>
      <c r="E19" s="16">
        <v>612100</v>
      </c>
      <c r="F19" s="18" t="s">
        <v>91</v>
      </c>
      <c r="G19" s="163">
        <v>16300</v>
      </c>
      <c r="H19" s="163">
        <f>12400+2300</f>
        <v>14700</v>
      </c>
      <c r="I19" s="159">
        <f t="shared" si="0"/>
        <v>90.1840490797546</v>
      </c>
    </row>
    <row r="20" spans="2:9" ht="12.75" customHeight="1">
      <c r="B20" s="14"/>
      <c r="C20" s="15"/>
      <c r="D20" s="15"/>
      <c r="E20" s="16"/>
      <c r="F20" s="15"/>
      <c r="G20" s="163"/>
      <c r="H20" s="163"/>
      <c r="I20" s="159">
        <f t="shared" si="0"/>
      </c>
    </row>
    <row r="21" spans="2:9" ht="12.75" customHeight="1">
      <c r="B21" s="14"/>
      <c r="C21" s="15"/>
      <c r="D21" s="15"/>
      <c r="E21" s="16"/>
      <c r="F21" s="15"/>
      <c r="G21" s="163"/>
      <c r="H21" s="163"/>
      <c r="I21" s="159">
        <f t="shared" si="0"/>
      </c>
    </row>
    <row r="22" spans="2:9" s="1" customFormat="1" ht="12.75" customHeight="1">
      <c r="B22" s="17"/>
      <c r="C22" s="12"/>
      <c r="D22" s="12"/>
      <c r="E22" s="9">
        <v>613000</v>
      </c>
      <c r="F22" s="12" t="s">
        <v>175</v>
      </c>
      <c r="G22" s="164">
        <f>SUM(G23:G33)</f>
        <v>249130</v>
      </c>
      <c r="H22" s="164">
        <f>SUM(H23:H33)</f>
        <v>219730</v>
      </c>
      <c r="I22" s="210">
        <f t="shared" si="0"/>
        <v>88.19893228434954</v>
      </c>
    </row>
    <row r="23" spans="2:9" ht="12.75" customHeight="1">
      <c r="B23" s="14"/>
      <c r="C23" s="15"/>
      <c r="D23" s="15"/>
      <c r="E23" s="16">
        <v>613100</v>
      </c>
      <c r="F23" s="15" t="s">
        <v>92</v>
      </c>
      <c r="G23" s="163">
        <v>15500</v>
      </c>
      <c r="H23" s="163">
        <v>14000</v>
      </c>
      <c r="I23" s="159">
        <f t="shared" si="0"/>
        <v>90.32258064516128</v>
      </c>
    </row>
    <row r="24" spans="2:9" ht="12.75" customHeight="1">
      <c r="B24" s="14"/>
      <c r="C24" s="15"/>
      <c r="D24" s="15"/>
      <c r="E24" s="16">
        <v>613200</v>
      </c>
      <c r="F24" s="15" t="s">
        <v>93</v>
      </c>
      <c r="G24" s="163">
        <v>0</v>
      </c>
      <c r="H24" s="163">
        <v>0</v>
      </c>
      <c r="I24" s="159">
        <f t="shared" si="0"/>
      </c>
    </row>
    <row r="25" spans="2:9" ht="12.75" customHeight="1">
      <c r="B25" s="14"/>
      <c r="C25" s="15"/>
      <c r="D25" s="15"/>
      <c r="E25" s="16">
        <v>613300</v>
      </c>
      <c r="F25" s="26" t="s">
        <v>220</v>
      </c>
      <c r="G25" s="163">
        <v>6000</v>
      </c>
      <c r="H25" s="163">
        <v>5500</v>
      </c>
      <c r="I25" s="159">
        <f t="shared" si="0"/>
        <v>91.66666666666666</v>
      </c>
    </row>
    <row r="26" spans="2:9" ht="12.75" customHeight="1">
      <c r="B26" s="14"/>
      <c r="C26" s="15"/>
      <c r="D26" s="15"/>
      <c r="E26" s="16">
        <v>613400</v>
      </c>
      <c r="F26" s="15" t="s">
        <v>176</v>
      </c>
      <c r="G26" s="163">
        <v>2000</v>
      </c>
      <c r="H26" s="163">
        <v>1500</v>
      </c>
      <c r="I26" s="159">
        <f t="shared" si="0"/>
        <v>75</v>
      </c>
    </row>
    <row r="27" spans="2:9" ht="12.75" customHeight="1">
      <c r="B27" s="14"/>
      <c r="C27" s="15"/>
      <c r="D27" s="15"/>
      <c r="E27" s="16">
        <v>613500</v>
      </c>
      <c r="F27" s="15" t="s">
        <v>94</v>
      </c>
      <c r="G27" s="165">
        <v>4500</v>
      </c>
      <c r="H27" s="165">
        <v>0</v>
      </c>
      <c r="I27" s="159">
        <f t="shared" si="0"/>
        <v>0</v>
      </c>
    </row>
    <row r="28" spans="2:9" ht="12.75" customHeight="1">
      <c r="B28" s="14"/>
      <c r="C28" s="15"/>
      <c r="D28" s="15"/>
      <c r="E28" s="16">
        <v>613600</v>
      </c>
      <c r="F28" s="26" t="s">
        <v>221</v>
      </c>
      <c r="G28" s="163">
        <v>0</v>
      </c>
      <c r="H28" s="163">
        <v>0</v>
      </c>
      <c r="I28" s="159">
        <f t="shared" si="0"/>
      </c>
    </row>
    <row r="29" spans="2:9" ht="12.75" customHeight="1">
      <c r="B29" s="14"/>
      <c r="C29" s="15"/>
      <c r="D29" s="15"/>
      <c r="E29" s="16">
        <v>613700</v>
      </c>
      <c r="F29" s="15" t="s">
        <v>95</v>
      </c>
      <c r="G29" s="163">
        <v>10000</v>
      </c>
      <c r="H29" s="163">
        <v>7000</v>
      </c>
      <c r="I29" s="159">
        <f t="shared" si="0"/>
        <v>70</v>
      </c>
    </row>
    <row r="30" spans="2:9" ht="12.75" customHeight="1">
      <c r="B30" s="14"/>
      <c r="C30" s="15"/>
      <c r="D30" s="15"/>
      <c r="E30" s="16">
        <v>613800</v>
      </c>
      <c r="F30" s="15" t="s">
        <v>177</v>
      </c>
      <c r="G30" s="163">
        <v>330</v>
      </c>
      <c r="H30" s="163">
        <v>330</v>
      </c>
      <c r="I30" s="159">
        <f t="shared" si="0"/>
        <v>100</v>
      </c>
    </row>
    <row r="31" spans="2:10" ht="12.75" customHeight="1">
      <c r="B31" s="14"/>
      <c r="C31" s="15"/>
      <c r="D31" s="15"/>
      <c r="E31" s="125">
        <v>613900</v>
      </c>
      <c r="F31" s="19" t="s">
        <v>178</v>
      </c>
      <c r="G31" s="166">
        <v>160000</v>
      </c>
      <c r="H31" s="166">
        <v>152100</v>
      </c>
      <c r="I31" s="159">
        <f t="shared" si="0"/>
        <v>95.0625</v>
      </c>
      <c r="J31" s="86"/>
    </row>
    <row r="32" spans="2:9" ht="12.75" customHeight="1">
      <c r="B32" s="14"/>
      <c r="C32" s="15"/>
      <c r="D32" s="15"/>
      <c r="E32" s="16">
        <v>613900</v>
      </c>
      <c r="F32" s="26" t="s">
        <v>227</v>
      </c>
      <c r="G32" s="166">
        <v>36000</v>
      </c>
      <c r="H32" s="166">
        <v>36000</v>
      </c>
      <c r="I32" s="159">
        <f t="shared" si="0"/>
        <v>100</v>
      </c>
    </row>
    <row r="33" spans="2:9" ht="12.75" customHeight="1">
      <c r="B33" s="14"/>
      <c r="C33" s="15"/>
      <c r="D33" s="15"/>
      <c r="E33" s="16">
        <v>613900</v>
      </c>
      <c r="F33" s="26" t="s">
        <v>742</v>
      </c>
      <c r="G33" s="163">
        <v>14800</v>
      </c>
      <c r="H33" s="163">
        <v>3300</v>
      </c>
      <c r="I33" s="159">
        <f t="shared" si="0"/>
        <v>22.2972972972973</v>
      </c>
    </row>
    <row r="34" spans="2:9" ht="12.75" customHeight="1">
      <c r="B34" s="14"/>
      <c r="C34" s="15"/>
      <c r="D34" s="15"/>
      <c r="E34" s="16"/>
      <c r="F34" s="15"/>
      <c r="G34" s="163"/>
      <c r="H34" s="163"/>
      <c r="I34" s="159">
        <f t="shared" si="0"/>
      </c>
    </row>
    <row r="35" spans="2:9" s="1" customFormat="1" ht="12.75" customHeight="1">
      <c r="B35" s="17"/>
      <c r="C35" s="12"/>
      <c r="D35" s="12"/>
      <c r="E35" s="9">
        <v>614000</v>
      </c>
      <c r="F35" s="12" t="s">
        <v>222</v>
      </c>
      <c r="G35" s="169">
        <f>SUM(G36:G45)</f>
        <v>810000</v>
      </c>
      <c r="H35" s="169">
        <f>SUM(H36:H45)</f>
        <v>875000</v>
      </c>
      <c r="I35" s="210">
        <f t="shared" si="0"/>
        <v>108.02469135802468</v>
      </c>
    </row>
    <row r="36" spans="2:9" s="100" customFormat="1" ht="12.75" customHeight="1">
      <c r="B36" s="101"/>
      <c r="C36" s="18"/>
      <c r="D36" s="18"/>
      <c r="E36" s="59">
        <v>614100</v>
      </c>
      <c r="F36" s="18" t="s">
        <v>350</v>
      </c>
      <c r="G36" s="165">
        <v>350000</v>
      </c>
      <c r="H36" s="170">
        <v>250000</v>
      </c>
      <c r="I36" s="159">
        <f t="shared" si="0"/>
        <v>71.42857142857143</v>
      </c>
    </row>
    <row r="37" spans="2:9" s="100" customFormat="1" ht="12.75" customHeight="1">
      <c r="B37" s="101"/>
      <c r="C37" s="18"/>
      <c r="D37" s="18"/>
      <c r="E37" s="59">
        <v>614100</v>
      </c>
      <c r="F37" s="122" t="s">
        <v>351</v>
      </c>
      <c r="G37" s="165">
        <v>200000</v>
      </c>
      <c r="H37" s="165">
        <v>200000</v>
      </c>
      <c r="I37" s="159">
        <f t="shared" si="0"/>
        <v>100</v>
      </c>
    </row>
    <row r="38" spans="2:13" s="208" customFormat="1" ht="26.25" customHeight="1">
      <c r="B38" s="203"/>
      <c r="C38" s="204"/>
      <c r="D38" s="204"/>
      <c r="E38" s="205">
        <v>614200</v>
      </c>
      <c r="F38" s="206" t="s">
        <v>352</v>
      </c>
      <c r="G38" s="207">
        <v>100000</v>
      </c>
      <c r="H38" s="207">
        <v>100000</v>
      </c>
      <c r="I38" s="159">
        <f t="shared" si="0"/>
        <v>100</v>
      </c>
      <c r="M38" s="209"/>
    </row>
    <row r="39" spans="2:9" ht="12.75" customHeight="1">
      <c r="B39" s="14"/>
      <c r="C39" s="15"/>
      <c r="D39" s="15"/>
      <c r="E39" s="16">
        <v>614300</v>
      </c>
      <c r="F39" s="29" t="s">
        <v>117</v>
      </c>
      <c r="G39" s="170">
        <v>70000</v>
      </c>
      <c r="H39" s="170">
        <v>70000</v>
      </c>
      <c r="I39" s="159">
        <f t="shared" si="0"/>
        <v>100</v>
      </c>
    </row>
    <row r="40" spans="2:9" ht="12.75" customHeight="1">
      <c r="B40" s="14"/>
      <c r="C40" s="15"/>
      <c r="D40" s="15"/>
      <c r="E40" s="16">
        <v>614300</v>
      </c>
      <c r="F40" s="116" t="s">
        <v>247</v>
      </c>
      <c r="G40" s="170">
        <v>30000</v>
      </c>
      <c r="H40" s="170">
        <v>30000</v>
      </c>
      <c r="I40" s="159">
        <f t="shared" si="0"/>
        <v>100</v>
      </c>
    </row>
    <row r="41" spans="2:9" ht="12.75" customHeight="1">
      <c r="B41" s="14"/>
      <c r="C41" s="15"/>
      <c r="D41" s="15"/>
      <c r="E41" s="16">
        <v>614300</v>
      </c>
      <c r="F41" s="116" t="s">
        <v>334</v>
      </c>
      <c r="G41" s="170">
        <v>15000</v>
      </c>
      <c r="H41" s="170">
        <v>15000</v>
      </c>
      <c r="I41" s="159">
        <f t="shared" si="0"/>
        <v>100</v>
      </c>
    </row>
    <row r="42" spans="2:9" ht="12.75" customHeight="1">
      <c r="B42" s="14"/>
      <c r="C42" s="15"/>
      <c r="D42" s="15"/>
      <c r="E42" s="16">
        <v>614300</v>
      </c>
      <c r="F42" s="116" t="s">
        <v>347</v>
      </c>
      <c r="G42" s="170">
        <v>15000</v>
      </c>
      <c r="H42" s="170">
        <v>15000</v>
      </c>
      <c r="I42" s="159">
        <f t="shared" si="0"/>
        <v>100</v>
      </c>
    </row>
    <row r="43" spans="2:9" ht="24.75" customHeight="1">
      <c r="B43" s="14"/>
      <c r="C43" s="15"/>
      <c r="D43" s="15"/>
      <c r="E43" s="16">
        <v>614300</v>
      </c>
      <c r="F43" s="391" t="s">
        <v>726</v>
      </c>
      <c r="G43" s="170">
        <v>0</v>
      </c>
      <c r="H43" s="170">
        <v>5000</v>
      </c>
      <c r="I43" s="159">
        <f>IF(G43=0,"",H43/G43*100)</f>
      </c>
    </row>
    <row r="44" spans="2:9" ht="12.75" customHeight="1">
      <c r="B44" s="14"/>
      <c r="C44" s="15"/>
      <c r="D44" s="15"/>
      <c r="E44" s="16">
        <v>614300</v>
      </c>
      <c r="F44" s="116" t="s">
        <v>249</v>
      </c>
      <c r="G44" s="170">
        <v>30000</v>
      </c>
      <c r="H44" s="170">
        <v>30000</v>
      </c>
      <c r="I44" s="159">
        <f t="shared" si="0"/>
        <v>100</v>
      </c>
    </row>
    <row r="45" spans="2:9" ht="12.75" customHeight="1">
      <c r="B45" s="14"/>
      <c r="C45" s="15"/>
      <c r="D45" s="15"/>
      <c r="E45" s="16">
        <v>614300</v>
      </c>
      <c r="F45" s="26" t="s">
        <v>104</v>
      </c>
      <c r="G45" s="170">
        <v>0</v>
      </c>
      <c r="H45" s="170">
        <v>160000</v>
      </c>
      <c r="I45" s="159">
        <f t="shared" si="0"/>
      </c>
    </row>
    <row r="46" spans="2:9" ht="12.75" customHeight="1">
      <c r="B46" s="14"/>
      <c r="C46" s="15"/>
      <c r="D46" s="15"/>
      <c r="E46" s="16"/>
      <c r="F46" s="116"/>
      <c r="G46" s="170"/>
      <c r="H46" s="170"/>
      <c r="I46" s="159">
        <f t="shared" si="0"/>
      </c>
    </row>
    <row r="47" spans="2:9" ht="12.75" customHeight="1">
      <c r="B47" s="14"/>
      <c r="C47" s="15"/>
      <c r="D47" s="15"/>
      <c r="E47" s="9">
        <v>615000</v>
      </c>
      <c r="F47" s="12" t="s">
        <v>97</v>
      </c>
      <c r="G47" s="169">
        <f>G48</f>
        <v>130000</v>
      </c>
      <c r="H47" s="169">
        <f>H48</f>
        <v>400000</v>
      </c>
      <c r="I47" s="210">
        <f t="shared" si="0"/>
        <v>307.69230769230774</v>
      </c>
    </row>
    <row r="48" spans="2:9" ht="12.75" customHeight="1">
      <c r="B48" s="14"/>
      <c r="C48" s="15"/>
      <c r="D48" s="15"/>
      <c r="E48" s="59">
        <v>615100</v>
      </c>
      <c r="F48" s="18" t="s">
        <v>97</v>
      </c>
      <c r="G48" s="165">
        <v>130000</v>
      </c>
      <c r="H48" s="170">
        <v>400000</v>
      </c>
      <c r="I48" s="159">
        <f t="shared" si="0"/>
        <v>307.69230769230774</v>
      </c>
    </row>
    <row r="49" spans="2:9" ht="12.75" customHeight="1">
      <c r="B49" s="14"/>
      <c r="C49" s="15"/>
      <c r="D49" s="15"/>
      <c r="E49" s="16"/>
      <c r="F49" s="19"/>
      <c r="G49" s="166"/>
      <c r="H49" s="166"/>
      <c r="I49" s="159">
        <f t="shared" si="0"/>
      </c>
    </row>
    <row r="50" spans="2:9" ht="12.75" customHeight="1">
      <c r="B50" s="17"/>
      <c r="C50" s="12"/>
      <c r="D50" s="12"/>
      <c r="E50" s="9">
        <v>821000</v>
      </c>
      <c r="F50" s="12" t="s">
        <v>98</v>
      </c>
      <c r="G50" s="20">
        <f>SUM(G51:G52)</f>
        <v>6000</v>
      </c>
      <c r="H50" s="20">
        <f>SUM(H51:H52)</f>
        <v>80000</v>
      </c>
      <c r="I50" s="210">
        <f t="shared" si="0"/>
        <v>1333.3333333333335</v>
      </c>
    </row>
    <row r="51" spans="2:9" ht="12.75" customHeight="1">
      <c r="B51" s="14"/>
      <c r="C51" s="15"/>
      <c r="D51" s="15"/>
      <c r="E51" s="16">
        <v>821200</v>
      </c>
      <c r="F51" s="15" t="s">
        <v>99</v>
      </c>
      <c r="G51" s="45">
        <v>0</v>
      </c>
      <c r="H51" s="45">
        <v>25000</v>
      </c>
      <c r="I51" s="159">
        <f t="shared" si="0"/>
      </c>
    </row>
    <row r="52" spans="2:9" ht="12.75" customHeight="1">
      <c r="B52" s="14"/>
      <c r="C52" s="15"/>
      <c r="D52" s="15"/>
      <c r="E52" s="16">
        <v>821300</v>
      </c>
      <c r="F52" s="15" t="s">
        <v>100</v>
      </c>
      <c r="G52" s="46">
        <v>6000</v>
      </c>
      <c r="H52" s="123">
        <v>55000</v>
      </c>
      <c r="I52" s="159">
        <f t="shared" si="0"/>
        <v>916.6666666666666</v>
      </c>
    </row>
    <row r="53" spans="2:9" ht="12.75" customHeight="1">
      <c r="B53" s="14"/>
      <c r="C53" s="15"/>
      <c r="D53" s="15"/>
      <c r="E53" s="16"/>
      <c r="F53" s="15"/>
      <c r="G53" s="20"/>
      <c r="H53" s="20"/>
      <c r="I53" s="159">
        <f t="shared" si="0"/>
      </c>
    </row>
    <row r="54" spans="2:9" s="1" customFormat="1" ht="12.75" customHeight="1">
      <c r="B54" s="14"/>
      <c r="C54" s="15"/>
      <c r="D54" s="15"/>
      <c r="E54" s="16"/>
      <c r="F54" s="15"/>
      <c r="G54" s="20"/>
      <c r="H54" s="20"/>
      <c r="I54" s="159">
        <f t="shared" si="0"/>
      </c>
    </row>
    <row r="55" spans="2:9" ht="12.75" customHeight="1">
      <c r="B55" s="17"/>
      <c r="C55" s="12"/>
      <c r="D55" s="12"/>
      <c r="E55" s="9"/>
      <c r="F55" s="12" t="s">
        <v>101</v>
      </c>
      <c r="G55" s="20">
        <v>7</v>
      </c>
      <c r="H55" s="20">
        <v>6</v>
      </c>
      <c r="I55" s="159"/>
    </row>
    <row r="56" spans="2:9" ht="12.75" customHeight="1">
      <c r="B56" s="17"/>
      <c r="C56" s="12"/>
      <c r="D56" s="12"/>
      <c r="E56" s="9"/>
      <c r="F56" s="12" t="s">
        <v>122</v>
      </c>
      <c r="G56" s="20">
        <f>G7+G12+G18+G22+G35+G47+G50</f>
        <v>1704130</v>
      </c>
      <c r="H56" s="20">
        <f>H7+H12+H18+H22+H35+H47+H50</f>
        <v>2501530</v>
      </c>
      <c r="I56" s="210">
        <f>IF(G56=0,"",H56/G56*100)</f>
        <v>146.79220482005482</v>
      </c>
    </row>
    <row r="57" spans="2:9" ht="12.75" customHeight="1">
      <c r="B57" s="17"/>
      <c r="C57" s="12"/>
      <c r="D57" s="12"/>
      <c r="E57" s="9"/>
      <c r="F57" s="12" t="s">
        <v>102</v>
      </c>
      <c r="G57" s="20"/>
      <c r="H57" s="15"/>
      <c r="I57" s="160"/>
    </row>
    <row r="58" spans="2:9" ht="12.75" customHeight="1">
      <c r="B58" s="17"/>
      <c r="C58" s="12"/>
      <c r="D58" s="12"/>
      <c r="E58" s="9"/>
      <c r="F58" s="12" t="s">
        <v>103</v>
      </c>
      <c r="G58" s="20"/>
      <c r="H58" s="15"/>
      <c r="I58" s="160"/>
    </row>
    <row r="59" spans="2:9" s="1" customFormat="1" ht="12.75" customHeight="1" thickBot="1">
      <c r="B59" s="21"/>
      <c r="C59" s="22"/>
      <c r="D59" s="22"/>
      <c r="E59" s="23"/>
      <c r="F59" s="22"/>
      <c r="G59" s="47"/>
      <c r="H59" s="22"/>
      <c r="I59" s="162"/>
    </row>
    <row r="60" spans="2:9" s="1" customFormat="1" ht="12.75" customHeight="1">
      <c r="B60" s="13"/>
      <c r="C60" s="13"/>
      <c r="D60" s="13"/>
      <c r="E60" s="24"/>
      <c r="F60" s="13"/>
      <c r="G60" s="13"/>
      <c r="H60" s="13"/>
      <c r="I60" s="146"/>
    </row>
    <row r="61" spans="2:9" s="1" customFormat="1" ht="12.75" customHeight="1">
      <c r="B61" s="13"/>
      <c r="C61" s="13"/>
      <c r="D61" s="13"/>
      <c r="E61" s="24"/>
      <c r="F61" s="13"/>
      <c r="G61" s="13"/>
      <c r="H61" s="13"/>
      <c r="I61" s="146"/>
    </row>
    <row r="62" spans="2:9" s="1" customFormat="1" ht="12.75" customHeight="1">
      <c r="B62" s="13"/>
      <c r="C62" s="13"/>
      <c r="D62" s="13"/>
      <c r="E62" s="24"/>
      <c r="F62" s="13"/>
      <c r="G62" s="13"/>
      <c r="H62" s="13"/>
      <c r="I62" s="146"/>
    </row>
    <row r="63" ht="12.75" customHeight="1"/>
  </sheetData>
  <sheetProtection/>
  <mergeCells count="2">
    <mergeCell ref="B2:H2"/>
    <mergeCell ref="F3:G3"/>
  </mergeCells>
  <printOptions/>
  <pageMargins left="0.21" right="0.19" top="0.5905511811023623" bottom="0.5905511811023623" header="0.5118110236220472" footer="0.5118110236220472"/>
  <pageSetup horizontalDpi="180" verticalDpi="180" orientation="portrait" paperSize="9" scale="88" r:id="rId1"/>
  <headerFooter alignWithMargins="0">
    <oddFooter>&amp;R11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L48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9" s="118" customFormat="1" ht="15" customHeight="1">
      <c r="B2" s="439" t="s">
        <v>133</v>
      </c>
      <c r="C2" s="439"/>
      <c r="D2" s="439"/>
      <c r="E2" s="439"/>
      <c r="F2" s="439"/>
      <c r="G2" s="439"/>
      <c r="H2" s="439"/>
      <c r="I2" s="153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130</v>
      </c>
      <c r="C6" s="11" t="s">
        <v>89</v>
      </c>
      <c r="D6" s="11" t="s">
        <v>128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13220</v>
      </c>
      <c r="H7" s="20">
        <f>SUM(H8:H11)</f>
        <v>32580</v>
      </c>
      <c r="I7" s="210">
        <f aca="true" t="shared" si="0" ref="I7:I41">IF(G7=0,"",H7/G7*100)</f>
        <v>246.44478063540092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87">
        <v>7800</v>
      </c>
      <c r="H8" s="87">
        <f>13500+11680</f>
        <v>25180</v>
      </c>
      <c r="I8" s="159">
        <f t="shared" si="0"/>
        <v>322.8205128205128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87">
        <v>1100</v>
      </c>
      <c r="H9" s="87">
        <f>2100+2200</f>
        <v>4300</v>
      </c>
      <c r="I9" s="159">
        <f t="shared" si="0"/>
        <v>390.90909090909093</v>
      </c>
    </row>
    <row r="10" spans="2:11" ht="12.75" customHeight="1">
      <c r="B10" s="14"/>
      <c r="C10" s="15"/>
      <c r="D10" s="15"/>
      <c r="E10" s="16">
        <v>611200</v>
      </c>
      <c r="F10" s="26" t="s">
        <v>741</v>
      </c>
      <c r="G10" s="87">
        <v>4320</v>
      </c>
      <c r="H10" s="87">
        <v>3100</v>
      </c>
      <c r="I10" s="159">
        <f t="shared" si="0"/>
        <v>71.75925925925925</v>
      </c>
      <c r="K10" s="94"/>
    </row>
    <row r="11" spans="2:9" ht="12.75" customHeight="1">
      <c r="B11" s="14"/>
      <c r="C11" s="15"/>
      <c r="D11" s="15"/>
      <c r="E11" s="16"/>
      <c r="F11" s="26"/>
      <c r="G11" s="45"/>
      <c r="H11" s="45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12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900</v>
      </c>
      <c r="H13" s="20">
        <f>H14+H15</f>
        <v>2930</v>
      </c>
      <c r="I13" s="159">
        <f t="shared" si="0"/>
        <v>325.55555555555554</v>
      </c>
      <c r="L13" s="100"/>
    </row>
    <row r="14" spans="2:12" ht="12.75" customHeight="1">
      <c r="B14" s="14"/>
      <c r="C14" s="15"/>
      <c r="D14" s="15"/>
      <c r="E14" s="16">
        <v>612100</v>
      </c>
      <c r="F14" s="18" t="s">
        <v>91</v>
      </c>
      <c r="G14" s="87">
        <v>900</v>
      </c>
      <c r="H14" s="87">
        <f>1700+1230</f>
        <v>2930</v>
      </c>
      <c r="I14" s="159">
        <f t="shared" si="0"/>
        <v>325.55555555555554</v>
      </c>
      <c r="L14" s="86"/>
    </row>
    <row r="15" spans="2:9" ht="12.75" customHeight="1">
      <c r="B15" s="14"/>
      <c r="C15" s="15"/>
      <c r="D15" s="15"/>
      <c r="E15" s="16"/>
      <c r="F15" s="15"/>
      <c r="G15" s="45"/>
      <c r="H15" s="45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51"/>
      <c r="H16" s="51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20600</v>
      </c>
      <c r="H17" s="51">
        <f>SUM(H18:H27)</f>
        <v>18700</v>
      </c>
      <c r="I17" s="210">
        <f t="shared" si="0"/>
        <v>90.77669902912622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5">
        <v>300</v>
      </c>
      <c r="H18" s="45">
        <v>500</v>
      </c>
      <c r="I18" s="159">
        <f t="shared" si="0"/>
        <v>166.66666666666669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5">
        <v>0</v>
      </c>
      <c r="H19" s="45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5">
        <v>1100</v>
      </c>
      <c r="H20" s="45">
        <v>1100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5">
        <v>0</v>
      </c>
      <c r="H21" s="45">
        <v>0</v>
      </c>
      <c r="I21" s="159">
        <f t="shared" si="0"/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5">
        <v>500</v>
      </c>
      <c r="H22" s="45">
        <v>0</v>
      </c>
      <c r="I22" s="159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5">
        <v>0</v>
      </c>
      <c r="H23" s="45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45">
        <v>400</v>
      </c>
      <c r="H24" s="45">
        <v>400</v>
      </c>
      <c r="I24" s="159">
        <f t="shared" si="0"/>
        <v>100</v>
      </c>
    </row>
    <row r="25" spans="2:10" ht="12.75" customHeight="1">
      <c r="B25" s="14"/>
      <c r="C25" s="15"/>
      <c r="D25" s="15"/>
      <c r="E25" s="16">
        <v>613800</v>
      </c>
      <c r="F25" s="15" t="s">
        <v>177</v>
      </c>
      <c r="G25" s="45">
        <v>300</v>
      </c>
      <c r="H25" s="45">
        <v>0</v>
      </c>
      <c r="I25" s="159">
        <f t="shared" si="0"/>
        <v>0</v>
      </c>
      <c r="J25" s="86"/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87">
        <v>13400</v>
      </c>
      <c r="H26" s="87">
        <v>13400</v>
      </c>
      <c r="I26" s="159">
        <f t="shared" si="0"/>
        <v>100</v>
      </c>
    </row>
    <row r="27" spans="2:9" ht="12.75" customHeight="1">
      <c r="B27" s="14"/>
      <c r="C27" s="15"/>
      <c r="D27" s="15"/>
      <c r="E27" s="16">
        <v>613900</v>
      </c>
      <c r="F27" s="26" t="s">
        <v>742</v>
      </c>
      <c r="G27" s="45">
        <v>4600</v>
      </c>
      <c r="H27" s="45">
        <v>3300</v>
      </c>
      <c r="I27" s="159">
        <f t="shared" si="0"/>
        <v>71.73913043478261</v>
      </c>
    </row>
    <row r="28" spans="2:9" ht="12.75" customHeight="1">
      <c r="B28" s="14"/>
      <c r="C28" s="15"/>
      <c r="D28" s="15"/>
      <c r="E28" s="16"/>
      <c r="F28" s="15"/>
      <c r="G28" s="20"/>
      <c r="H28" s="20"/>
      <c r="I28" s="159">
        <f t="shared" si="0"/>
      </c>
    </row>
    <row r="29" spans="2:9" s="1" customFormat="1" ht="12.75" customHeight="1">
      <c r="B29" s="17"/>
      <c r="C29" s="12"/>
      <c r="D29" s="12"/>
      <c r="E29" s="62">
        <v>614000</v>
      </c>
      <c r="F29" s="12" t="s">
        <v>222</v>
      </c>
      <c r="G29" s="20">
        <f>SUM(G30:G35)</f>
        <v>15000</v>
      </c>
      <c r="H29" s="20">
        <f>SUM(H30:H35)</f>
        <v>12000</v>
      </c>
      <c r="I29" s="210">
        <f t="shared" si="0"/>
        <v>80</v>
      </c>
    </row>
    <row r="30" spans="2:9" ht="12.75" customHeight="1">
      <c r="B30" s="14"/>
      <c r="C30" s="15"/>
      <c r="D30" s="31"/>
      <c r="E30" s="64">
        <v>614200</v>
      </c>
      <c r="F30" s="61" t="s">
        <v>107</v>
      </c>
      <c r="G30" s="87">
        <v>15000</v>
      </c>
      <c r="H30" s="87">
        <v>12000</v>
      </c>
      <c r="I30" s="159">
        <f t="shared" si="0"/>
        <v>80</v>
      </c>
    </row>
    <row r="31" spans="2:9" ht="12.75" customHeight="1">
      <c r="B31" s="14"/>
      <c r="C31" s="15"/>
      <c r="D31" s="15"/>
      <c r="E31" s="63"/>
      <c r="F31" s="15"/>
      <c r="G31" s="45"/>
      <c r="H31" s="45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45"/>
      <c r="H32" s="45"/>
      <c r="I32" s="159">
        <f t="shared" si="0"/>
      </c>
    </row>
    <row r="33" spans="2:9" ht="12.75" customHeight="1">
      <c r="B33" s="14"/>
      <c r="C33" s="15"/>
      <c r="D33" s="15"/>
      <c r="E33" s="16"/>
      <c r="F33" s="15"/>
      <c r="G33" s="45"/>
      <c r="H33" s="45"/>
      <c r="I33" s="159">
        <f t="shared" si="0"/>
      </c>
    </row>
    <row r="34" spans="2:9" ht="12.75" customHeight="1">
      <c r="B34" s="14"/>
      <c r="C34" s="15"/>
      <c r="D34" s="15"/>
      <c r="E34" s="16"/>
      <c r="F34" s="15"/>
      <c r="G34" s="45"/>
      <c r="H34" s="45"/>
      <c r="I34" s="159">
        <f t="shared" si="0"/>
      </c>
    </row>
    <row r="35" spans="2:9" ht="12.75" customHeight="1">
      <c r="B35" s="14"/>
      <c r="C35" s="15"/>
      <c r="D35" s="15"/>
      <c r="E35" s="16"/>
      <c r="F35" s="19"/>
      <c r="G35" s="45"/>
      <c r="H35" s="45"/>
      <c r="I35" s="159">
        <f t="shared" si="0"/>
      </c>
    </row>
    <row r="36" spans="2:9" ht="12.75" customHeight="1">
      <c r="B36" s="14"/>
      <c r="C36" s="15"/>
      <c r="D36" s="15"/>
      <c r="E36" s="16"/>
      <c r="F36" s="15"/>
      <c r="G36" s="20"/>
      <c r="H36" s="20"/>
      <c r="I36" s="159">
        <f t="shared" si="0"/>
      </c>
    </row>
    <row r="37" spans="2:9" s="1" customFormat="1" ht="12.75" customHeight="1">
      <c r="B37" s="17"/>
      <c r="C37" s="12"/>
      <c r="D37" s="12"/>
      <c r="E37" s="9">
        <v>821000</v>
      </c>
      <c r="F37" s="12" t="s">
        <v>98</v>
      </c>
      <c r="G37" s="20">
        <f>SUM(G38:G39)</f>
        <v>1000</v>
      </c>
      <c r="H37" s="20">
        <f>SUM(H38:H39)</f>
        <v>1000</v>
      </c>
      <c r="I37" s="159">
        <f t="shared" si="0"/>
        <v>100</v>
      </c>
    </row>
    <row r="38" spans="2:9" ht="12.75" customHeight="1">
      <c r="B38" s="14"/>
      <c r="C38" s="15"/>
      <c r="D38" s="15"/>
      <c r="E38" s="16">
        <v>821200</v>
      </c>
      <c r="F38" s="15" t="s">
        <v>99</v>
      </c>
      <c r="G38" s="87">
        <v>0</v>
      </c>
      <c r="H38" s="87">
        <v>0</v>
      </c>
      <c r="I38" s="159">
        <f t="shared" si="0"/>
      </c>
    </row>
    <row r="39" spans="2:9" ht="12.75" customHeight="1">
      <c r="B39" s="14"/>
      <c r="C39" s="15"/>
      <c r="D39" s="15"/>
      <c r="E39" s="16">
        <v>821300</v>
      </c>
      <c r="F39" s="15" t="s">
        <v>100</v>
      </c>
      <c r="G39" s="45">
        <v>1000</v>
      </c>
      <c r="H39" s="45">
        <v>1000</v>
      </c>
      <c r="I39" s="159">
        <f t="shared" si="0"/>
        <v>100</v>
      </c>
    </row>
    <row r="40" spans="2:9" ht="12.75" customHeight="1">
      <c r="B40" s="14"/>
      <c r="C40" s="15"/>
      <c r="D40" s="15"/>
      <c r="E40" s="16"/>
      <c r="F40" s="15"/>
      <c r="G40" s="45"/>
      <c r="H40" s="45"/>
      <c r="I40" s="159">
        <f t="shared" si="0"/>
      </c>
    </row>
    <row r="41" spans="2:9" ht="12.75" customHeight="1">
      <c r="B41" s="14"/>
      <c r="C41" s="15"/>
      <c r="D41" s="15"/>
      <c r="E41" s="16"/>
      <c r="F41" s="15"/>
      <c r="G41" s="20"/>
      <c r="H41" s="20"/>
      <c r="I41" s="159">
        <f t="shared" si="0"/>
      </c>
    </row>
    <row r="42" spans="2:9" s="1" customFormat="1" ht="12.75" customHeight="1">
      <c r="B42" s="17"/>
      <c r="C42" s="12"/>
      <c r="D42" s="12"/>
      <c r="E42" s="9"/>
      <c r="F42" s="12" t="s">
        <v>101</v>
      </c>
      <c r="G42" s="114">
        <v>1</v>
      </c>
      <c r="H42" s="114">
        <v>2</v>
      </c>
      <c r="I42" s="159"/>
    </row>
    <row r="43" spans="2:9" s="1" customFormat="1" ht="12.75" customHeight="1">
      <c r="B43" s="17"/>
      <c r="C43" s="12"/>
      <c r="D43" s="12"/>
      <c r="E43" s="9"/>
      <c r="F43" s="12" t="s">
        <v>122</v>
      </c>
      <c r="G43" s="20">
        <f>G7+G13+G17+G29+G37</f>
        <v>50720</v>
      </c>
      <c r="H43" s="20">
        <f>H7+H13+H17+H29+H37</f>
        <v>67210</v>
      </c>
      <c r="I43" s="210">
        <f>IF(G43=0,"",H43/G43*100)</f>
        <v>132.51182965299682</v>
      </c>
    </row>
    <row r="44" spans="2:9" s="1" customFormat="1" ht="12.75" customHeight="1">
      <c r="B44" s="17"/>
      <c r="C44" s="12"/>
      <c r="D44" s="12"/>
      <c r="E44" s="9"/>
      <c r="F44" s="12" t="s">
        <v>102</v>
      </c>
      <c r="G44" s="20"/>
      <c r="H44" s="20"/>
      <c r="I44" s="161"/>
    </row>
    <row r="45" spans="2:9" s="1" customFormat="1" ht="12.75" customHeight="1">
      <c r="B45" s="17"/>
      <c r="C45" s="12"/>
      <c r="D45" s="12"/>
      <c r="E45" s="9"/>
      <c r="F45" s="12" t="s">
        <v>103</v>
      </c>
      <c r="G45" s="20"/>
      <c r="H45" s="45"/>
      <c r="I45" s="160"/>
    </row>
    <row r="46" spans="2:9" ht="12.75" customHeight="1" thickBot="1">
      <c r="B46" s="21"/>
      <c r="C46" s="22"/>
      <c r="D46" s="22"/>
      <c r="E46" s="23"/>
      <c r="F46" s="22"/>
      <c r="G46" s="50"/>
      <c r="H46" s="22"/>
      <c r="I46" s="162"/>
    </row>
    <row r="48" ht="12.75">
      <c r="B48" s="86"/>
    </row>
  </sheetData>
  <sheetProtection/>
  <mergeCells count="2">
    <mergeCell ref="B2:H2"/>
    <mergeCell ref="F3:G3"/>
  </mergeCells>
  <printOptions/>
  <pageMargins left="0.2755905511811024" right="0.2755905511811024" top="0.5905511811023623" bottom="0.5905511811023623" header="0.5118110236220472" footer="0.5118110236220472"/>
  <pageSetup fitToHeight="1" fitToWidth="1" horizontalDpi="180" verticalDpi="180" orientation="portrait" paperSize="9" scale="88" r:id="rId1"/>
  <headerFooter alignWithMargins="0">
    <oddFooter>&amp;R12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K47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9" s="118" customFormat="1" ht="15" customHeight="1">
      <c r="B2" s="439" t="s">
        <v>134</v>
      </c>
      <c r="C2" s="439"/>
      <c r="D2" s="439"/>
      <c r="E2" s="439"/>
      <c r="F2" s="439"/>
      <c r="G2" s="439"/>
      <c r="H2" s="439"/>
      <c r="I2" s="153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130</v>
      </c>
      <c r="C6" s="11" t="s">
        <v>89</v>
      </c>
      <c r="D6" s="11" t="s">
        <v>135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31900</v>
      </c>
      <c r="H7" s="20">
        <f>SUM(H8:H11)</f>
        <v>30600</v>
      </c>
      <c r="I7" s="210">
        <f aca="true" t="shared" si="0" ref="I7:I40">IF(G7=0,"",H7/G7*100)</f>
        <v>95.92476489028213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87">
        <v>26400</v>
      </c>
      <c r="H8" s="87">
        <v>27800</v>
      </c>
      <c r="I8" s="159">
        <f t="shared" si="0"/>
        <v>105.3030303030303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87">
        <v>2800</v>
      </c>
      <c r="H9" s="87">
        <v>2800</v>
      </c>
      <c r="I9" s="159">
        <f t="shared" si="0"/>
        <v>100</v>
      </c>
    </row>
    <row r="10" spans="2:11" ht="12.75" customHeight="1">
      <c r="B10" s="14"/>
      <c r="C10" s="15"/>
      <c r="D10" s="15"/>
      <c r="E10" s="16">
        <v>611200</v>
      </c>
      <c r="F10" s="26" t="s">
        <v>743</v>
      </c>
      <c r="G10" s="87">
        <v>2700</v>
      </c>
      <c r="H10" s="87">
        <v>0</v>
      </c>
      <c r="I10" s="159">
        <f t="shared" si="0"/>
        <v>0</v>
      </c>
      <c r="K10" s="94"/>
    </row>
    <row r="11" spans="2:9" ht="12.75" customHeight="1">
      <c r="B11" s="14"/>
      <c r="C11" s="15"/>
      <c r="D11" s="15"/>
      <c r="E11" s="16"/>
      <c r="F11" s="26"/>
      <c r="G11" s="45"/>
      <c r="H11" s="45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2900</v>
      </c>
      <c r="H13" s="20">
        <f>H14+H15</f>
        <v>3100</v>
      </c>
      <c r="I13" s="210">
        <f t="shared" si="0"/>
        <v>106.89655172413792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5">
        <v>2900</v>
      </c>
      <c r="H14" s="45">
        <v>3100</v>
      </c>
      <c r="I14" s="159">
        <f t="shared" si="0"/>
        <v>106.89655172413792</v>
      </c>
    </row>
    <row r="15" spans="2:9" ht="12.75" customHeight="1">
      <c r="B15" s="14"/>
      <c r="C15" s="15"/>
      <c r="D15" s="15"/>
      <c r="E15" s="16"/>
      <c r="F15" s="15"/>
      <c r="G15" s="45"/>
      <c r="H15" s="45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51"/>
      <c r="H16" s="51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7300</v>
      </c>
      <c r="H17" s="51">
        <f>SUM(H18:H27)</f>
        <v>1800</v>
      </c>
      <c r="I17" s="210">
        <f t="shared" si="0"/>
        <v>24.65753424657534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5">
        <v>300</v>
      </c>
      <c r="H18" s="45">
        <v>300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5">
        <v>0</v>
      </c>
      <c r="H19" s="45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5">
        <v>0</v>
      </c>
      <c r="H20" s="45">
        <v>0</v>
      </c>
      <c r="I20" s="159">
        <f t="shared" si="0"/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5">
        <v>0</v>
      </c>
      <c r="H21" s="45">
        <v>0</v>
      </c>
      <c r="I21" s="159">
        <f t="shared" si="0"/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5">
        <v>0</v>
      </c>
      <c r="H22" s="45">
        <v>0</v>
      </c>
      <c r="I22" s="159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5">
        <v>0</v>
      </c>
      <c r="H23" s="45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45">
        <v>0</v>
      </c>
      <c r="H24" s="45">
        <v>0</v>
      </c>
      <c r="I24" s="159">
        <f t="shared" si="0"/>
      </c>
    </row>
    <row r="25" spans="2:11" ht="12.75" customHeight="1">
      <c r="B25" s="14"/>
      <c r="C25" s="15"/>
      <c r="D25" s="15"/>
      <c r="E25" s="16">
        <v>613800</v>
      </c>
      <c r="F25" s="15" t="s">
        <v>177</v>
      </c>
      <c r="G25" s="45">
        <v>0</v>
      </c>
      <c r="H25" s="45">
        <v>0</v>
      </c>
      <c r="I25" s="159">
        <f t="shared" si="0"/>
      </c>
      <c r="K25" s="86"/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45">
        <v>4200</v>
      </c>
      <c r="H26" s="45">
        <v>1500</v>
      </c>
      <c r="I26" s="159">
        <f t="shared" si="0"/>
        <v>35.714285714285715</v>
      </c>
    </row>
    <row r="27" spans="2:9" ht="12.75" customHeight="1">
      <c r="B27" s="14"/>
      <c r="C27" s="15"/>
      <c r="D27" s="15"/>
      <c r="E27" s="16">
        <v>613900</v>
      </c>
      <c r="F27" s="26" t="s">
        <v>744</v>
      </c>
      <c r="G27" s="46">
        <v>2800</v>
      </c>
      <c r="H27" s="46">
        <v>0</v>
      </c>
      <c r="I27" s="159">
        <f t="shared" si="0"/>
        <v>0</v>
      </c>
    </row>
    <row r="28" spans="2:9" s="1" customFormat="1" ht="12.75" customHeight="1">
      <c r="B28" s="17"/>
      <c r="C28" s="12"/>
      <c r="D28" s="12"/>
      <c r="E28" s="62"/>
      <c r="F28" s="12"/>
      <c r="G28" s="45"/>
      <c r="H28" s="45"/>
      <c r="I28" s="159">
        <f t="shared" si="0"/>
      </c>
    </row>
    <row r="29" spans="2:9" ht="12.75" customHeight="1">
      <c r="B29" s="14"/>
      <c r="C29" s="15"/>
      <c r="D29" s="31"/>
      <c r="E29" s="64"/>
      <c r="F29" s="61"/>
      <c r="G29" s="45"/>
      <c r="H29" s="45"/>
      <c r="I29" s="159">
        <f t="shared" si="0"/>
      </c>
    </row>
    <row r="30" spans="2:9" ht="12.75" customHeight="1">
      <c r="B30" s="14"/>
      <c r="C30" s="15"/>
      <c r="D30" s="15"/>
      <c r="E30" s="63"/>
      <c r="F30" s="15"/>
      <c r="G30" s="45"/>
      <c r="H30" s="45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45"/>
      <c r="H31" s="45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45"/>
      <c r="H32" s="45"/>
      <c r="I32" s="159">
        <f t="shared" si="0"/>
      </c>
    </row>
    <row r="33" spans="2:9" ht="12.75" customHeight="1">
      <c r="B33" s="14"/>
      <c r="C33" s="15"/>
      <c r="D33" s="15"/>
      <c r="E33" s="16"/>
      <c r="F33" s="15"/>
      <c r="G33" s="45"/>
      <c r="H33" s="45"/>
      <c r="I33" s="159">
        <f t="shared" si="0"/>
      </c>
    </row>
    <row r="34" spans="2:9" ht="12.75" customHeight="1">
      <c r="B34" s="14"/>
      <c r="C34" s="15"/>
      <c r="D34" s="15"/>
      <c r="E34" s="16"/>
      <c r="F34" s="19"/>
      <c r="G34" s="45"/>
      <c r="H34" s="45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20">
        <f>SUM(G37:G38)</f>
        <v>0</v>
      </c>
      <c r="H36" s="20">
        <f>SUM(H37:H38)</f>
        <v>0</v>
      </c>
      <c r="I36" s="210">
        <f t="shared" si="0"/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87">
        <v>0</v>
      </c>
      <c r="H37" s="87">
        <v>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45">
        <v>0</v>
      </c>
      <c r="H38" s="45">
        <v>0</v>
      </c>
      <c r="I38" s="159">
        <f t="shared" si="0"/>
      </c>
    </row>
    <row r="39" spans="2:9" ht="12.75" customHeight="1">
      <c r="B39" s="14"/>
      <c r="C39" s="15"/>
      <c r="D39" s="15"/>
      <c r="E39" s="16"/>
      <c r="F39" s="15"/>
      <c r="G39" s="45"/>
      <c r="H39" s="45"/>
      <c r="I39" s="159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159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101</v>
      </c>
      <c r="G41" s="20">
        <v>1</v>
      </c>
      <c r="H41" s="20">
        <v>1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42100</v>
      </c>
      <c r="H42" s="20">
        <f>H7+H13+H17+H36</f>
        <v>35500</v>
      </c>
      <c r="I42" s="210">
        <f>IF(G42=0,"",H42/G42*100)</f>
        <v>84.32304038004752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/>
      <c r="H43" s="20"/>
      <c r="I43" s="161"/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45"/>
      <c r="I44" s="160"/>
    </row>
    <row r="45" spans="2:9" ht="12.75" customHeight="1" thickBot="1">
      <c r="B45" s="21"/>
      <c r="C45" s="22"/>
      <c r="D45" s="22"/>
      <c r="E45" s="23"/>
      <c r="F45" s="22"/>
      <c r="G45" s="50"/>
      <c r="H45" s="22"/>
      <c r="I45" s="162"/>
    </row>
    <row r="47" ht="12.75">
      <c r="B47" s="86"/>
    </row>
  </sheetData>
  <sheetProtection/>
  <mergeCells count="2">
    <mergeCell ref="B2:H2"/>
    <mergeCell ref="F3:G3"/>
  </mergeCells>
  <printOptions/>
  <pageMargins left="0.2755905511811024" right="0.2755905511811024" top="0.5905511811023623" bottom="0.52" header="0.5118110236220472" footer="0.5118110236220472"/>
  <pageSetup fitToHeight="1" fitToWidth="1" horizontalDpi="180" verticalDpi="180" orientation="portrait" paperSize="9" scale="88" r:id="rId1"/>
  <headerFooter alignWithMargins="0">
    <oddFooter>&amp;R13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B2:K50"/>
  <sheetViews>
    <sheetView zoomScalePageLayoutView="0" workbookViewId="0" topLeftCell="A4">
      <selection activeCell="H11" sqref="H1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9" s="118" customFormat="1" ht="15" customHeight="1">
      <c r="B2" s="439" t="s">
        <v>171</v>
      </c>
      <c r="C2" s="439"/>
      <c r="D2" s="439"/>
      <c r="E2" s="439"/>
      <c r="F2" s="439"/>
      <c r="G2" s="439"/>
      <c r="H2" s="439"/>
      <c r="I2" s="153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130</v>
      </c>
      <c r="C6" s="11" t="s">
        <v>89</v>
      </c>
      <c r="D6" s="11" t="s">
        <v>136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69600</v>
      </c>
      <c r="H7" s="20">
        <f>SUM(H8:H11)</f>
        <v>74800</v>
      </c>
      <c r="I7" s="210">
        <f aca="true" t="shared" si="0" ref="I7:I40">IF(G7=0,"",H7/G7*100)</f>
        <v>107.47126436781609</v>
      </c>
    </row>
    <row r="8" spans="2:10" ht="12.75" customHeight="1">
      <c r="B8" s="14"/>
      <c r="C8" s="15"/>
      <c r="D8" s="15"/>
      <c r="E8" s="16">
        <v>611100</v>
      </c>
      <c r="F8" s="26" t="s">
        <v>218</v>
      </c>
      <c r="G8" s="87">
        <v>57500</v>
      </c>
      <c r="H8" s="87">
        <v>61200</v>
      </c>
      <c r="I8" s="159">
        <f t="shared" si="0"/>
        <v>106.43478260869566</v>
      </c>
      <c r="J8" s="95"/>
    </row>
    <row r="9" spans="2:10" ht="12.75" customHeight="1">
      <c r="B9" s="14"/>
      <c r="C9" s="15"/>
      <c r="D9" s="15"/>
      <c r="E9" s="16">
        <v>611200</v>
      </c>
      <c r="F9" s="15" t="s">
        <v>219</v>
      </c>
      <c r="G9" s="87">
        <v>10800</v>
      </c>
      <c r="H9" s="87">
        <v>10800</v>
      </c>
      <c r="I9" s="159">
        <f t="shared" si="0"/>
        <v>100</v>
      </c>
      <c r="J9" s="99"/>
    </row>
    <row r="10" spans="2:11" ht="12.75" customHeight="1">
      <c r="B10" s="14"/>
      <c r="C10" s="15"/>
      <c r="D10" s="15"/>
      <c r="E10" s="16">
        <v>611200</v>
      </c>
      <c r="F10" s="26" t="s">
        <v>741</v>
      </c>
      <c r="G10" s="87">
        <v>1300</v>
      </c>
      <c r="H10" s="87">
        <v>2800</v>
      </c>
      <c r="I10" s="159">
        <f t="shared" si="0"/>
        <v>215.3846153846154</v>
      </c>
      <c r="K10" s="94"/>
    </row>
    <row r="11" spans="2:9" ht="12.75" customHeight="1">
      <c r="B11" s="14"/>
      <c r="C11" s="15"/>
      <c r="D11" s="15"/>
      <c r="E11" s="16"/>
      <c r="F11" s="26"/>
      <c r="G11" s="45"/>
      <c r="H11" s="45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6100</v>
      </c>
      <c r="H13" s="20">
        <f>H14+H15</f>
        <v>6800</v>
      </c>
      <c r="I13" s="210">
        <f t="shared" si="0"/>
        <v>111.47540983606557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87">
        <v>6100</v>
      </c>
      <c r="H14" s="87">
        <v>6800</v>
      </c>
      <c r="I14" s="159">
        <f t="shared" si="0"/>
        <v>111.47540983606557</v>
      </c>
    </row>
    <row r="15" spans="2:9" ht="12.75" customHeight="1">
      <c r="B15" s="14"/>
      <c r="C15" s="15"/>
      <c r="D15" s="15"/>
      <c r="E15" s="16"/>
      <c r="F15" s="15"/>
      <c r="G15" s="45"/>
      <c r="H15" s="45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51"/>
      <c r="H16" s="51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9940</v>
      </c>
      <c r="H17" s="51">
        <f>SUM(H18:H27)</f>
        <v>19600</v>
      </c>
      <c r="I17" s="210">
        <f t="shared" si="0"/>
        <v>197.1830985915493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87">
        <v>800</v>
      </c>
      <c r="H18" s="87">
        <v>1000</v>
      </c>
      <c r="I18" s="159">
        <f t="shared" si="0"/>
        <v>125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5">
        <v>0</v>
      </c>
      <c r="H19" s="45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5">
        <v>1800</v>
      </c>
      <c r="H20" s="45">
        <v>2500</v>
      </c>
      <c r="I20" s="159">
        <f t="shared" si="0"/>
        <v>138.88888888888889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87">
        <v>350</v>
      </c>
      <c r="H21" s="87">
        <v>400</v>
      </c>
      <c r="I21" s="159">
        <f t="shared" si="0"/>
        <v>114.28571428571428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5">
        <v>250</v>
      </c>
      <c r="H22" s="45">
        <v>0</v>
      </c>
      <c r="I22" s="159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5">
        <v>0</v>
      </c>
      <c r="H23" s="45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45">
        <v>400</v>
      </c>
      <c r="H24" s="45">
        <v>400</v>
      </c>
      <c r="I24" s="159">
        <f t="shared" si="0"/>
        <v>100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45">
        <v>0</v>
      </c>
      <c r="H25" s="45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87">
        <v>4500</v>
      </c>
      <c r="H26" s="87">
        <v>12000</v>
      </c>
      <c r="I26" s="159">
        <f t="shared" si="0"/>
        <v>266.66666666666663</v>
      </c>
    </row>
    <row r="27" spans="2:9" ht="12.75" customHeight="1">
      <c r="B27" s="14"/>
      <c r="C27" s="15"/>
      <c r="D27" s="15"/>
      <c r="E27" s="16">
        <v>613900</v>
      </c>
      <c r="F27" s="26" t="s">
        <v>742</v>
      </c>
      <c r="G27" s="123">
        <v>1840</v>
      </c>
      <c r="H27" s="123">
        <v>3300</v>
      </c>
      <c r="I27" s="159">
        <f t="shared" si="0"/>
        <v>179.34782608695653</v>
      </c>
    </row>
    <row r="28" spans="2:9" s="1" customFormat="1" ht="12.75" customHeight="1">
      <c r="B28" s="17"/>
      <c r="C28" s="12"/>
      <c r="D28" s="12"/>
      <c r="E28" s="62"/>
      <c r="F28" s="12"/>
      <c r="G28" s="87"/>
      <c r="H28" s="87"/>
      <c r="I28" s="159">
        <f t="shared" si="0"/>
      </c>
    </row>
    <row r="29" spans="2:9" ht="12.75" customHeight="1">
      <c r="B29" s="14"/>
      <c r="C29" s="15"/>
      <c r="D29" s="31"/>
      <c r="E29" s="64"/>
      <c r="F29" s="61"/>
      <c r="G29" s="87"/>
      <c r="H29" s="87"/>
      <c r="I29" s="159">
        <f t="shared" si="0"/>
      </c>
    </row>
    <row r="30" spans="2:9" ht="12.75" customHeight="1">
      <c r="B30" s="14"/>
      <c r="C30" s="15"/>
      <c r="D30" s="15"/>
      <c r="E30" s="63"/>
      <c r="F30" s="15"/>
      <c r="G30" s="87"/>
      <c r="H30" s="87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87"/>
      <c r="H31" s="87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87"/>
      <c r="H32" s="87"/>
      <c r="I32" s="159">
        <f t="shared" si="0"/>
      </c>
    </row>
    <row r="33" spans="2:9" ht="12.75" customHeight="1">
      <c r="B33" s="14"/>
      <c r="C33" s="15"/>
      <c r="D33" s="15"/>
      <c r="E33" s="16"/>
      <c r="F33" s="15"/>
      <c r="G33" s="87"/>
      <c r="H33" s="87"/>
      <c r="I33" s="159">
        <f t="shared" si="0"/>
      </c>
    </row>
    <row r="34" spans="2:9" ht="12.75" customHeight="1">
      <c r="B34" s="14"/>
      <c r="C34" s="15"/>
      <c r="D34" s="15"/>
      <c r="E34" s="16"/>
      <c r="F34" s="19"/>
      <c r="G34" s="87"/>
      <c r="H34" s="87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SUM(G37:G38)</f>
        <v>800</v>
      </c>
      <c r="H36" s="114">
        <f>SUM(H37:H38)</f>
        <v>800</v>
      </c>
      <c r="I36" s="210">
        <f t="shared" si="0"/>
        <v>100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87">
        <v>0</v>
      </c>
      <c r="H37" s="87">
        <v>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87">
        <v>800</v>
      </c>
      <c r="H38" s="87">
        <v>800</v>
      </c>
      <c r="I38" s="159">
        <f t="shared" si="0"/>
        <v>100</v>
      </c>
    </row>
    <row r="39" spans="2:9" ht="12.75" customHeight="1">
      <c r="B39" s="14"/>
      <c r="C39" s="15"/>
      <c r="D39" s="15"/>
      <c r="E39" s="16"/>
      <c r="F39" s="15"/>
      <c r="G39" s="45"/>
      <c r="H39" s="45"/>
      <c r="I39" s="159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159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101</v>
      </c>
      <c r="G41" s="114">
        <v>3</v>
      </c>
      <c r="H41" s="114">
        <v>3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86440</v>
      </c>
      <c r="H42" s="20">
        <f>H7+H13+H17+H36</f>
        <v>102000</v>
      </c>
      <c r="I42" s="210">
        <f>IF(G42=0,"",H42/G42*100)</f>
        <v>118.00092549745489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/>
      <c r="H43" s="20"/>
      <c r="I43" s="158"/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20"/>
      <c r="I44" s="158"/>
    </row>
    <row r="45" spans="2:9" ht="12.75" customHeight="1" thickBot="1">
      <c r="B45" s="21"/>
      <c r="C45" s="22"/>
      <c r="D45" s="22"/>
      <c r="E45" s="23"/>
      <c r="F45" s="22"/>
      <c r="G45" s="50"/>
      <c r="H45" s="22"/>
      <c r="I45" s="162"/>
    </row>
    <row r="47" ht="12.75">
      <c r="B47" s="86"/>
    </row>
    <row r="48" ht="12.75">
      <c r="B48" s="86"/>
    </row>
    <row r="49" ht="12.75">
      <c r="B49" s="86"/>
    </row>
    <row r="50" ht="12.75">
      <c r="B50" s="86"/>
    </row>
  </sheetData>
  <sheetProtection/>
  <mergeCells count="2">
    <mergeCell ref="B2:H2"/>
    <mergeCell ref="F3:G3"/>
  </mergeCells>
  <printOptions/>
  <pageMargins left="0.2755905511811024" right="0.2755905511811024" top="0.5905511811023623" bottom="0.53" header="0.5118110236220472" footer="0.5118110236220472"/>
  <pageSetup fitToHeight="1" fitToWidth="1" horizontalDpi="180" verticalDpi="180" orientation="portrait" paperSize="9" scale="88" r:id="rId1"/>
  <headerFooter alignWithMargins="0">
    <oddFooter>&amp;R14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B2:K5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9" ht="15" customHeight="1">
      <c r="B2" s="439" t="s">
        <v>359</v>
      </c>
      <c r="C2" s="439"/>
      <c r="D2" s="439"/>
      <c r="E2" s="439"/>
      <c r="F2" s="439"/>
      <c r="G2" s="439"/>
      <c r="H2" s="439"/>
      <c r="I2" s="153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130</v>
      </c>
      <c r="C6" s="11" t="s">
        <v>89</v>
      </c>
      <c r="D6" s="11" t="s">
        <v>157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40620</v>
      </c>
      <c r="H7" s="20">
        <f>SUM(H8:H11)</f>
        <v>135700</v>
      </c>
      <c r="I7" s="158">
        <f aca="true" t="shared" si="0" ref="I7:I38">IF(G7=0,"",H7/G7*100)</f>
        <v>334.0718857705564</v>
      </c>
    </row>
    <row r="8" spans="2:10" ht="12.75" customHeight="1">
      <c r="B8" s="14"/>
      <c r="C8" s="15"/>
      <c r="D8" s="15"/>
      <c r="E8" s="16">
        <v>611100</v>
      </c>
      <c r="F8" s="26" t="s">
        <v>218</v>
      </c>
      <c r="G8" s="87">
        <f>19500+11700</f>
        <v>31200</v>
      </c>
      <c r="H8" s="87">
        <f>23500+57500</f>
        <v>81000</v>
      </c>
      <c r="I8" s="159">
        <f t="shared" si="0"/>
        <v>259.61538461538464</v>
      </c>
      <c r="J8" s="95"/>
    </row>
    <row r="9" spans="2:10" ht="12.75" customHeight="1">
      <c r="B9" s="14"/>
      <c r="C9" s="15"/>
      <c r="D9" s="15"/>
      <c r="E9" s="16">
        <v>611200</v>
      </c>
      <c r="F9" s="15" t="s">
        <v>219</v>
      </c>
      <c r="G9" s="87">
        <f>6000+2400</f>
        <v>8400</v>
      </c>
      <c r="H9" s="87">
        <f>6700+37800</f>
        <v>44500</v>
      </c>
      <c r="I9" s="159">
        <f t="shared" si="0"/>
        <v>529.7619047619047</v>
      </c>
      <c r="J9" s="99"/>
    </row>
    <row r="10" spans="2:11" ht="12.75" customHeight="1">
      <c r="B10" s="14"/>
      <c r="C10" s="15"/>
      <c r="D10" s="15"/>
      <c r="E10" s="16">
        <v>611200</v>
      </c>
      <c r="F10" s="26" t="s">
        <v>747</v>
      </c>
      <c r="G10" s="87">
        <v>1020</v>
      </c>
      <c r="H10" s="87">
        <v>10200</v>
      </c>
      <c r="I10" s="159">
        <f t="shared" si="0"/>
        <v>1000</v>
      </c>
      <c r="K10" s="94"/>
    </row>
    <row r="11" spans="2:9" ht="12.75" customHeight="1">
      <c r="B11" s="14"/>
      <c r="C11" s="15"/>
      <c r="D11" s="15"/>
      <c r="E11" s="16"/>
      <c r="F11" s="26"/>
      <c r="G11" s="45"/>
      <c r="H11" s="45"/>
      <c r="I11" s="158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3400</v>
      </c>
      <c r="H13" s="20">
        <f>H14+H15</f>
        <v>8800</v>
      </c>
      <c r="I13" s="158">
        <f t="shared" si="0"/>
        <v>258.8235294117647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87">
        <f>2100+1300</f>
        <v>3400</v>
      </c>
      <c r="H14" s="87">
        <f>2700+6100</f>
        <v>8800</v>
      </c>
      <c r="I14" s="159">
        <f t="shared" si="0"/>
        <v>258.8235294117647</v>
      </c>
    </row>
    <row r="15" spans="2:9" ht="12.75" customHeight="1">
      <c r="B15" s="14"/>
      <c r="C15" s="15"/>
      <c r="D15" s="15"/>
      <c r="E15" s="16"/>
      <c r="F15" s="15"/>
      <c r="G15" s="45"/>
      <c r="H15" s="45"/>
      <c r="I15" s="158">
        <f t="shared" si="0"/>
      </c>
    </row>
    <row r="16" spans="2:9" ht="12.75" customHeight="1">
      <c r="B16" s="14"/>
      <c r="C16" s="15"/>
      <c r="D16" s="15"/>
      <c r="E16" s="16"/>
      <c r="F16" s="15"/>
      <c r="G16" s="51"/>
      <c r="H16" s="51"/>
      <c r="I16" s="15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4000</v>
      </c>
      <c r="H17" s="51">
        <f>SUM(H18:H27)</f>
        <v>14700</v>
      </c>
      <c r="I17" s="158">
        <f t="shared" si="0"/>
        <v>367.5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87">
        <v>1000</v>
      </c>
      <c r="H18" s="87">
        <v>2000</v>
      </c>
      <c r="I18" s="159">
        <f t="shared" si="0"/>
        <v>200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5">
        <v>0</v>
      </c>
      <c r="H19" s="87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5">
        <v>0</v>
      </c>
      <c r="H20" s="87">
        <v>0</v>
      </c>
      <c r="I20" s="159">
        <f t="shared" si="0"/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87">
        <v>300</v>
      </c>
      <c r="H21" s="87">
        <v>1000</v>
      </c>
      <c r="I21" s="159">
        <f t="shared" si="0"/>
        <v>333.33333333333337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5">
        <v>0</v>
      </c>
      <c r="H22" s="87">
        <v>0</v>
      </c>
      <c r="I22" s="159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5">
        <v>0</v>
      </c>
      <c r="H23" s="87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45">
        <v>300</v>
      </c>
      <c r="H24" s="87">
        <v>300</v>
      </c>
      <c r="I24" s="159">
        <f t="shared" si="0"/>
        <v>100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45">
        <v>0</v>
      </c>
      <c r="H25" s="87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87">
        <v>1500</v>
      </c>
      <c r="H26" s="87">
        <v>1500</v>
      </c>
      <c r="I26" s="159">
        <f t="shared" si="0"/>
        <v>100</v>
      </c>
    </row>
    <row r="27" spans="2:9" ht="12.75" customHeight="1">
      <c r="B27" s="14"/>
      <c r="C27" s="15"/>
      <c r="D27" s="15"/>
      <c r="E27" s="16">
        <v>613900</v>
      </c>
      <c r="F27" s="26" t="s">
        <v>748</v>
      </c>
      <c r="G27" s="123">
        <v>900</v>
      </c>
      <c r="H27" s="123">
        <v>9900</v>
      </c>
      <c r="I27" s="159">
        <f t="shared" si="0"/>
        <v>1100</v>
      </c>
    </row>
    <row r="28" spans="2:9" s="1" customFormat="1" ht="12.75" customHeight="1">
      <c r="B28" s="17"/>
      <c r="C28" s="12"/>
      <c r="D28" s="12"/>
      <c r="E28" s="62"/>
      <c r="F28" s="12"/>
      <c r="G28" s="87"/>
      <c r="H28" s="87"/>
      <c r="I28" s="158">
        <f t="shared" si="0"/>
      </c>
    </row>
    <row r="29" spans="2:9" ht="12.75" customHeight="1">
      <c r="B29" s="14"/>
      <c r="C29" s="15"/>
      <c r="D29" s="31"/>
      <c r="E29" s="64"/>
      <c r="F29" s="61"/>
      <c r="G29" s="87"/>
      <c r="H29" s="87"/>
      <c r="I29" s="158">
        <f t="shared" si="0"/>
      </c>
    </row>
    <row r="30" spans="2:9" ht="12.75" customHeight="1">
      <c r="B30" s="14"/>
      <c r="C30" s="15"/>
      <c r="D30" s="15"/>
      <c r="E30" s="63"/>
      <c r="F30" s="15"/>
      <c r="G30" s="87"/>
      <c r="H30" s="87"/>
      <c r="I30" s="158">
        <f t="shared" si="0"/>
      </c>
    </row>
    <row r="31" spans="2:9" ht="12.75" customHeight="1">
      <c r="B31" s="14"/>
      <c r="C31" s="15"/>
      <c r="D31" s="15"/>
      <c r="E31" s="16"/>
      <c r="F31" s="15"/>
      <c r="G31" s="87"/>
      <c r="H31" s="87"/>
      <c r="I31" s="158">
        <f t="shared" si="0"/>
      </c>
    </row>
    <row r="32" spans="2:9" ht="12.75" customHeight="1">
      <c r="B32" s="14"/>
      <c r="C32" s="15"/>
      <c r="D32" s="15"/>
      <c r="E32" s="16"/>
      <c r="F32" s="15"/>
      <c r="G32" s="87"/>
      <c r="H32" s="87"/>
      <c r="I32" s="158">
        <f t="shared" si="0"/>
      </c>
    </row>
    <row r="33" spans="2:9" ht="12.75" customHeight="1">
      <c r="B33" s="14"/>
      <c r="C33" s="15"/>
      <c r="D33" s="15"/>
      <c r="E33" s="16"/>
      <c r="F33" s="15"/>
      <c r="G33" s="87"/>
      <c r="H33" s="87"/>
      <c r="I33" s="158">
        <f t="shared" si="0"/>
      </c>
    </row>
    <row r="34" spans="2:9" ht="12.75" customHeight="1">
      <c r="B34" s="14"/>
      <c r="C34" s="15"/>
      <c r="D34" s="15"/>
      <c r="E34" s="16"/>
      <c r="F34" s="19"/>
      <c r="G34" s="87"/>
      <c r="H34" s="87"/>
      <c r="I34" s="158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SUM(G37:G38)</f>
        <v>1500</v>
      </c>
      <c r="H36" s="114">
        <f>SUM(H37:H38)</f>
        <v>4000</v>
      </c>
      <c r="I36" s="158">
        <f t="shared" si="0"/>
        <v>266.66666666666663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87">
        <v>0</v>
      </c>
      <c r="H37" s="87">
        <v>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87">
        <v>1500</v>
      </c>
      <c r="H38" s="87">
        <v>4000</v>
      </c>
      <c r="I38" s="159">
        <f t="shared" si="0"/>
        <v>266.66666666666663</v>
      </c>
    </row>
    <row r="39" spans="2:9" ht="12.75" customHeight="1">
      <c r="B39" s="14"/>
      <c r="C39" s="15"/>
      <c r="D39" s="15"/>
      <c r="E39" s="16"/>
      <c r="F39" s="15"/>
      <c r="G39" s="45"/>
      <c r="H39" s="45"/>
      <c r="I39" s="159"/>
    </row>
    <row r="40" spans="2:9" ht="12.75" customHeight="1">
      <c r="B40" s="14"/>
      <c r="C40" s="15"/>
      <c r="D40" s="15"/>
      <c r="E40" s="16"/>
      <c r="F40" s="15"/>
      <c r="G40" s="20"/>
      <c r="H40" s="20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114">
        <v>4</v>
      </c>
      <c r="H41" s="114">
        <v>5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49520</v>
      </c>
      <c r="H42" s="20">
        <f>H7+H13+H17+H36</f>
        <v>163200</v>
      </c>
      <c r="I42" s="158">
        <f>IF(G42=0,"",H42/G42*100)</f>
        <v>329.5638126009693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G42+6!G42+5!G42+4!G43+3!G56</f>
        <v>1932910</v>
      </c>
      <c r="H43" s="20">
        <f>H42+6!H42+5!H42+4!H43+3!H56</f>
        <v>2869440</v>
      </c>
      <c r="I43" s="158">
        <f>IF(G43=0,"",H43/G43*100)</f>
        <v>148.45181617354143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>
        <f>G43</f>
        <v>1932910</v>
      </c>
      <c r="H44" s="20">
        <f>H43</f>
        <v>2869440</v>
      </c>
      <c r="I44" s="158">
        <f>IF(G44=0,"",H44/G44*100)</f>
        <v>148.45181617354143</v>
      </c>
    </row>
    <row r="45" spans="2:9" ht="12.75" customHeight="1" thickBot="1">
      <c r="B45" s="21"/>
      <c r="C45" s="22"/>
      <c r="D45" s="22"/>
      <c r="E45" s="23"/>
      <c r="F45" s="22"/>
      <c r="G45" s="50"/>
      <c r="H45" s="22"/>
      <c r="I45" s="162"/>
    </row>
    <row r="47" ht="12.75">
      <c r="B47" s="86"/>
    </row>
    <row r="48" ht="12.75">
      <c r="B48" s="86"/>
    </row>
    <row r="49" ht="12.75">
      <c r="B49" s="86"/>
    </row>
    <row r="50" ht="12.75">
      <c r="B50" s="86"/>
    </row>
  </sheetData>
  <sheetProtection/>
  <mergeCells count="2">
    <mergeCell ref="B2:H2"/>
    <mergeCell ref="F3:G3"/>
  </mergeCells>
  <printOptions/>
  <pageMargins left="0.2755905511811024" right="0.2755905511811024" top="0.5905511811023623" bottom="0.53" header="0.5118110236220472" footer="0.5118110236220472"/>
  <pageSetup fitToHeight="1" fitToWidth="1" horizontalDpi="180" verticalDpi="180" orientation="portrait" paperSize="9" scale="88" r:id="rId1"/>
  <headerFooter alignWithMargins="0">
    <oddFooter>&amp;R15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2:L5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.57421875" style="13" customWidth="1"/>
    <col min="2" max="2" width="7.00390625" style="13" bestFit="1" customWidth="1"/>
    <col min="3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9" s="118" customFormat="1" ht="15" customHeight="1">
      <c r="B2" s="439" t="s">
        <v>137</v>
      </c>
      <c r="C2" s="439"/>
      <c r="D2" s="439"/>
      <c r="E2" s="439"/>
      <c r="F2" s="439"/>
      <c r="G2" s="439"/>
      <c r="H2" s="439"/>
      <c r="I2" s="153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138</v>
      </c>
      <c r="C6" s="11" t="s">
        <v>89</v>
      </c>
      <c r="D6" s="11" t="s">
        <v>90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114">
        <f>SUM(G8:G11)</f>
        <v>208320</v>
      </c>
      <c r="H7" s="114">
        <f>SUM(H8:H11)</f>
        <v>234900</v>
      </c>
      <c r="I7" s="158">
        <f aca="true" t="shared" si="0" ref="I7:I38">IF(G7=0,"",H7/G7*100)</f>
        <v>112.75921658986175</v>
      </c>
    </row>
    <row r="8" spans="2:10" ht="12.75" customHeight="1">
      <c r="B8" s="14"/>
      <c r="C8" s="15"/>
      <c r="D8" s="15"/>
      <c r="E8" s="16">
        <v>611100</v>
      </c>
      <c r="F8" s="26" t="s">
        <v>218</v>
      </c>
      <c r="G8" s="87">
        <f>146800+7300</f>
        <v>154100</v>
      </c>
      <c r="H8" s="87">
        <v>162700</v>
      </c>
      <c r="I8" s="159">
        <f t="shared" si="0"/>
        <v>105.58079169370538</v>
      </c>
      <c r="J8" s="86"/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87">
        <f>46200+7*20*10+7*20*3</f>
        <v>48020</v>
      </c>
      <c r="H9" s="87">
        <f>51400</f>
        <v>51400</v>
      </c>
      <c r="I9" s="159">
        <f t="shared" si="0"/>
        <v>107.03873386089128</v>
      </c>
    </row>
    <row r="10" spans="2:11" ht="12.75" customHeight="1">
      <c r="B10" s="14"/>
      <c r="C10" s="15"/>
      <c r="D10" s="15"/>
      <c r="E10" s="16">
        <v>611200</v>
      </c>
      <c r="F10" s="26" t="s">
        <v>739</v>
      </c>
      <c r="G10" s="87">
        <v>6200</v>
      </c>
      <c r="H10" s="87">
        <v>20800</v>
      </c>
      <c r="I10" s="159">
        <f t="shared" si="0"/>
        <v>335.48387096774195</v>
      </c>
      <c r="K10" s="94"/>
    </row>
    <row r="11" spans="2:11" ht="12.75" customHeight="1">
      <c r="B11" s="14"/>
      <c r="C11" s="15"/>
      <c r="D11" s="15"/>
      <c r="E11" s="16"/>
      <c r="F11" s="26"/>
      <c r="G11" s="87"/>
      <c r="H11" s="87"/>
      <c r="I11" s="158">
        <f t="shared" si="0"/>
      </c>
      <c r="K11" s="86"/>
    </row>
    <row r="12" spans="2:11" ht="12.75" customHeight="1">
      <c r="B12" s="14"/>
      <c r="C12" s="15"/>
      <c r="D12" s="15"/>
      <c r="E12" s="16"/>
      <c r="F12" s="15"/>
      <c r="G12" s="114"/>
      <c r="H12" s="114"/>
      <c r="I12" s="158">
        <f t="shared" si="0"/>
      </c>
      <c r="K12" s="86"/>
    </row>
    <row r="13" spans="2:12" s="1" customFormat="1" ht="12.75" customHeight="1">
      <c r="B13" s="17"/>
      <c r="C13" s="12"/>
      <c r="D13" s="12"/>
      <c r="E13" s="9">
        <v>612000</v>
      </c>
      <c r="F13" s="12" t="s">
        <v>173</v>
      </c>
      <c r="G13" s="114">
        <f>G14+G15</f>
        <v>16500</v>
      </c>
      <c r="H13" s="114">
        <f>H14+H15</f>
        <v>17400</v>
      </c>
      <c r="I13" s="158">
        <f t="shared" si="0"/>
        <v>105.45454545454544</v>
      </c>
      <c r="K13" s="100"/>
      <c r="L13" s="100"/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87">
        <v>16500</v>
      </c>
      <c r="H14" s="87">
        <v>17400</v>
      </c>
      <c r="I14" s="159">
        <f t="shared" si="0"/>
        <v>105.45454545454544</v>
      </c>
    </row>
    <row r="15" spans="2:9" ht="12.75" customHeight="1">
      <c r="B15" s="14"/>
      <c r="C15" s="15"/>
      <c r="D15" s="15"/>
      <c r="E15" s="16"/>
      <c r="F15" s="15"/>
      <c r="G15" s="87"/>
      <c r="H15" s="87"/>
      <c r="I15" s="158">
        <f t="shared" si="0"/>
      </c>
    </row>
    <row r="16" spans="2:9" ht="12.75" customHeight="1">
      <c r="B16" s="14"/>
      <c r="C16" s="15"/>
      <c r="D16" s="15"/>
      <c r="E16" s="16"/>
      <c r="F16" s="15"/>
      <c r="G16" s="114"/>
      <c r="H16" s="114"/>
      <c r="I16" s="15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378300</v>
      </c>
      <c r="H17" s="51">
        <f>SUM(H18:H27)</f>
        <v>400300</v>
      </c>
      <c r="I17" s="158">
        <f t="shared" si="0"/>
        <v>105.81549035157283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87">
        <v>2300</v>
      </c>
      <c r="H18" s="87">
        <v>6000</v>
      </c>
      <c r="I18" s="159">
        <f t="shared" si="0"/>
        <v>260.8695652173913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5">
        <v>110000</v>
      </c>
      <c r="H19" s="45">
        <v>105000</v>
      </c>
      <c r="I19" s="159">
        <f t="shared" si="0"/>
        <v>95.45454545454545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5">
        <v>44000</v>
      </c>
      <c r="H20" s="45">
        <v>44000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5">
        <v>84000</v>
      </c>
      <c r="H21" s="45">
        <v>84000</v>
      </c>
      <c r="I21" s="159">
        <f t="shared" si="0"/>
        <v>100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5">
        <v>43000</v>
      </c>
      <c r="H22" s="45">
        <v>36400</v>
      </c>
      <c r="I22" s="159">
        <f t="shared" si="0"/>
        <v>84.65116279069768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5">
        <v>0</v>
      </c>
      <c r="H23" s="45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45">
        <v>30500</v>
      </c>
      <c r="H24" s="45">
        <v>40000</v>
      </c>
      <c r="I24" s="159">
        <f t="shared" si="0"/>
        <v>131.14754098360655</v>
      </c>
    </row>
    <row r="25" spans="2:10" ht="12.75" customHeight="1">
      <c r="B25" s="14"/>
      <c r="C25" s="15"/>
      <c r="D25" s="15"/>
      <c r="E25" s="16">
        <v>613800</v>
      </c>
      <c r="F25" s="15" t="s">
        <v>177</v>
      </c>
      <c r="G25" s="45">
        <v>2800</v>
      </c>
      <c r="H25" s="45">
        <v>6800</v>
      </c>
      <c r="I25" s="159">
        <f t="shared" si="0"/>
        <v>242.85714285714283</v>
      </c>
      <c r="J25" s="86"/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87">
        <v>55000</v>
      </c>
      <c r="H26" s="87">
        <v>55000</v>
      </c>
      <c r="I26" s="159">
        <f t="shared" si="0"/>
        <v>100</v>
      </c>
    </row>
    <row r="27" spans="2:9" ht="12.75" customHeight="1">
      <c r="B27" s="14"/>
      <c r="C27" s="15"/>
      <c r="D27" s="15"/>
      <c r="E27" s="16">
        <v>613900</v>
      </c>
      <c r="F27" s="26" t="s">
        <v>740</v>
      </c>
      <c r="G27" s="46">
        <v>6700</v>
      </c>
      <c r="H27" s="46">
        <v>23100</v>
      </c>
      <c r="I27" s="159">
        <f t="shared" si="0"/>
        <v>344.77611940298505</v>
      </c>
    </row>
    <row r="28" spans="2:9" s="1" customFormat="1" ht="12.75" customHeight="1">
      <c r="B28" s="17"/>
      <c r="C28" s="12"/>
      <c r="D28" s="12"/>
      <c r="E28" s="62"/>
      <c r="F28" s="12"/>
      <c r="G28" s="45"/>
      <c r="H28" s="45"/>
      <c r="I28" s="158">
        <f t="shared" si="0"/>
      </c>
    </row>
    <row r="29" spans="2:9" ht="12.75" customHeight="1">
      <c r="B29" s="14"/>
      <c r="C29" s="15"/>
      <c r="D29" s="31"/>
      <c r="E29" s="64"/>
      <c r="F29" s="61"/>
      <c r="G29" s="45"/>
      <c r="H29" s="45"/>
      <c r="I29" s="158">
        <f t="shared" si="0"/>
      </c>
    </row>
    <row r="30" spans="2:9" ht="12.75" customHeight="1">
      <c r="B30" s="14"/>
      <c r="C30" s="15"/>
      <c r="D30" s="15"/>
      <c r="E30" s="63"/>
      <c r="F30" s="15"/>
      <c r="G30" s="45"/>
      <c r="H30" s="45"/>
      <c r="I30" s="158">
        <f t="shared" si="0"/>
      </c>
    </row>
    <row r="31" spans="2:9" ht="12.75" customHeight="1">
      <c r="B31" s="14"/>
      <c r="C31" s="15"/>
      <c r="D31" s="15"/>
      <c r="E31" s="16"/>
      <c r="F31" s="15"/>
      <c r="G31" s="45"/>
      <c r="H31" s="45"/>
      <c r="I31" s="158">
        <f t="shared" si="0"/>
      </c>
    </row>
    <row r="32" spans="2:9" ht="12.75" customHeight="1">
      <c r="B32" s="14"/>
      <c r="C32" s="15"/>
      <c r="D32" s="15"/>
      <c r="E32" s="16"/>
      <c r="F32" s="15"/>
      <c r="G32" s="45"/>
      <c r="H32" s="45"/>
      <c r="I32" s="158">
        <f t="shared" si="0"/>
      </c>
    </row>
    <row r="33" spans="2:9" ht="12.75" customHeight="1">
      <c r="B33" s="14"/>
      <c r="C33" s="15"/>
      <c r="D33" s="15"/>
      <c r="E33" s="16"/>
      <c r="F33" s="15"/>
      <c r="G33" s="45"/>
      <c r="H33" s="45"/>
      <c r="I33" s="158">
        <f t="shared" si="0"/>
      </c>
    </row>
    <row r="34" spans="2:9" ht="12.75" customHeight="1">
      <c r="B34" s="14"/>
      <c r="C34" s="15"/>
      <c r="D34" s="15"/>
      <c r="E34" s="16"/>
      <c r="F34" s="19"/>
      <c r="G34" s="45"/>
      <c r="H34" s="45"/>
      <c r="I34" s="158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15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20">
        <f>SUM(G37:G38)</f>
        <v>5500</v>
      </c>
      <c r="H36" s="20">
        <f>SUM(H37:H38)</f>
        <v>80000</v>
      </c>
      <c r="I36" s="158">
        <f t="shared" si="0"/>
        <v>1454.5454545454545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87">
        <v>0</v>
      </c>
      <c r="H37" s="87">
        <v>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87">
        <v>5500</v>
      </c>
      <c r="H38" s="87">
        <v>80000</v>
      </c>
      <c r="I38" s="159">
        <f t="shared" si="0"/>
        <v>1454.5454545454545</v>
      </c>
    </row>
    <row r="39" spans="2:9" ht="12.75" customHeight="1">
      <c r="B39" s="14"/>
      <c r="C39" s="15"/>
      <c r="D39" s="15"/>
      <c r="E39" s="16"/>
      <c r="F39" s="15"/>
      <c r="G39" s="45"/>
      <c r="H39" s="45"/>
      <c r="I39" s="159"/>
    </row>
    <row r="40" spans="2:9" ht="12.75" customHeight="1">
      <c r="B40" s="14"/>
      <c r="C40" s="15"/>
      <c r="D40" s="15"/>
      <c r="E40" s="16"/>
      <c r="F40" s="15"/>
      <c r="G40" s="20"/>
      <c r="H40" s="20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114">
        <v>14</v>
      </c>
      <c r="H41" s="114">
        <v>14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608620</v>
      </c>
      <c r="H42" s="20">
        <f>H7+H13+H17+H36</f>
        <v>732600</v>
      </c>
      <c r="I42" s="158">
        <f>IF(G42=0,"",H42/G42*100)</f>
        <v>120.3706746409911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</f>
        <v>608620</v>
      </c>
      <c r="H43" s="20">
        <f>H42</f>
        <v>732600</v>
      </c>
      <c r="I43" s="158">
        <f>IF(G43=0,"",H43/G43*100)</f>
        <v>120.3706746409911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>
        <f>G43</f>
        <v>608620</v>
      </c>
      <c r="H44" s="20">
        <f>H43</f>
        <v>732600</v>
      </c>
      <c r="I44" s="158">
        <f>IF(G44=0,"",H44/G44*100)</f>
        <v>120.3706746409911</v>
      </c>
    </row>
    <row r="45" spans="2:9" ht="12.75" customHeight="1" thickBot="1">
      <c r="B45" s="21"/>
      <c r="C45" s="22"/>
      <c r="D45" s="22"/>
      <c r="E45" s="23"/>
      <c r="F45" s="22"/>
      <c r="G45" s="50"/>
      <c r="H45" s="22"/>
      <c r="I45" s="162"/>
    </row>
    <row r="47" ht="12.75">
      <c r="B47" s="86"/>
    </row>
    <row r="48" ht="12.75">
      <c r="B48" s="86"/>
    </row>
    <row r="49" ht="12.75">
      <c r="B49" s="86"/>
    </row>
    <row r="50" ht="12.75">
      <c r="B50" s="86"/>
    </row>
  </sheetData>
  <sheetProtection/>
  <mergeCells count="2">
    <mergeCell ref="B2:H2"/>
    <mergeCell ref="F3:G3"/>
  </mergeCells>
  <printOptions/>
  <pageMargins left="0.2755905511811024" right="0.2755905511811024" top="0.5905511811023623" bottom="0.54" header="0.5118110236220472" footer="0.5118110236220472"/>
  <pageSetup fitToHeight="1" fitToWidth="1" horizontalDpi="180" verticalDpi="180" orientation="portrait" paperSize="9" scale="87" r:id="rId1"/>
  <headerFooter alignWithMargins="0">
    <oddFooter>&amp;R16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2:K52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146" customWidth="1"/>
    <col min="10" max="10" width="9.140625" style="13" customWidth="1"/>
    <col min="11" max="11" width="9.57421875" style="13" bestFit="1" customWidth="1"/>
    <col min="12" max="16384" width="9.140625" style="13" customWidth="1"/>
  </cols>
  <sheetData>
    <row r="2" spans="2:9" ht="15" customHeight="1">
      <c r="B2" s="439" t="s">
        <v>139</v>
      </c>
      <c r="C2" s="439"/>
      <c r="D2" s="439"/>
      <c r="E2" s="439"/>
      <c r="F2" s="439"/>
      <c r="G2" s="439"/>
      <c r="H2" s="439"/>
      <c r="I2" s="152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140</v>
      </c>
      <c r="C6" s="11" t="s">
        <v>89</v>
      </c>
      <c r="D6" s="11" t="s">
        <v>90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4247040</v>
      </c>
      <c r="H7" s="20">
        <f>SUM(H8:H11)</f>
        <v>4523410</v>
      </c>
      <c r="I7" s="158">
        <f aca="true" t="shared" si="0" ref="I7:I38">IF(G7=0,"",H7/G7*100)</f>
        <v>106.50735571127186</v>
      </c>
    </row>
    <row r="8" spans="2:10" ht="12.75" customHeight="1">
      <c r="B8" s="14"/>
      <c r="C8" s="15"/>
      <c r="D8" s="15"/>
      <c r="E8" s="16">
        <v>611100</v>
      </c>
      <c r="F8" s="26" t="s">
        <v>218</v>
      </c>
      <c r="G8" s="87">
        <f>3470200+10400+10900</f>
        <v>3491500</v>
      </c>
      <c r="H8" s="87">
        <f>3474200+13200+10350+44980</f>
        <v>3542730</v>
      </c>
      <c r="I8" s="159">
        <f t="shared" si="0"/>
        <v>101.46727767435199</v>
      </c>
      <c r="J8" s="117"/>
    </row>
    <row r="9" spans="2:10" ht="12.75" customHeight="1">
      <c r="B9" s="14"/>
      <c r="C9" s="15"/>
      <c r="D9" s="15"/>
      <c r="E9" s="16">
        <v>611200</v>
      </c>
      <c r="F9" s="15" t="s">
        <v>219</v>
      </c>
      <c r="G9" s="87">
        <f>721600+5600+500</f>
        <v>727700</v>
      </c>
      <c r="H9" s="87">
        <f>755200+4*200*10+4*20*10*4+104*1470+1*840+9660+10000</f>
        <v>939780</v>
      </c>
      <c r="I9" s="159">
        <f t="shared" si="0"/>
        <v>129.1438779716916</v>
      </c>
      <c r="J9" s="118"/>
    </row>
    <row r="10" spans="2:11" ht="12.75" customHeight="1">
      <c r="B10" s="14"/>
      <c r="C10" s="15"/>
      <c r="D10" s="15"/>
      <c r="E10" s="16">
        <v>611200</v>
      </c>
      <c r="F10" s="26" t="s">
        <v>749</v>
      </c>
      <c r="G10" s="87">
        <v>27840</v>
      </c>
      <c r="H10" s="87">
        <v>40900</v>
      </c>
      <c r="I10" s="159">
        <f t="shared" si="0"/>
        <v>146.91091954022988</v>
      </c>
      <c r="K10" s="94"/>
    </row>
    <row r="11" spans="2:10" ht="12.75" customHeight="1">
      <c r="B11" s="14"/>
      <c r="C11" s="15"/>
      <c r="D11" s="15"/>
      <c r="E11" s="16"/>
      <c r="F11" s="26"/>
      <c r="G11" s="87"/>
      <c r="H11" s="87"/>
      <c r="I11" s="159">
        <f t="shared" si="0"/>
      </c>
      <c r="J11" s="118"/>
    </row>
    <row r="12" spans="2:10" ht="12.75" customHeight="1">
      <c r="B12" s="14"/>
      <c r="C12" s="15"/>
      <c r="D12" s="15"/>
      <c r="E12" s="16"/>
      <c r="F12" s="15"/>
      <c r="G12" s="114"/>
      <c r="H12" s="114"/>
      <c r="I12" s="159">
        <f t="shared" si="0"/>
      </c>
      <c r="J12" s="118"/>
    </row>
    <row r="13" spans="2:10" s="1" customFormat="1" ht="12.75" customHeight="1">
      <c r="B13" s="17"/>
      <c r="C13" s="12"/>
      <c r="D13" s="12"/>
      <c r="E13" s="9">
        <v>612000</v>
      </c>
      <c r="F13" s="12" t="s">
        <v>173</v>
      </c>
      <c r="G13" s="114">
        <f>G14+G15</f>
        <v>536100</v>
      </c>
      <c r="H13" s="114">
        <f>H14+H15</f>
        <v>537550</v>
      </c>
      <c r="I13" s="158">
        <f t="shared" si="0"/>
        <v>100.27047192687932</v>
      </c>
      <c r="J13" s="119"/>
    </row>
    <row r="14" spans="2:10" ht="12.75" customHeight="1">
      <c r="B14" s="14"/>
      <c r="C14" s="15"/>
      <c r="D14" s="15"/>
      <c r="E14" s="16">
        <v>612100</v>
      </c>
      <c r="F14" s="18" t="s">
        <v>91</v>
      </c>
      <c r="G14" s="87">
        <f>533800+2300</f>
        <v>536100</v>
      </c>
      <c r="H14" s="87">
        <f>529200+1600+6750</f>
        <v>537550</v>
      </c>
      <c r="I14" s="159">
        <f t="shared" si="0"/>
        <v>100.27047192687932</v>
      </c>
      <c r="J14" s="117"/>
    </row>
    <row r="15" spans="2:10" ht="12.75" customHeight="1">
      <c r="B15" s="14"/>
      <c r="C15" s="15"/>
      <c r="D15" s="15"/>
      <c r="E15" s="16"/>
      <c r="F15" s="26"/>
      <c r="G15" s="87"/>
      <c r="H15" s="87"/>
      <c r="I15" s="159">
        <f t="shared" si="0"/>
      </c>
      <c r="J15" s="118"/>
    </row>
    <row r="16" spans="2:9" ht="12.75" customHeight="1">
      <c r="B16" s="14"/>
      <c r="C16" s="15"/>
      <c r="D16" s="15"/>
      <c r="E16" s="16"/>
      <c r="F16" s="15"/>
      <c r="G16" s="114"/>
      <c r="H16" s="114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114">
        <f>SUM(G18:G27)</f>
        <v>917300</v>
      </c>
      <c r="H17" s="114">
        <f>SUM(H18:H27)</f>
        <v>883700</v>
      </c>
      <c r="I17" s="158">
        <f t="shared" si="0"/>
        <v>96.33707620189688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87">
        <v>13500</v>
      </c>
      <c r="H18" s="87">
        <v>11500</v>
      </c>
      <c r="I18" s="159">
        <f t="shared" si="0"/>
        <v>85.18518518518519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87">
        <v>100000</v>
      </c>
      <c r="H19" s="87">
        <v>100000</v>
      </c>
      <c r="I19" s="159">
        <f t="shared" si="0"/>
        <v>100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87">
        <v>95000</v>
      </c>
      <c r="H20" s="87">
        <v>95000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87">
        <v>215000</v>
      </c>
      <c r="H21" s="87">
        <v>185000</v>
      </c>
      <c r="I21" s="159">
        <f t="shared" si="0"/>
        <v>86.04651162790698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87">
        <v>130000</v>
      </c>
      <c r="H22" s="87">
        <v>120000</v>
      </c>
      <c r="I22" s="159">
        <f t="shared" si="0"/>
        <v>92.3076923076923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87">
        <v>27000</v>
      </c>
      <c r="H23" s="87">
        <v>27000</v>
      </c>
      <c r="I23" s="159">
        <f t="shared" si="0"/>
        <v>100</v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87">
        <v>117000</v>
      </c>
      <c r="H24" s="87">
        <v>110000</v>
      </c>
      <c r="I24" s="159">
        <f t="shared" si="0"/>
        <v>94.01709401709401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87">
        <v>16000</v>
      </c>
      <c r="H25" s="87">
        <v>16000</v>
      </c>
      <c r="I25" s="159">
        <f t="shared" si="0"/>
        <v>100</v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87">
        <v>173000</v>
      </c>
      <c r="H26" s="87">
        <v>173000</v>
      </c>
      <c r="I26" s="159">
        <f t="shared" si="0"/>
        <v>100</v>
      </c>
    </row>
    <row r="27" spans="2:10" ht="12.75" customHeight="1">
      <c r="B27" s="14"/>
      <c r="C27" s="15"/>
      <c r="D27" s="15"/>
      <c r="E27" s="16">
        <v>613900</v>
      </c>
      <c r="F27" s="26" t="s">
        <v>750</v>
      </c>
      <c r="G27" s="123">
        <v>30800</v>
      </c>
      <c r="H27" s="123">
        <v>46200</v>
      </c>
      <c r="I27" s="159">
        <f t="shared" si="0"/>
        <v>150</v>
      </c>
      <c r="J27" s="95"/>
    </row>
    <row r="28" spans="2:9" s="1" customFormat="1" ht="12.75" customHeight="1">
      <c r="B28" s="17"/>
      <c r="C28" s="12"/>
      <c r="D28" s="12"/>
      <c r="E28" s="62"/>
      <c r="F28" s="12"/>
      <c r="G28" s="87"/>
      <c r="H28" s="87"/>
      <c r="I28" s="159">
        <f t="shared" si="0"/>
      </c>
    </row>
    <row r="29" spans="2:9" ht="12.75" customHeight="1">
      <c r="B29" s="14"/>
      <c r="C29" s="15"/>
      <c r="D29" s="31"/>
      <c r="E29" s="64"/>
      <c r="F29" s="61"/>
      <c r="G29" s="87"/>
      <c r="H29" s="87"/>
      <c r="I29" s="159">
        <f t="shared" si="0"/>
      </c>
    </row>
    <row r="30" spans="2:9" ht="12.75" customHeight="1">
      <c r="B30" s="14"/>
      <c r="C30" s="15"/>
      <c r="D30" s="15"/>
      <c r="E30" s="63"/>
      <c r="F30" s="15"/>
      <c r="G30" s="87"/>
      <c r="H30" s="87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87"/>
      <c r="H31" s="87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87"/>
      <c r="H32" s="87"/>
      <c r="I32" s="159">
        <f t="shared" si="0"/>
      </c>
    </row>
    <row r="33" spans="2:9" ht="12.75" customHeight="1">
      <c r="B33" s="14"/>
      <c r="C33" s="15"/>
      <c r="D33" s="15"/>
      <c r="E33" s="16"/>
      <c r="F33" s="15"/>
      <c r="G33" s="87"/>
      <c r="H33" s="87"/>
      <c r="I33" s="159">
        <f t="shared" si="0"/>
      </c>
    </row>
    <row r="34" spans="2:9" ht="12.75" customHeight="1">
      <c r="B34" s="14"/>
      <c r="C34" s="15"/>
      <c r="D34" s="15"/>
      <c r="E34" s="16"/>
      <c r="F34" s="19"/>
      <c r="G34" s="87"/>
      <c r="H34" s="87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SUM(G37:G38)</f>
        <v>100000</v>
      </c>
      <c r="H36" s="114">
        <f>SUM(H37:H38)</f>
        <v>150000</v>
      </c>
      <c r="I36" s="158">
        <f t="shared" si="0"/>
        <v>150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87">
        <v>0</v>
      </c>
      <c r="H37" s="87">
        <v>50000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87">
        <v>100000</v>
      </c>
      <c r="H38" s="87">
        <v>100000</v>
      </c>
      <c r="I38" s="159">
        <f t="shared" si="0"/>
        <v>100</v>
      </c>
    </row>
    <row r="39" spans="2:9" ht="12.75" customHeight="1">
      <c r="B39" s="14"/>
      <c r="C39" s="15"/>
      <c r="D39" s="15"/>
      <c r="E39" s="16"/>
      <c r="F39" s="15"/>
      <c r="G39" s="45"/>
      <c r="H39" s="45"/>
      <c r="I39" s="159"/>
    </row>
    <row r="40" spans="2:9" ht="12.75" customHeight="1">
      <c r="B40" s="14"/>
      <c r="C40" s="15"/>
      <c r="D40" s="15"/>
      <c r="E40" s="16"/>
      <c r="F40" s="15"/>
      <c r="G40" s="20"/>
      <c r="H40" s="20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114">
        <v>204</v>
      </c>
      <c r="H41" s="114">
        <v>203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5800440</v>
      </c>
      <c r="H42" s="20">
        <f>H7+H13+H17+H36</f>
        <v>6094660</v>
      </c>
      <c r="I42" s="158">
        <f>IF(G42=0,"",H42/G42*100)</f>
        <v>105.07237381991712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</f>
        <v>5800440</v>
      </c>
      <c r="H43" s="20">
        <f>H42</f>
        <v>6094660</v>
      </c>
      <c r="I43" s="158">
        <f>IF(G43=0,"",H43/G43*100)</f>
        <v>105.07237381991712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>
        <f>G43</f>
        <v>5800440</v>
      </c>
      <c r="H44" s="20">
        <f>H43</f>
        <v>6094660</v>
      </c>
      <c r="I44" s="158">
        <f>IF(G44=0,"",H44/G44*100)</f>
        <v>105.07237381991712</v>
      </c>
    </row>
    <row r="45" spans="2:9" ht="12.75" customHeight="1" thickBot="1">
      <c r="B45" s="21"/>
      <c r="C45" s="22"/>
      <c r="D45" s="22"/>
      <c r="E45" s="23"/>
      <c r="F45" s="22"/>
      <c r="G45" s="50"/>
      <c r="H45" s="22"/>
      <c r="I45" s="162"/>
    </row>
    <row r="47" ht="12.75">
      <c r="B47" s="86"/>
    </row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</sheetData>
  <sheetProtection/>
  <mergeCells count="2">
    <mergeCell ref="B2:H2"/>
    <mergeCell ref="F3:G3"/>
  </mergeCells>
  <printOptions/>
  <pageMargins left="0.2755905511811024" right="0.2755905511811024" top="0.5905511811023623" bottom="0.52" header="0.5118110236220472" footer="0.5118110236220472"/>
  <pageSetup fitToHeight="1" fitToWidth="1" horizontalDpi="180" verticalDpi="180" orientation="portrait" paperSize="9" scale="88" r:id="rId1"/>
  <headerFooter alignWithMargins="0">
    <oddFooter>&amp;R17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N43" sqref="N43"/>
    </sheetView>
  </sheetViews>
  <sheetFormatPr defaultColWidth="9.140625" defaultRowHeight="12.75"/>
  <cols>
    <col min="1" max="1" width="4.00390625" style="58" customWidth="1"/>
    <col min="7" max="7" width="15.7109375" style="0" customWidth="1"/>
    <col min="8" max="8" width="7.421875" style="0" customWidth="1"/>
    <col min="9" max="9" width="14.7109375" style="0" customWidth="1"/>
    <col min="10" max="10" width="9.140625" style="58" customWidth="1"/>
  </cols>
  <sheetData>
    <row r="1" spans="1:9" ht="15.75">
      <c r="A1" s="412" t="s">
        <v>252</v>
      </c>
      <c r="B1" s="412"/>
      <c r="C1" s="412"/>
      <c r="D1" s="412"/>
      <c r="E1" s="412"/>
      <c r="F1" s="412"/>
      <c r="G1" s="412"/>
      <c r="H1" s="412"/>
      <c r="I1" s="412"/>
    </row>
    <row r="3" spans="1:10" s="71" customFormat="1" ht="12.75">
      <c r="A3" s="136" t="s">
        <v>296</v>
      </c>
      <c r="B3" s="419" t="s">
        <v>333</v>
      </c>
      <c r="C3" s="420"/>
      <c r="D3" s="420"/>
      <c r="E3" s="420"/>
      <c r="F3" s="420"/>
      <c r="G3" s="420"/>
      <c r="H3" s="420"/>
      <c r="I3" s="421"/>
      <c r="J3" s="136" t="s">
        <v>279</v>
      </c>
    </row>
    <row r="4" spans="1:10" s="54" customFormat="1" ht="16.5" customHeight="1">
      <c r="A4" s="132" t="s">
        <v>253</v>
      </c>
      <c r="B4" s="413" t="s">
        <v>254</v>
      </c>
      <c r="C4" s="416"/>
      <c r="D4" s="416"/>
      <c r="E4" s="416"/>
      <c r="F4" s="416"/>
      <c r="G4" s="416"/>
      <c r="H4" s="416"/>
      <c r="I4" s="417"/>
      <c r="J4" s="132">
        <v>1</v>
      </c>
    </row>
    <row r="5" spans="1:10" s="54" customFormat="1" ht="16.5" customHeight="1">
      <c r="A5" s="132" t="s">
        <v>255</v>
      </c>
      <c r="B5" s="413" t="s">
        <v>256</v>
      </c>
      <c r="C5" s="416"/>
      <c r="D5" s="416"/>
      <c r="E5" s="416"/>
      <c r="F5" s="416"/>
      <c r="G5" s="416"/>
      <c r="H5" s="416"/>
      <c r="I5" s="417"/>
      <c r="J5" s="132">
        <v>2</v>
      </c>
    </row>
    <row r="6" spans="1:10" s="54" customFormat="1" ht="16.5" customHeight="1">
      <c r="A6" s="132" t="s">
        <v>257</v>
      </c>
      <c r="B6" s="413" t="s">
        <v>603</v>
      </c>
      <c r="C6" s="416"/>
      <c r="D6" s="416"/>
      <c r="E6" s="416"/>
      <c r="F6" s="416"/>
      <c r="G6" s="416"/>
      <c r="H6" s="416"/>
      <c r="I6" s="417"/>
      <c r="J6" s="132">
        <v>7</v>
      </c>
    </row>
    <row r="7" spans="1:10" s="54" customFormat="1" ht="16.5" customHeight="1">
      <c r="A7" s="132" t="s">
        <v>258</v>
      </c>
      <c r="B7" s="413" t="s">
        <v>259</v>
      </c>
      <c r="C7" s="416"/>
      <c r="D7" s="416"/>
      <c r="E7" s="416"/>
      <c r="F7" s="416"/>
      <c r="G7" s="416"/>
      <c r="H7" s="416"/>
      <c r="I7" s="417"/>
      <c r="J7" s="132">
        <v>8</v>
      </c>
    </row>
    <row r="8" spans="1:10" s="54" customFormat="1" ht="16.5" customHeight="1">
      <c r="A8" s="132" t="s">
        <v>297</v>
      </c>
      <c r="B8" s="413" t="s">
        <v>260</v>
      </c>
      <c r="C8" s="416"/>
      <c r="D8" s="416"/>
      <c r="E8" s="416"/>
      <c r="F8" s="416"/>
      <c r="G8" s="416"/>
      <c r="H8" s="416"/>
      <c r="I8" s="417"/>
      <c r="J8" s="132">
        <v>9</v>
      </c>
    </row>
    <row r="9" spans="1:10" s="54" customFormat="1" ht="16.5" customHeight="1">
      <c r="A9" s="132" t="s">
        <v>298</v>
      </c>
      <c r="B9" s="413" t="s">
        <v>264</v>
      </c>
      <c r="C9" s="416"/>
      <c r="D9" s="416"/>
      <c r="E9" s="416"/>
      <c r="F9" s="416"/>
      <c r="G9" s="416"/>
      <c r="H9" s="416"/>
      <c r="I9" s="417"/>
      <c r="J9" s="132">
        <v>10</v>
      </c>
    </row>
    <row r="10" spans="1:10" s="54" customFormat="1" ht="16.5" customHeight="1">
      <c r="A10" s="132" t="s">
        <v>299</v>
      </c>
      <c r="B10" s="413" t="s">
        <v>261</v>
      </c>
      <c r="C10" s="416"/>
      <c r="D10" s="416"/>
      <c r="E10" s="416"/>
      <c r="F10" s="416"/>
      <c r="G10" s="416"/>
      <c r="H10" s="416"/>
      <c r="I10" s="417"/>
      <c r="J10" s="132">
        <v>11</v>
      </c>
    </row>
    <row r="11" spans="1:10" s="54" customFormat="1" ht="16.5" customHeight="1">
      <c r="A11" s="132" t="s">
        <v>300</v>
      </c>
      <c r="B11" s="413" t="s">
        <v>262</v>
      </c>
      <c r="C11" s="416"/>
      <c r="D11" s="416"/>
      <c r="E11" s="416"/>
      <c r="F11" s="416"/>
      <c r="G11" s="416"/>
      <c r="H11" s="416"/>
      <c r="I11" s="417"/>
      <c r="J11" s="132">
        <v>12</v>
      </c>
    </row>
    <row r="12" spans="1:10" s="54" customFormat="1" ht="16.5" customHeight="1">
      <c r="A12" s="132" t="s">
        <v>301</v>
      </c>
      <c r="B12" s="413" t="s">
        <v>263</v>
      </c>
      <c r="C12" s="416"/>
      <c r="D12" s="416"/>
      <c r="E12" s="416"/>
      <c r="F12" s="416"/>
      <c r="G12" s="416"/>
      <c r="H12" s="416"/>
      <c r="I12" s="417"/>
      <c r="J12" s="132">
        <v>13</v>
      </c>
    </row>
    <row r="13" spans="1:10" s="54" customFormat="1" ht="16.5" customHeight="1">
      <c r="A13" s="132" t="s">
        <v>302</v>
      </c>
      <c r="B13" s="413" t="s">
        <v>265</v>
      </c>
      <c r="C13" s="416"/>
      <c r="D13" s="416"/>
      <c r="E13" s="416"/>
      <c r="F13" s="416"/>
      <c r="G13" s="416"/>
      <c r="H13" s="416"/>
      <c r="I13" s="417"/>
      <c r="J13" s="132">
        <v>14</v>
      </c>
    </row>
    <row r="14" spans="1:10" s="54" customFormat="1" ht="16.5" customHeight="1">
      <c r="A14" s="132" t="s">
        <v>303</v>
      </c>
      <c r="B14" s="413" t="s">
        <v>357</v>
      </c>
      <c r="C14" s="414"/>
      <c r="D14" s="414"/>
      <c r="E14" s="414"/>
      <c r="F14" s="414"/>
      <c r="G14" s="414"/>
      <c r="H14" s="414"/>
      <c r="I14" s="415"/>
      <c r="J14" s="132">
        <v>15</v>
      </c>
    </row>
    <row r="15" spans="1:10" s="54" customFormat="1" ht="16.5" customHeight="1">
      <c r="A15" s="132" t="s">
        <v>304</v>
      </c>
      <c r="B15" s="413" t="s">
        <v>266</v>
      </c>
      <c r="C15" s="416"/>
      <c r="D15" s="416"/>
      <c r="E15" s="416"/>
      <c r="F15" s="416"/>
      <c r="G15" s="416"/>
      <c r="H15" s="416"/>
      <c r="I15" s="417"/>
      <c r="J15" s="132">
        <v>16</v>
      </c>
    </row>
    <row r="16" spans="1:10" s="54" customFormat="1" ht="16.5" customHeight="1">
      <c r="A16" s="132" t="s">
        <v>305</v>
      </c>
      <c r="B16" s="413" t="s">
        <v>267</v>
      </c>
      <c r="C16" s="416"/>
      <c r="D16" s="416"/>
      <c r="E16" s="416"/>
      <c r="F16" s="416"/>
      <c r="G16" s="416"/>
      <c r="H16" s="416"/>
      <c r="I16" s="417"/>
      <c r="J16" s="132">
        <v>17</v>
      </c>
    </row>
    <row r="17" spans="1:10" s="54" customFormat="1" ht="16.5" customHeight="1">
      <c r="A17" s="132" t="s">
        <v>306</v>
      </c>
      <c r="B17" s="413" t="s">
        <v>268</v>
      </c>
      <c r="C17" s="416"/>
      <c r="D17" s="416"/>
      <c r="E17" s="416"/>
      <c r="F17" s="416"/>
      <c r="G17" s="416"/>
      <c r="H17" s="416"/>
      <c r="I17" s="417"/>
      <c r="J17" s="132">
        <v>18</v>
      </c>
    </row>
    <row r="18" spans="1:10" s="54" customFormat="1" ht="16.5" customHeight="1">
      <c r="A18" s="132" t="s">
        <v>307</v>
      </c>
      <c r="B18" s="413" t="s">
        <v>269</v>
      </c>
      <c r="C18" s="416"/>
      <c r="D18" s="416"/>
      <c r="E18" s="416"/>
      <c r="F18" s="416"/>
      <c r="G18" s="416"/>
      <c r="H18" s="416"/>
      <c r="I18" s="417"/>
      <c r="J18" s="132">
        <v>19</v>
      </c>
    </row>
    <row r="19" spans="1:10" s="54" customFormat="1" ht="16.5" customHeight="1">
      <c r="A19" s="132" t="s">
        <v>308</v>
      </c>
      <c r="B19" s="413" t="s">
        <v>270</v>
      </c>
      <c r="C19" s="416"/>
      <c r="D19" s="416"/>
      <c r="E19" s="416"/>
      <c r="F19" s="416"/>
      <c r="G19" s="416"/>
      <c r="H19" s="416"/>
      <c r="I19" s="417"/>
      <c r="J19" s="132">
        <v>20</v>
      </c>
    </row>
    <row r="20" spans="1:10" s="54" customFormat="1" ht="16.5" customHeight="1">
      <c r="A20" s="132" t="s">
        <v>309</v>
      </c>
      <c r="B20" s="413" t="s">
        <v>271</v>
      </c>
      <c r="C20" s="416"/>
      <c r="D20" s="416"/>
      <c r="E20" s="416"/>
      <c r="F20" s="416"/>
      <c r="G20" s="416"/>
      <c r="H20" s="416"/>
      <c r="I20" s="417"/>
      <c r="J20" s="132">
        <v>21</v>
      </c>
    </row>
    <row r="21" spans="1:10" s="54" customFormat="1" ht="16.5" customHeight="1">
      <c r="A21" s="132" t="s">
        <v>310</v>
      </c>
      <c r="B21" s="413" t="s">
        <v>272</v>
      </c>
      <c r="C21" s="416"/>
      <c r="D21" s="416"/>
      <c r="E21" s="416"/>
      <c r="F21" s="416"/>
      <c r="G21" s="416"/>
      <c r="H21" s="416"/>
      <c r="I21" s="417"/>
      <c r="J21" s="132">
        <v>22</v>
      </c>
    </row>
    <row r="22" spans="1:10" s="54" customFormat="1" ht="16.5" customHeight="1">
      <c r="A22" s="132" t="s">
        <v>311</v>
      </c>
      <c r="B22" s="413" t="s">
        <v>273</v>
      </c>
      <c r="C22" s="416"/>
      <c r="D22" s="416"/>
      <c r="E22" s="416"/>
      <c r="F22" s="416"/>
      <c r="G22" s="416"/>
      <c r="H22" s="416"/>
      <c r="I22" s="417"/>
      <c r="J22" s="132">
        <v>23</v>
      </c>
    </row>
    <row r="23" spans="1:10" s="54" customFormat="1" ht="16.5" customHeight="1">
      <c r="A23" s="132" t="s">
        <v>312</v>
      </c>
      <c r="B23" s="413" t="s">
        <v>274</v>
      </c>
      <c r="C23" s="416"/>
      <c r="D23" s="416"/>
      <c r="E23" s="416"/>
      <c r="F23" s="416"/>
      <c r="G23" s="416"/>
      <c r="H23" s="416"/>
      <c r="I23" s="417"/>
      <c r="J23" s="132">
        <v>24</v>
      </c>
    </row>
    <row r="24" spans="1:10" s="54" customFormat="1" ht="16.5" customHeight="1">
      <c r="A24" s="132" t="s">
        <v>313</v>
      </c>
      <c r="B24" s="413" t="s">
        <v>275</v>
      </c>
      <c r="C24" s="416"/>
      <c r="D24" s="416"/>
      <c r="E24" s="416"/>
      <c r="F24" s="416"/>
      <c r="G24" s="416"/>
      <c r="H24" s="416"/>
      <c r="I24" s="417"/>
      <c r="J24" s="132">
        <v>25</v>
      </c>
    </row>
    <row r="25" spans="1:10" s="54" customFormat="1" ht="16.5" customHeight="1">
      <c r="A25" s="132" t="s">
        <v>314</v>
      </c>
      <c r="B25" s="413" t="s">
        <v>276</v>
      </c>
      <c r="C25" s="416"/>
      <c r="D25" s="416"/>
      <c r="E25" s="416"/>
      <c r="F25" s="416"/>
      <c r="G25" s="416"/>
      <c r="H25" s="416"/>
      <c r="I25" s="417"/>
      <c r="J25" s="132">
        <v>26</v>
      </c>
    </row>
    <row r="26" spans="1:10" s="54" customFormat="1" ht="16.5" customHeight="1">
      <c r="A26" s="132" t="s">
        <v>315</v>
      </c>
      <c r="B26" s="413" t="s">
        <v>277</v>
      </c>
      <c r="C26" s="416"/>
      <c r="D26" s="416"/>
      <c r="E26" s="416"/>
      <c r="F26" s="416"/>
      <c r="G26" s="416"/>
      <c r="H26" s="416"/>
      <c r="I26" s="417"/>
      <c r="J26" s="132">
        <v>27</v>
      </c>
    </row>
    <row r="27" spans="1:10" s="54" customFormat="1" ht="16.5" customHeight="1">
      <c r="A27" s="132" t="s">
        <v>316</v>
      </c>
      <c r="B27" s="413" t="s">
        <v>278</v>
      </c>
      <c r="C27" s="416"/>
      <c r="D27" s="416"/>
      <c r="E27" s="416"/>
      <c r="F27" s="416"/>
      <c r="G27" s="416"/>
      <c r="H27" s="416"/>
      <c r="I27" s="417"/>
      <c r="J27" s="132">
        <v>28</v>
      </c>
    </row>
    <row r="28" spans="1:10" s="54" customFormat="1" ht="16.5" customHeight="1">
      <c r="A28" s="132" t="s">
        <v>317</v>
      </c>
      <c r="B28" s="413" t="s">
        <v>280</v>
      </c>
      <c r="C28" s="416"/>
      <c r="D28" s="416"/>
      <c r="E28" s="416"/>
      <c r="F28" s="416"/>
      <c r="G28" s="416"/>
      <c r="H28" s="416"/>
      <c r="I28" s="417"/>
      <c r="J28" s="132">
        <v>29</v>
      </c>
    </row>
    <row r="29" spans="1:10" s="54" customFormat="1" ht="16.5" customHeight="1">
      <c r="A29" s="132" t="s">
        <v>318</v>
      </c>
      <c r="B29" s="413" t="s">
        <v>338</v>
      </c>
      <c r="C29" s="416"/>
      <c r="D29" s="416"/>
      <c r="E29" s="416"/>
      <c r="F29" s="416"/>
      <c r="G29" s="416"/>
      <c r="H29" s="416"/>
      <c r="I29" s="417"/>
      <c r="J29" s="132">
        <v>30</v>
      </c>
    </row>
    <row r="30" spans="1:10" s="54" customFormat="1" ht="16.5" customHeight="1">
      <c r="A30" s="132" t="s">
        <v>319</v>
      </c>
      <c r="B30" s="413" t="s">
        <v>339</v>
      </c>
      <c r="C30" s="416"/>
      <c r="D30" s="416"/>
      <c r="E30" s="416"/>
      <c r="F30" s="416"/>
      <c r="G30" s="416"/>
      <c r="H30" s="416"/>
      <c r="I30" s="417"/>
      <c r="J30" s="132">
        <v>31</v>
      </c>
    </row>
    <row r="31" spans="1:10" s="54" customFormat="1" ht="16.5" customHeight="1">
      <c r="A31" s="132" t="s">
        <v>320</v>
      </c>
      <c r="B31" s="413" t="s">
        <v>281</v>
      </c>
      <c r="C31" s="416"/>
      <c r="D31" s="416"/>
      <c r="E31" s="416"/>
      <c r="F31" s="416"/>
      <c r="G31" s="416"/>
      <c r="H31" s="416"/>
      <c r="I31" s="417"/>
      <c r="J31" s="132">
        <v>32</v>
      </c>
    </row>
    <row r="32" spans="1:10" s="54" customFormat="1" ht="16.5" customHeight="1">
      <c r="A32" s="132" t="s">
        <v>321</v>
      </c>
      <c r="B32" s="413" t="s">
        <v>282</v>
      </c>
      <c r="C32" s="416"/>
      <c r="D32" s="416"/>
      <c r="E32" s="416"/>
      <c r="F32" s="416"/>
      <c r="G32" s="416"/>
      <c r="H32" s="416"/>
      <c r="I32" s="417"/>
      <c r="J32" s="132">
        <v>33</v>
      </c>
    </row>
    <row r="33" spans="1:10" s="54" customFormat="1" ht="16.5" customHeight="1">
      <c r="A33" s="132" t="s">
        <v>322</v>
      </c>
      <c r="B33" s="413" t="s">
        <v>283</v>
      </c>
      <c r="C33" s="416"/>
      <c r="D33" s="416"/>
      <c r="E33" s="416"/>
      <c r="F33" s="416"/>
      <c r="G33" s="416"/>
      <c r="H33" s="416"/>
      <c r="I33" s="417"/>
      <c r="J33" s="132">
        <v>34</v>
      </c>
    </row>
    <row r="34" spans="1:10" s="54" customFormat="1" ht="16.5" customHeight="1">
      <c r="A34" s="132" t="s">
        <v>323</v>
      </c>
      <c r="B34" s="413" t="s">
        <v>284</v>
      </c>
      <c r="C34" s="416"/>
      <c r="D34" s="416"/>
      <c r="E34" s="416"/>
      <c r="F34" s="416"/>
      <c r="G34" s="416"/>
      <c r="H34" s="416"/>
      <c r="I34" s="417"/>
      <c r="J34" s="132">
        <v>35</v>
      </c>
    </row>
    <row r="35" spans="1:10" s="54" customFormat="1" ht="16.5" customHeight="1">
      <c r="A35" s="132" t="s">
        <v>324</v>
      </c>
      <c r="B35" s="413" t="s">
        <v>285</v>
      </c>
      <c r="C35" s="416"/>
      <c r="D35" s="416"/>
      <c r="E35" s="416"/>
      <c r="F35" s="416"/>
      <c r="G35" s="416"/>
      <c r="H35" s="416"/>
      <c r="I35" s="417"/>
      <c r="J35" s="132">
        <v>36</v>
      </c>
    </row>
    <row r="36" spans="1:10" s="54" customFormat="1" ht="16.5" customHeight="1">
      <c r="A36" s="132" t="s">
        <v>325</v>
      </c>
      <c r="B36" s="413" t="s">
        <v>286</v>
      </c>
      <c r="C36" s="416"/>
      <c r="D36" s="416"/>
      <c r="E36" s="416"/>
      <c r="F36" s="416"/>
      <c r="G36" s="416"/>
      <c r="H36" s="416"/>
      <c r="I36" s="417"/>
      <c r="J36" s="132">
        <v>37</v>
      </c>
    </row>
    <row r="37" spans="1:10" s="54" customFormat="1" ht="16.5" customHeight="1">
      <c r="A37" s="132" t="s">
        <v>326</v>
      </c>
      <c r="B37" s="413" t="s">
        <v>287</v>
      </c>
      <c r="C37" s="416"/>
      <c r="D37" s="416"/>
      <c r="E37" s="416"/>
      <c r="F37" s="416"/>
      <c r="G37" s="416"/>
      <c r="H37" s="416"/>
      <c r="I37" s="417"/>
      <c r="J37" s="132">
        <v>38</v>
      </c>
    </row>
    <row r="38" spans="1:10" s="54" customFormat="1" ht="16.5" customHeight="1">
      <c r="A38" s="132" t="s">
        <v>327</v>
      </c>
      <c r="B38" s="413" t="s">
        <v>288</v>
      </c>
      <c r="C38" s="416"/>
      <c r="D38" s="416"/>
      <c r="E38" s="416"/>
      <c r="F38" s="416"/>
      <c r="G38" s="416"/>
      <c r="H38" s="416"/>
      <c r="I38" s="417"/>
      <c r="J38" s="132">
        <v>39</v>
      </c>
    </row>
    <row r="39" spans="1:10" s="54" customFormat="1" ht="16.5" customHeight="1">
      <c r="A39" s="132" t="s">
        <v>328</v>
      </c>
      <c r="B39" s="413" t="s">
        <v>289</v>
      </c>
      <c r="C39" s="416"/>
      <c r="D39" s="416"/>
      <c r="E39" s="416"/>
      <c r="F39" s="416"/>
      <c r="G39" s="416"/>
      <c r="H39" s="416"/>
      <c r="I39" s="417"/>
      <c r="J39" s="132">
        <v>40</v>
      </c>
    </row>
    <row r="40" spans="1:10" s="54" customFormat="1" ht="16.5" customHeight="1">
      <c r="A40" s="132" t="s">
        <v>329</v>
      </c>
      <c r="B40" s="413" t="s">
        <v>290</v>
      </c>
      <c r="C40" s="416"/>
      <c r="D40" s="416"/>
      <c r="E40" s="416"/>
      <c r="F40" s="416"/>
      <c r="G40" s="416"/>
      <c r="H40" s="416"/>
      <c r="I40" s="417"/>
      <c r="J40" s="132">
        <v>41</v>
      </c>
    </row>
    <row r="41" spans="1:10" s="54" customFormat="1" ht="16.5" customHeight="1">
      <c r="A41" s="132" t="s">
        <v>330</v>
      </c>
      <c r="B41" s="413" t="s">
        <v>291</v>
      </c>
      <c r="C41" s="416"/>
      <c r="D41" s="416"/>
      <c r="E41" s="416"/>
      <c r="F41" s="416"/>
      <c r="G41" s="416"/>
      <c r="H41" s="416"/>
      <c r="I41" s="417"/>
      <c r="J41" s="132">
        <v>42</v>
      </c>
    </row>
    <row r="42" spans="1:10" s="54" customFormat="1" ht="16.5" customHeight="1">
      <c r="A42" s="132" t="s">
        <v>331</v>
      </c>
      <c r="B42" s="413" t="s">
        <v>292</v>
      </c>
      <c r="C42" s="416"/>
      <c r="D42" s="416"/>
      <c r="E42" s="416"/>
      <c r="F42" s="416"/>
      <c r="G42" s="416"/>
      <c r="H42" s="416"/>
      <c r="I42" s="417"/>
      <c r="J42" s="132">
        <v>43</v>
      </c>
    </row>
    <row r="43" spans="1:10" s="54" customFormat="1" ht="16.5" customHeight="1">
      <c r="A43" s="132" t="s">
        <v>332</v>
      </c>
      <c r="B43" s="413" t="s">
        <v>293</v>
      </c>
      <c r="C43" s="416"/>
      <c r="D43" s="416"/>
      <c r="E43" s="416"/>
      <c r="F43" s="416"/>
      <c r="G43" s="416"/>
      <c r="H43" s="416"/>
      <c r="I43" s="417"/>
      <c r="J43" s="132">
        <v>44</v>
      </c>
    </row>
    <row r="44" spans="1:10" s="54" customFormat="1" ht="16.5" customHeight="1">
      <c r="A44" s="132" t="s">
        <v>337</v>
      </c>
      <c r="B44" s="413" t="s">
        <v>294</v>
      </c>
      <c r="C44" s="416"/>
      <c r="D44" s="416"/>
      <c r="E44" s="416"/>
      <c r="F44" s="416"/>
      <c r="G44" s="416"/>
      <c r="H44" s="416"/>
      <c r="I44" s="417"/>
      <c r="J44" s="132">
        <v>45</v>
      </c>
    </row>
    <row r="45" spans="1:10" s="54" customFormat="1" ht="16.5" customHeight="1">
      <c r="A45" s="132" t="s">
        <v>358</v>
      </c>
      <c r="B45" s="320" t="s">
        <v>621</v>
      </c>
      <c r="C45" s="321"/>
      <c r="D45" s="321"/>
      <c r="E45" s="321"/>
      <c r="F45" s="321"/>
      <c r="G45" s="321"/>
      <c r="H45" s="321"/>
      <c r="I45" s="322"/>
      <c r="J45" s="132">
        <v>46</v>
      </c>
    </row>
    <row r="46" spans="1:10" s="54" customFormat="1" ht="16.5" customHeight="1">
      <c r="A46" s="132" t="s">
        <v>566</v>
      </c>
      <c r="B46" s="320" t="s">
        <v>82</v>
      </c>
      <c r="C46" s="321"/>
      <c r="D46" s="321"/>
      <c r="E46" s="321"/>
      <c r="F46" s="321"/>
      <c r="G46" s="321"/>
      <c r="H46" s="321"/>
      <c r="I46" s="322"/>
      <c r="J46" s="132">
        <v>47</v>
      </c>
    </row>
    <row r="47" spans="1:10" s="54" customFormat="1" ht="16.5" customHeight="1">
      <c r="A47" s="132" t="s">
        <v>567</v>
      </c>
      <c r="B47" s="320" t="s">
        <v>622</v>
      </c>
      <c r="C47" s="321"/>
      <c r="D47" s="321"/>
      <c r="E47" s="321"/>
      <c r="F47" s="321"/>
      <c r="G47" s="321"/>
      <c r="H47" s="321"/>
      <c r="I47" s="322"/>
      <c r="J47" s="132">
        <v>49</v>
      </c>
    </row>
    <row r="48" spans="1:10" s="54" customFormat="1" ht="16.5" customHeight="1">
      <c r="A48" s="132" t="s">
        <v>630</v>
      </c>
      <c r="B48" s="418" t="s">
        <v>295</v>
      </c>
      <c r="C48" s="418"/>
      <c r="D48" s="418"/>
      <c r="E48" s="418"/>
      <c r="F48" s="418"/>
      <c r="G48" s="418"/>
      <c r="H48" s="418"/>
      <c r="I48" s="418"/>
      <c r="J48" s="132">
        <v>50</v>
      </c>
    </row>
    <row r="49" spans="1:10" s="54" customFormat="1" ht="14.25">
      <c r="A49" s="134"/>
      <c r="B49" s="131"/>
      <c r="C49" s="131"/>
      <c r="D49" s="131"/>
      <c r="E49" s="131"/>
      <c r="F49" s="131"/>
      <c r="G49" s="131"/>
      <c r="H49" s="131"/>
      <c r="I49" s="131"/>
      <c r="J49" s="133"/>
    </row>
    <row r="50" spans="1:10" s="54" customFormat="1" ht="14.25">
      <c r="A50" s="135"/>
      <c r="J50" s="135"/>
    </row>
    <row r="51" spans="1:10" s="54" customFormat="1" ht="14.25">
      <c r="A51" s="135"/>
      <c r="J51" s="135"/>
    </row>
    <row r="52" spans="1:10" s="54" customFormat="1" ht="14.25">
      <c r="A52" s="135"/>
      <c r="J52" s="135"/>
    </row>
  </sheetData>
  <sheetProtection/>
  <mergeCells count="44">
    <mergeCell ref="B10:I10"/>
    <mergeCell ref="B19:I19"/>
    <mergeCell ref="B18:I18"/>
    <mergeCell ref="B17:I17"/>
    <mergeCell ref="B16:I16"/>
    <mergeCell ref="B15:I15"/>
    <mergeCell ref="B13:I13"/>
    <mergeCell ref="B5:I5"/>
    <mergeCell ref="B3:I3"/>
    <mergeCell ref="B32:I32"/>
    <mergeCell ref="B31:I31"/>
    <mergeCell ref="B9:I9"/>
    <mergeCell ref="B8:I8"/>
    <mergeCell ref="B7:I7"/>
    <mergeCell ref="B6:I6"/>
    <mergeCell ref="B12:I12"/>
    <mergeCell ref="B11:I11"/>
    <mergeCell ref="B35:I35"/>
    <mergeCell ref="B34:I34"/>
    <mergeCell ref="B33:I33"/>
    <mergeCell ref="B22:I22"/>
    <mergeCell ref="B28:I28"/>
    <mergeCell ref="B29:I29"/>
    <mergeCell ref="B30:I30"/>
    <mergeCell ref="B36:I36"/>
    <mergeCell ref="B37:I37"/>
    <mergeCell ref="B48:I48"/>
    <mergeCell ref="B38:I38"/>
    <mergeCell ref="B39:I39"/>
    <mergeCell ref="B40:I40"/>
    <mergeCell ref="B44:I44"/>
    <mergeCell ref="B43:I43"/>
    <mergeCell ref="B42:I42"/>
    <mergeCell ref="B41:I41"/>
    <mergeCell ref="A1:I1"/>
    <mergeCell ref="B14:I14"/>
    <mergeCell ref="B27:I27"/>
    <mergeCell ref="B26:I26"/>
    <mergeCell ref="B25:I25"/>
    <mergeCell ref="B24:I24"/>
    <mergeCell ref="B23:I23"/>
    <mergeCell ref="B21:I21"/>
    <mergeCell ref="B20:I20"/>
    <mergeCell ref="B4:I4"/>
  </mergeCells>
  <printOptions/>
  <pageMargins left="0.65" right="0.39" top="0.63" bottom="0.47" header="0.5" footer="0.43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2:K4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9" s="118" customFormat="1" ht="15" customHeight="1">
      <c r="B2" s="439" t="s">
        <v>141</v>
      </c>
      <c r="C2" s="439"/>
      <c r="D2" s="439"/>
      <c r="E2" s="439"/>
      <c r="F2" s="439"/>
      <c r="G2" s="439"/>
      <c r="H2" s="354"/>
      <c r="I2" s="355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142</v>
      </c>
      <c r="C6" s="11" t="s">
        <v>89</v>
      </c>
      <c r="D6" s="11" t="s">
        <v>90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47820</v>
      </c>
      <c r="H7" s="20">
        <f>SUM(H8:H11)</f>
        <v>73680</v>
      </c>
      <c r="I7" s="158">
        <f aca="true" t="shared" si="0" ref="I7:I38">IF(G7=0,"",H7/G7*100)</f>
        <v>154.07779171894603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46">
        <v>38800</v>
      </c>
      <c r="H8" s="46">
        <f>50600+11680</f>
        <v>62280</v>
      </c>
      <c r="I8" s="159">
        <f t="shared" si="0"/>
        <v>160.51546391752578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46">
        <v>6100</v>
      </c>
      <c r="H9" s="46">
        <f>6900+2300</f>
        <v>9200</v>
      </c>
      <c r="I9" s="159">
        <f t="shared" si="0"/>
        <v>150.81967213114754</v>
      </c>
    </row>
    <row r="10" spans="2:11" ht="12.75" customHeight="1">
      <c r="B10" s="14"/>
      <c r="C10" s="15"/>
      <c r="D10" s="15"/>
      <c r="E10" s="16">
        <v>611200</v>
      </c>
      <c r="F10" s="26" t="s">
        <v>741</v>
      </c>
      <c r="G10" s="87">
        <v>2920</v>
      </c>
      <c r="H10" s="87">
        <v>2200</v>
      </c>
      <c r="I10" s="159">
        <f t="shared" si="0"/>
        <v>75.34246575342466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4200</v>
      </c>
      <c r="H13" s="20">
        <f>H14+H15</f>
        <v>6830</v>
      </c>
      <c r="I13" s="158">
        <f t="shared" si="0"/>
        <v>162.61904761904762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6">
        <v>4200</v>
      </c>
      <c r="H14" s="46">
        <f>5600+1230</f>
        <v>6830</v>
      </c>
      <c r="I14" s="159">
        <f t="shared" si="0"/>
        <v>162.61904761904762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28550</v>
      </c>
      <c r="H17" s="51">
        <f>SUM(H18:H27)</f>
        <v>30100</v>
      </c>
      <c r="I17" s="158">
        <f t="shared" si="0"/>
        <v>105.42907180385288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5">
        <v>1500</v>
      </c>
      <c r="H18" s="45">
        <v>1500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5">
        <v>0</v>
      </c>
      <c r="H19" s="45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5">
        <v>2500</v>
      </c>
      <c r="H20" s="45">
        <v>2500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5">
        <v>300</v>
      </c>
      <c r="H21" s="45">
        <v>800</v>
      </c>
      <c r="I21" s="159">
        <f t="shared" si="0"/>
        <v>266.66666666666663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5">
        <v>500</v>
      </c>
      <c r="H22" s="45">
        <v>0</v>
      </c>
      <c r="I22" s="159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5">
        <v>0</v>
      </c>
      <c r="H23" s="45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45">
        <v>500</v>
      </c>
      <c r="H24" s="45">
        <v>2000</v>
      </c>
      <c r="I24" s="159">
        <f t="shared" si="0"/>
        <v>400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45">
        <v>500</v>
      </c>
      <c r="H25" s="45">
        <v>0</v>
      </c>
      <c r="I25" s="159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87">
        <v>20000</v>
      </c>
      <c r="H26" s="87">
        <v>20000</v>
      </c>
      <c r="I26" s="159">
        <f t="shared" si="0"/>
        <v>100</v>
      </c>
    </row>
    <row r="27" spans="2:9" ht="12.75" customHeight="1">
      <c r="B27" s="14"/>
      <c r="C27" s="15"/>
      <c r="D27" s="15"/>
      <c r="E27" s="16">
        <v>613900</v>
      </c>
      <c r="F27" s="26" t="s">
        <v>742</v>
      </c>
      <c r="G27" s="115">
        <v>2750</v>
      </c>
      <c r="H27" s="115">
        <v>3300</v>
      </c>
      <c r="I27" s="159">
        <f t="shared" si="0"/>
        <v>120</v>
      </c>
    </row>
    <row r="28" spans="2:9" s="1" customFormat="1" ht="12.75" customHeight="1">
      <c r="B28" s="17"/>
      <c r="C28" s="12"/>
      <c r="D28" s="12"/>
      <c r="E28" s="62"/>
      <c r="F28" s="12"/>
      <c r="G28" s="46"/>
      <c r="H28" s="46"/>
      <c r="I28" s="159">
        <f t="shared" si="0"/>
      </c>
    </row>
    <row r="29" spans="2:9" ht="12.75" customHeight="1">
      <c r="B29" s="14"/>
      <c r="C29" s="15"/>
      <c r="D29" s="31"/>
      <c r="E29" s="64"/>
      <c r="F29" s="61"/>
      <c r="G29" s="46"/>
      <c r="H29" s="46"/>
      <c r="I29" s="159">
        <f t="shared" si="0"/>
      </c>
    </row>
    <row r="30" spans="2:9" ht="12.75" customHeight="1">
      <c r="B30" s="14"/>
      <c r="C30" s="15"/>
      <c r="D30" s="15"/>
      <c r="E30" s="63"/>
      <c r="F30" s="15"/>
      <c r="G30" s="46"/>
      <c r="H30" s="46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46"/>
      <c r="H31" s="46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46"/>
      <c r="H32" s="46"/>
      <c r="I32" s="159">
        <f t="shared" si="0"/>
      </c>
    </row>
    <row r="33" spans="2:9" ht="12.75" customHeight="1">
      <c r="B33" s="14"/>
      <c r="C33" s="15"/>
      <c r="D33" s="15"/>
      <c r="E33" s="16"/>
      <c r="F33" s="15"/>
      <c r="G33" s="46"/>
      <c r="H33" s="46"/>
      <c r="I33" s="159">
        <f t="shared" si="0"/>
      </c>
    </row>
    <row r="34" spans="2:9" ht="12.75" customHeight="1">
      <c r="B34" s="14"/>
      <c r="C34" s="15"/>
      <c r="D34" s="15"/>
      <c r="E34" s="16"/>
      <c r="F34" s="19"/>
      <c r="G34" s="46"/>
      <c r="H34" s="46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20">
        <f>SUM(G37:G38)</f>
        <v>2000</v>
      </c>
      <c r="H36" s="20">
        <f>SUM(H37:H38)</f>
        <v>2000</v>
      </c>
      <c r="I36" s="158">
        <f t="shared" si="0"/>
        <v>100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46">
        <v>0</v>
      </c>
      <c r="H37" s="46">
        <v>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46">
        <v>2000</v>
      </c>
      <c r="H38" s="46">
        <v>2000</v>
      </c>
      <c r="I38" s="159">
        <f t="shared" si="0"/>
        <v>100</v>
      </c>
    </row>
    <row r="39" spans="2:9" ht="12.75" customHeight="1">
      <c r="B39" s="14"/>
      <c r="C39" s="15"/>
      <c r="D39" s="15"/>
      <c r="E39" s="16"/>
      <c r="F39" s="15"/>
      <c r="G39" s="46"/>
      <c r="H39" s="46"/>
      <c r="I39" s="159"/>
    </row>
    <row r="40" spans="2:9" ht="12.75" customHeight="1">
      <c r="B40" s="14"/>
      <c r="C40" s="15"/>
      <c r="D40" s="15"/>
      <c r="E40" s="16"/>
      <c r="F40" s="15"/>
      <c r="G40" s="46"/>
      <c r="H40" s="46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0">
        <v>2</v>
      </c>
      <c r="H41" s="20">
        <v>3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82570</v>
      </c>
      <c r="H42" s="20">
        <f>H7+H13+H17+H36</f>
        <v>112610</v>
      </c>
      <c r="I42" s="158">
        <f>IF(G42=0,"",H42/G42*100)</f>
        <v>136.38125227080053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/>
      <c r="H43" s="20"/>
      <c r="I43" s="161"/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45"/>
      <c r="I44" s="160"/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</sheetData>
  <sheetProtection/>
  <mergeCells count="2">
    <mergeCell ref="B2:G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88" r:id="rId1"/>
  <headerFooter alignWithMargins="0">
    <oddFooter>&amp;R18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2:M53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9" s="118" customFormat="1" ht="15" customHeight="1">
      <c r="B2" s="439" t="s">
        <v>207</v>
      </c>
      <c r="C2" s="439"/>
      <c r="D2" s="439"/>
      <c r="E2" s="439"/>
      <c r="F2" s="439"/>
      <c r="G2" s="439"/>
      <c r="H2" s="354"/>
      <c r="I2" s="355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142</v>
      </c>
      <c r="C6" s="11" t="s">
        <v>143</v>
      </c>
      <c r="D6" s="11" t="s">
        <v>135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1120930</v>
      </c>
      <c r="H7" s="20">
        <f>SUM(H8:H11)</f>
        <v>1165750</v>
      </c>
      <c r="I7" s="158">
        <f aca="true" t="shared" si="0" ref="I7:I38">IF(G7=0,"",H7/G7*100)</f>
        <v>103.99846555984762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123">
        <f>896030+18400+3500</f>
        <v>917930</v>
      </c>
      <c r="H8" s="123">
        <f>930400+1530+16220</f>
        <v>948150</v>
      </c>
      <c r="I8" s="159">
        <f t="shared" si="0"/>
        <v>103.29219003627728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123">
        <f>182900+1000+800+500</f>
        <v>185200</v>
      </c>
      <c r="H9" s="123">
        <f>188300+2520+6*1460+2200</f>
        <v>201780</v>
      </c>
      <c r="I9" s="159">
        <f t="shared" si="0"/>
        <v>108.9524838012959</v>
      </c>
    </row>
    <row r="10" spans="2:11" ht="12.75" customHeight="1">
      <c r="B10" s="14"/>
      <c r="C10" s="15"/>
      <c r="D10" s="15"/>
      <c r="E10" s="16">
        <v>611200</v>
      </c>
      <c r="F10" s="26" t="s">
        <v>731</v>
      </c>
      <c r="G10" s="87">
        <v>17800</v>
      </c>
      <c r="H10" s="87">
        <f>9120+6700</f>
        <v>15820</v>
      </c>
      <c r="I10" s="159">
        <f t="shared" si="0"/>
        <v>88.87640449438202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96400</v>
      </c>
      <c r="H13" s="20">
        <f>H14+H15</f>
        <v>99810</v>
      </c>
      <c r="I13" s="158">
        <f t="shared" si="0"/>
        <v>103.53734439834025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123">
        <f>96000+400</f>
        <v>96400</v>
      </c>
      <c r="H14" s="123">
        <f>98100+1710</f>
        <v>99810</v>
      </c>
      <c r="I14" s="159">
        <f t="shared" si="0"/>
        <v>103.53734439834025</v>
      </c>
    </row>
    <row r="15" spans="2:13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  <c r="M15" s="95"/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337100</v>
      </c>
      <c r="H17" s="51">
        <f>SUM(H18:H27)</f>
        <v>332800</v>
      </c>
      <c r="I17" s="158">
        <f t="shared" si="0"/>
        <v>98.72441412043904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5500</v>
      </c>
      <c r="H18" s="46">
        <v>6500</v>
      </c>
      <c r="I18" s="159">
        <f t="shared" si="0"/>
        <v>118.18181818181819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16000</v>
      </c>
      <c r="H19" s="46">
        <v>16000</v>
      </c>
      <c r="I19" s="159">
        <f t="shared" si="0"/>
        <v>100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6">
        <v>140000</v>
      </c>
      <c r="H20" s="46">
        <v>130000</v>
      </c>
      <c r="I20" s="159">
        <f t="shared" si="0"/>
        <v>92.85714285714286</v>
      </c>
    </row>
    <row r="21" spans="2:10" ht="12.75" customHeight="1">
      <c r="B21" s="14"/>
      <c r="C21" s="15"/>
      <c r="D21" s="15"/>
      <c r="E21" s="16">
        <v>613400</v>
      </c>
      <c r="F21" s="15" t="s">
        <v>176</v>
      </c>
      <c r="G21" s="123">
        <v>27000</v>
      </c>
      <c r="H21" s="123">
        <v>30000</v>
      </c>
      <c r="I21" s="159">
        <f t="shared" si="0"/>
        <v>111.11111111111111</v>
      </c>
      <c r="J21" s="86"/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6">
        <v>10000</v>
      </c>
      <c r="H22" s="46">
        <v>10000</v>
      </c>
      <c r="I22" s="159">
        <f t="shared" si="0"/>
        <v>100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123">
        <v>0</v>
      </c>
      <c r="H23" s="123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123">
        <v>10000</v>
      </c>
      <c r="H24" s="123">
        <v>11000</v>
      </c>
      <c r="I24" s="159">
        <f t="shared" si="0"/>
        <v>110.00000000000001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123">
        <v>3200</v>
      </c>
      <c r="H25" s="123">
        <v>4000</v>
      </c>
      <c r="I25" s="159">
        <f t="shared" si="0"/>
        <v>125</v>
      </c>
    </row>
    <row r="26" spans="2:10" ht="12.75" customHeight="1">
      <c r="B26" s="14"/>
      <c r="C26" s="15"/>
      <c r="D26" s="15"/>
      <c r="E26" s="16">
        <v>613900</v>
      </c>
      <c r="F26" s="15" t="s">
        <v>178</v>
      </c>
      <c r="G26" s="123">
        <v>110000</v>
      </c>
      <c r="H26" s="123">
        <v>110000</v>
      </c>
      <c r="I26" s="159">
        <f t="shared" si="0"/>
        <v>100</v>
      </c>
      <c r="J26" s="113"/>
    </row>
    <row r="27" spans="2:9" ht="12.75" customHeight="1">
      <c r="B27" s="14"/>
      <c r="C27" s="15"/>
      <c r="D27" s="15"/>
      <c r="E27" s="16">
        <v>613900</v>
      </c>
      <c r="F27" s="26" t="s">
        <v>732</v>
      </c>
      <c r="G27" s="123">
        <v>15400</v>
      </c>
      <c r="H27" s="123">
        <f>8400+6900</f>
        <v>15300</v>
      </c>
      <c r="I27" s="159">
        <f t="shared" si="0"/>
        <v>99.35064935064936</v>
      </c>
    </row>
    <row r="28" spans="2:9" s="1" customFormat="1" ht="12.75" customHeight="1">
      <c r="B28" s="17"/>
      <c r="C28" s="12"/>
      <c r="D28" s="12"/>
      <c r="E28" s="62"/>
      <c r="F28" s="12"/>
      <c r="G28" s="123"/>
      <c r="H28" s="123"/>
      <c r="I28" s="159">
        <f t="shared" si="0"/>
      </c>
    </row>
    <row r="29" spans="2:9" ht="12.75" customHeight="1">
      <c r="B29" s="14"/>
      <c r="C29" s="15"/>
      <c r="D29" s="31"/>
      <c r="E29" s="64"/>
      <c r="F29" s="61"/>
      <c r="G29" s="123"/>
      <c r="H29" s="123"/>
      <c r="I29" s="159">
        <f t="shared" si="0"/>
      </c>
    </row>
    <row r="30" spans="2:9" ht="12.75" customHeight="1">
      <c r="B30" s="14"/>
      <c r="C30" s="15"/>
      <c r="D30" s="15"/>
      <c r="E30" s="63"/>
      <c r="F30" s="15"/>
      <c r="G30" s="123"/>
      <c r="H30" s="123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123"/>
      <c r="H31" s="123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123"/>
      <c r="H32" s="123"/>
      <c r="I32" s="159">
        <f t="shared" si="0"/>
      </c>
    </row>
    <row r="33" spans="2:9" ht="12.75" customHeight="1">
      <c r="B33" s="14"/>
      <c r="C33" s="15"/>
      <c r="D33" s="15"/>
      <c r="E33" s="16"/>
      <c r="F33" s="15"/>
      <c r="G33" s="123"/>
      <c r="H33" s="123"/>
      <c r="I33" s="159">
        <f t="shared" si="0"/>
      </c>
    </row>
    <row r="34" spans="2:9" ht="12.75" customHeight="1">
      <c r="B34" s="14"/>
      <c r="C34" s="15"/>
      <c r="D34" s="15"/>
      <c r="E34" s="16"/>
      <c r="F34" s="19"/>
      <c r="G34" s="123"/>
      <c r="H34" s="123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G37+G38</f>
        <v>5000</v>
      </c>
      <c r="H36" s="114">
        <f>H37+H38</f>
        <v>5000</v>
      </c>
      <c r="I36" s="158">
        <f t="shared" si="0"/>
        <v>100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123">
        <v>0</v>
      </c>
      <c r="H37" s="123">
        <v>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123">
        <v>5000</v>
      </c>
      <c r="H38" s="123">
        <v>5000</v>
      </c>
      <c r="I38" s="159">
        <f t="shared" si="0"/>
        <v>100</v>
      </c>
    </row>
    <row r="39" spans="2:9" ht="12.75" customHeight="1">
      <c r="B39" s="14"/>
      <c r="C39" s="15"/>
      <c r="D39" s="15"/>
      <c r="E39" s="16"/>
      <c r="F39" s="15"/>
      <c r="G39" s="46"/>
      <c r="H39" s="46"/>
      <c r="I39" s="159"/>
    </row>
    <row r="40" spans="2:9" ht="12.75" customHeight="1">
      <c r="B40" s="14"/>
      <c r="C40" s="15"/>
      <c r="D40" s="15"/>
      <c r="E40" s="16"/>
      <c r="F40" s="15"/>
      <c r="G40" s="46"/>
      <c r="H40" s="46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140">
        <v>45</v>
      </c>
      <c r="H41" s="140">
        <v>45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1559430</v>
      </c>
      <c r="H42" s="20">
        <f>H7+H13+H17+H36</f>
        <v>1603360</v>
      </c>
      <c r="I42" s="158">
        <f>IF(G42=0,"",H42/G42*100)</f>
        <v>102.8170549495649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</f>
        <v>1559430</v>
      </c>
      <c r="H43" s="20">
        <f>H42</f>
        <v>1603360</v>
      </c>
      <c r="I43" s="158">
        <f>IF(G43=0,"",H43/G43*100)</f>
        <v>102.8170549495649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45"/>
      <c r="I44" s="160"/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6" ht="12.75">
      <c r="I46" s="352"/>
    </row>
    <row r="47" ht="12.75">
      <c r="B47" s="86"/>
    </row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  <row r="53" ht="12.75">
      <c r="B53" s="86"/>
    </row>
  </sheetData>
  <sheetProtection/>
  <mergeCells count="2">
    <mergeCell ref="B2:G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88" r:id="rId1"/>
  <headerFooter alignWithMargins="0">
    <oddFooter>&amp;R19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7"/>
  <dimension ref="B2:K48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9" s="118" customFormat="1" ht="15" customHeight="1">
      <c r="B2" s="439" t="s">
        <v>244</v>
      </c>
      <c r="C2" s="439"/>
      <c r="D2" s="439"/>
      <c r="E2" s="439"/>
      <c r="F2" s="439"/>
      <c r="G2" s="439"/>
      <c r="H2" s="354"/>
      <c r="I2" s="355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142</v>
      </c>
      <c r="C6" s="11" t="s">
        <v>144</v>
      </c>
      <c r="D6" s="11" t="s">
        <v>90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32400</v>
      </c>
      <c r="H7" s="20">
        <f>SUM(H8:H11)</f>
        <v>33200</v>
      </c>
      <c r="I7" s="158">
        <f aca="true" t="shared" si="0" ref="I7:I38">IF(G7=0,"",H7/G7*100)</f>
        <v>102.46913580246914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123">
        <v>25700</v>
      </c>
      <c r="H8" s="123">
        <v>26400</v>
      </c>
      <c r="I8" s="159">
        <f t="shared" si="0"/>
        <v>102.7237354085603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123">
        <v>3600</v>
      </c>
      <c r="H9" s="123">
        <v>3700</v>
      </c>
      <c r="I9" s="159">
        <f t="shared" si="0"/>
        <v>102.77777777777777</v>
      </c>
    </row>
    <row r="10" spans="2:11" ht="12.75" customHeight="1">
      <c r="B10" s="14"/>
      <c r="C10" s="15"/>
      <c r="D10" s="15"/>
      <c r="E10" s="16">
        <v>611200</v>
      </c>
      <c r="F10" s="26" t="s">
        <v>741</v>
      </c>
      <c r="G10" s="87">
        <v>3100</v>
      </c>
      <c r="H10" s="87">
        <v>3100</v>
      </c>
      <c r="I10" s="159">
        <f t="shared" si="0"/>
        <v>100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2800</v>
      </c>
      <c r="H13" s="20">
        <f>H14+H15</f>
        <v>3000</v>
      </c>
      <c r="I13" s="158">
        <f t="shared" si="0"/>
        <v>107.14285714285714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123">
        <v>2800</v>
      </c>
      <c r="H14" s="123">
        <v>3000</v>
      </c>
      <c r="I14" s="159">
        <f t="shared" si="0"/>
        <v>107.14285714285714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5790</v>
      </c>
      <c r="H17" s="51">
        <f>SUM(H18:H27)</f>
        <v>6350</v>
      </c>
      <c r="I17" s="158">
        <f t="shared" si="0"/>
        <v>109.67184801381693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500</v>
      </c>
      <c r="H18" s="46">
        <v>500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0</v>
      </c>
      <c r="H19" s="46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6">
        <v>750</v>
      </c>
      <c r="H20" s="46">
        <v>750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6">
        <v>300</v>
      </c>
      <c r="H21" s="46">
        <v>300</v>
      </c>
      <c r="I21" s="159">
        <f t="shared" si="0"/>
        <v>100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6">
        <v>0</v>
      </c>
      <c r="H22" s="46">
        <v>0</v>
      </c>
      <c r="I22" s="159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6">
        <v>0</v>
      </c>
      <c r="H23" s="46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46">
        <v>0</v>
      </c>
      <c r="H24" s="46">
        <v>0</v>
      </c>
      <c r="I24" s="159">
        <f t="shared" si="0"/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46">
        <v>0</v>
      </c>
      <c r="H25" s="46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46">
        <v>1500</v>
      </c>
      <c r="H26" s="46">
        <v>1500</v>
      </c>
      <c r="I26" s="159">
        <f t="shared" si="0"/>
        <v>100</v>
      </c>
    </row>
    <row r="27" spans="2:9" ht="12.75" customHeight="1">
      <c r="B27" s="14"/>
      <c r="C27" s="15"/>
      <c r="D27" s="15"/>
      <c r="E27" s="16">
        <v>613900</v>
      </c>
      <c r="F27" s="26" t="s">
        <v>742</v>
      </c>
      <c r="G27" s="46">
        <v>2740</v>
      </c>
      <c r="H27" s="46">
        <v>3300</v>
      </c>
      <c r="I27" s="159">
        <f t="shared" si="0"/>
        <v>120.43795620437956</v>
      </c>
    </row>
    <row r="28" spans="2:9" s="1" customFormat="1" ht="12.75" customHeight="1">
      <c r="B28" s="17"/>
      <c r="C28" s="12"/>
      <c r="D28" s="12"/>
      <c r="E28" s="62"/>
      <c r="F28" s="12"/>
      <c r="G28" s="46"/>
      <c r="H28" s="46"/>
      <c r="I28" s="159">
        <f t="shared" si="0"/>
      </c>
    </row>
    <row r="29" spans="2:9" ht="12.75" customHeight="1">
      <c r="B29" s="14"/>
      <c r="C29" s="15"/>
      <c r="D29" s="31"/>
      <c r="E29" s="64"/>
      <c r="F29" s="61"/>
      <c r="G29" s="46"/>
      <c r="H29" s="46"/>
      <c r="I29" s="159">
        <f t="shared" si="0"/>
      </c>
    </row>
    <row r="30" spans="2:9" ht="12.75" customHeight="1">
      <c r="B30" s="14"/>
      <c r="C30" s="15"/>
      <c r="D30" s="15"/>
      <c r="E30" s="63"/>
      <c r="F30" s="15"/>
      <c r="G30" s="46"/>
      <c r="H30" s="46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46"/>
      <c r="H31" s="46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46"/>
      <c r="H32" s="46"/>
      <c r="I32" s="159">
        <f t="shared" si="0"/>
      </c>
    </row>
    <row r="33" spans="2:9" ht="12.75" customHeight="1">
      <c r="B33" s="14"/>
      <c r="C33" s="15"/>
      <c r="D33" s="15"/>
      <c r="E33" s="16"/>
      <c r="F33" s="15"/>
      <c r="G33" s="46"/>
      <c r="H33" s="46"/>
      <c r="I33" s="159">
        <f t="shared" si="0"/>
      </c>
    </row>
    <row r="34" spans="2:9" ht="12.75" customHeight="1">
      <c r="B34" s="14"/>
      <c r="C34" s="15"/>
      <c r="D34" s="15"/>
      <c r="E34" s="16"/>
      <c r="F34" s="19"/>
      <c r="G34" s="46"/>
      <c r="H34" s="46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20">
        <f>SUM(G37:G38)</f>
        <v>1000</v>
      </c>
      <c r="H36" s="20">
        <f>SUM(H37:H38)</f>
        <v>500</v>
      </c>
      <c r="I36" s="158">
        <f t="shared" si="0"/>
        <v>50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46">
        <v>0</v>
      </c>
      <c r="H37" s="46">
        <v>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46">
        <v>1000</v>
      </c>
      <c r="H38" s="46">
        <v>500</v>
      </c>
      <c r="I38" s="159">
        <f t="shared" si="0"/>
        <v>50</v>
      </c>
    </row>
    <row r="39" spans="2:9" ht="12.75" customHeight="1">
      <c r="B39" s="14"/>
      <c r="C39" s="15"/>
      <c r="D39" s="15"/>
      <c r="E39" s="16"/>
      <c r="F39" s="15"/>
      <c r="G39" s="46"/>
      <c r="H39" s="46"/>
      <c r="I39" s="159"/>
    </row>
    <row r="40" spans="2:9" ht="12.75" customHeight="1">
      <c r="B40" s="14"/>
      <c r="C40" s="15"/>
      <c r="D40" s="15"/>
      <c r="E40" s="16"/>
      <c r="F40" s="15"/>
      <c r="G40" s="46"/>
      <c r="H40" s="46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114">
        <v>1</v>
      </c>
      <c r="H41" s="114">
        <v>1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41990</v>
      </c>
      <c r="H42" s="20">
        <f>H7+H13+H17+H36</f>
        <v>43050</v>
      </c>
      <c r="I42" s="158">
        <f>IF(G42=0,"",H42/G42*100)</f>
        <v>102.52441057394617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</f>
        <v>41990</v>
      </c>
      <c r="H43" s="20">
        <f>H42</f>
        <v>43050</v>
      </c>
      <c r="I43" s="158">
        <f>IF(G43=0,"",H43/G43*100)</f>
        <v>102.52441057394617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45"/>
      <c r="I44" s="160"/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7" ht="12.75">
      <c r="B47" s="86"/>
    </row>
    <row r="48" ht="12.75">
      <c r="B48" s="86"/>
    </row>
  </sheetData>
  <sheetProtection/>
  <mergeCells count="2">
    <mergeCell ref="B2:G2"/>
    <mergeCell ref="F3:G3"/>
  </mergeCells>
  <printOptions/>
  <pageMargins left="0.17" right="0.17" top="0.5905511811023623" bottom="0.52" header="0.5118110236220472" footer="0.5118110236220472"/>
  <pageSetup horizontalDpi="180" verticalDpi="180" orientation="portrait" paperSize="9" scale="88" r:id="rId1"/>
  <headerFooter alignWithMargins="0">
    <oddFooter>&amp;R20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3"/>
  <dimension ref="B2:K47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7" ht="15" customHeight="1">
      <c r="B2" s="439" t="s">
        <v>243</v>
      </c>
      <c r="C2" s="439"/>
      <c r="D2" s="439"/>
      <c r="E2" s="439"/>
      <c r="F2" s="439"/>
      <c r="G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142</v>
      </c>
      <c r="C6" s="11" t="s">
        <v>144</v>
      </c>
      <c r="D6" s="11" t="s">
        <v>128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42520</v>
      </c>
      <c r="H7" s="20">
        <f>SUM(H8:H11)</f>
        <v>43700</v>
      </c>
      <c r="I7" s="158">
        <f aca="true" t="shared" si="0" ref="I7:I38">IF(G7=0,"",H7/G7*100)</f>
        <v>102.77516462841017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46">
        <v>34700</v>
      </c>
      <c r="H8" s="46">
        <v>35800</v>
      </c>
      <c r="I8" s="159">
        <f t="shared" si="0"/>
        <v>103.1700288184438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46">
        <v>5500</v>
      </c>
      <c r="H9" s="46">
        <v>5500</v>
      </c>
      <c r="I9" s="159">
        <f t="shared" si="0"/>
        <v>100</v>
      </c>
    </row>
    <row r="10" spans="2:11" ht="12.75" customHeight="1">
      <c r="B10" s="14"/>
      <c r="C10" s="15"/>
      <c r="D10" s="15"/>
      <c r="E10" s="16">
        <v>611200</v>
      </c>
      <c r="F10" s="26" t="s">
        <v>741</v>
      </c>
      <c r="G10" s="87">
        <v>2320</v>
      </c>
      <c r="H10" s="87">
        <v>2400</v>
      </c>
      <c r="I10" s="159">
        <f t="shared" si="0"/>
        <v>103.44827586206897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3800</v>
      </c>
      <c r="H13" s="20">
        <f>H14+H15</f>
        <v>4100</v>
      </c>
      <c r="I13" s="158">
        <f t="shared" si="0"/>
        <v>107.89473684210526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6">
        <v>3800</v>
      </c>
      <c r="H14" s="46">
        <v>4100</v>
      </c>
      <c r="I14" s="159">
        <f t="shared" si="0"/>
        <v>107.89473684210526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5290</v>
      </c>
      <c r="H17" s="51">
        <f>SUM(H18:H27)</f>
        <v>6050</v>
      </c>
      <c r="I17" s="158">
        <f t="shared" si="0"/>
        <v>114.36672967863895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800</v>
      </c>
      <c r="H18" s="46">
        <v>800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0</v>
      </c>
      <c r="H19" s="46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6">
        <v>950</v>
      </c>
      <c r="H20" s="46">
        <v>950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6">
        <v>300</v>
      </c>
      <c r="H21" s="46">
        <v>500</v>
      </c>
      <c r="I21" s="159">
        <f t="shared" si="0"/>
        <v>166.66666666666669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6">
        <v>0</v>
      </c>
      <c r="H22" s="46">
        <v>0</v>
      </c>
      <c r="I22" s="159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6">
        <v>0</v>
      </c>
      <c r="H23" s="46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46">
        <v>0</v>
      </c>
      <c r="H24" s="46">
        <v>0</v>
      </c>
      <c r="I24" s="159">
        <f t="shared" si="0"/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46">
        <v>0</v>
      </c>
      <c r="H25" s="46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123">
        <v>500</v>
      </c>
      <c r="H26" s="123">
        <v>500</v>
      </c>
      <c r="I26" s="159">
        <f t="shared" si="0"/>
        <v>100</v>
      </c>
    </row>
    <row r="27" spans="2:9" ht="12.75" customHeight="1">
      <c r="B27" s="14"/>
      <c r="C27" s="15"/>
      <c r="D27" s="15"/>
      <c r="E27" s="16">
        <v>613900</v>
      </c>
      <c r="F27" s="26" t="s">
        <v>742</v>
      </c>
      <c r="G27" s="46">
        <v>2740</v>
      </c>
      <c r="H27" s="46">
        <v>3300</v>
      </c>
      <c r="I27" s="159">
        <f t="shared" si="0"/>
        <v>120.43795620437956</v>
      </c>
    </row>
    <row r="28" spans="2:9" s="1" customFormat="1" ht="12.75" customHeight="1">
      <c r="B28" s="17"/>
      <c r="C28" s="12"/>
      <c r="D28" s="12"/>
      <c r="E28" s="62"/>
      <c r="F28" s="12"/>
      <c r="G28" s="46"/>
      <c r="H28" s="46"/>
      <c r="I28" s="159">
        <f t="shared" si="0"/>
      </c>
    </row>
    <row r="29" spans="2:9" ht="12.75" customHeight="1">
      <c r="B29" s="14"/>
      <c r="C29" s="15"/>
      <c r="D29" s="31"/>
      <c r="E29" s="64"/>
      <c r="F29" s="61"/>
      <c r="G29" s="46"/>
      <c r="H29" s="46"/>
      <c r="I29" s="159">
        <f t="shared" si="0"/>
      </c>
    </row>
    <row r="30" spans="2:9" ht="12.75" customHeight="1">
      <c r="B30" s="14"/>
      <c r="C30" s="15"/>
      <c r="D30" s="15"/>
      <c r="E30" s="63"/>
      <c r="F30" s="15"/>
      <c r="G30" s="46"/>
      <c r="H30" s="46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46"/>
      <c r="H31" s="46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46"/>
      <c r="H32" s="46"/>
      <c r="I32" s="159">
        <f t="shared" si="0"/>
      </c>
    </row>
    <row r="33" spans="2:9" ht="12.75" customHeight="1">
      <c r="B33" s="14"/>
      <c r="C33" s="15"/>
      <c r="D33" s="15"/>
      <c r="E33" s="16"/>
      <c r="F33" s="15"/>
      <c r="G33" s="46"/>
      <c r="H33" s="46"/>
      <c r="I33" s="159">
        <f t="shared" si="0"/>
      </c>
    </row>
    <row r="34" spans="2:9" ht="12.75" customHeight="1">
      <c r="B34" s="14"/>
      <c r="C34" s="15"/>
      <c r="D34" s="15"/>
      <c r="E34" s="16"/>
      <c r="F34" s="19"/>
      <c r="G34" s="46"/>
      <c r="H34" s="46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20">
        <f>SUM(G37:G38)</f>
        <v>500</v>
      </c>
      <c r="H36" s="20">
        <f>SUM(H37:H38)</f>
        <v>1000</v>
      </c>
      <c r="I36" s="158">
        <f t="shared" si="0"/>
        <v>200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46">
        <v>0</v>
      </c>
      <c r="H37" s="46">
        <v>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46">
        <v>500</v>
      </c>
      <c r="H38" s="46">
        <v>1000</v>
      </c>
      <c r="I38" s="159">
        <f t="shared" si="0"/>
        <v>200</v>
      </c>
    </row>
    <row r="39" spans="2:9" ht="12.75" customHeight="1">
      <c r="B39" s="14"/>
      <c r="C39" s="15"/>
      <c r="D39" s="15"/>
      <c r="E39" s="16"/>
      <c r="F39" s="15"/>
      <c r="G39" s="46"/>
      <c r="H39" s="46"/>
      <c r="I39" s="159"/>
    </row>
    <row r="40" spans="2:9" ht="12.75" customHeight="1">
      <c r="B40" s="14"/>
      <c r="C40" s="15"/>
      <c r="D40" s="15"/>
      <c r="E40" s="16"/>
      <c r="F40" s="15"/>
      <c r="G40" s="46"/>
      <c r="H40" s="46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0">
        <v>2</v>
      </c>
      <c r="H41" s="20">
        <v>2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52110</v>
      </c>
      <c r="H42" s="20">
        <f>H7+H13+H17+H36</f>
        <v>54850</v>
      </c>
      <c r="I42" s="158">
        <f>IF(G42=0,"",H42/G42*100)</f>
        <v>105.25810784878142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</f>
        <v>52110</v>
      </c>
      <c r="H43" s="20">
        <f>H42</f>
        <v>54850</v>
      </c>
      <c r="I43" s="158">
        <f>IF(G43=0,"",H43/G43*100)</f>
        <v>105.25810784878142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>
        <f>G43+'12'!G43+'11'!G43+'10'!G42</f>
        <v>1736100</v>
      </c>
      <c r="H44" s="20">
        <f>H43+'12'!H43+'11'!H43+'10'!H42</f>
        <v>1813870</v>
      </c>
      <c r="I44" s="158">
        <f>IF(G44=0,"",H44/G44*100)</f>
        <v>104.47958066931629</v>
      </c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7" ht="12.75">
      <c r="B47" s="86"/>
    </row>
  </sheetData>
  <sheetProtection/>
  <mergeCells count="2">
    <mergeCell ref="B2:G2"/>
    <mergeCell ref="F3:G3"/>
  </mergeCells>
  <printOptions/>
  <pageMargins left="0.21" right="0.17" top="0.5905511811023623" bottom="0.56" header="0.5118110236220472" footer="0.5118110236220472"/>
  <pageSetup horizontalDpi="180" verticalDpi="180" orientation="portrait" paperSize="9" scale="88" r:id="rId1"/>
  <headerFooter alignWithMargins="0">
    <oddFooter>&amp;R21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5"/>
  <dimension ref="B2:K48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7" ht="15" customHeight="1">
      <c r="B2" s="439" t="s">
        <v>208</v>
      </c>
      <c r="C2" s="439"/>
      <c r="D2" s="439"/>
      <c r="E2" s="439"/>
      <c r="F2" s="439"/>
      <c r="G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142</v>
      </c>
      <c r="C6" s="11" t="s">
        <v>209</v>
      </c>
      <c r="D6" s="11" t="s">
        <v>90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60600</v>
      </c>
      <c r="H7" s="20">
        <f>SUM(H8:H11)</f>
        <v>59500</v>
      </c>
      <c r="I7" s="158">
        <f aca="true" t="shared" si="0" ref="I7:I38">IF(G7=0,"",H7/G7*100)</f>
        <v>98.18481848184818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46">
        <v>48100</v>
      </c>
      <c r="H8" s="46">
        <v>49400</v>
      </c>
      <c r="I8" s="159">
        <f t="shared" si="0"/>
        <v>102.7027027027027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46">
        <v>6500</v>
      </c>
      <c r="H9" s="46">
        <v>6500</v>
      </c>
      <c r="I9" s="159">
        <f t="shared" si="0"/>
        <v>100</v>
      </c>
    </row>
    <row r="10" spans="2:11" ht="12.75" customHeight="1">
      <c r="B10" s="14"/>
      <c r="C10" s="15"/>
      <c r="D10" s="15"/>
      <c r="E10" s="16">
        <v>611200</v>
      </c>
      <c r="F10" s="26" t="s">
        <v>741</v>
      </c>
      <c r="G10" s="87">
        <f>3600+2400</f>
        <v>6000</v>
      </c>
      <c r="H10" s="87">
        <v>3600</v>
      </c>
      <c r="I10" s="159">
        <f t="shared" si="0"/>
        <v>60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5200</v>
      </c>
      <c r="H13" s="20">
        <f>H14+H15</f>
        <v>5500</v>
      </c>
      <c r="I13" s="158">
        <f t="shared" si="0"/>
        <v>105.76923076923077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6">
        <v>5200</v>
      </c>
      <c r="H14" s="46">
        <v>5500</v>
      </c>
      <c r="I14" s="159">
        <f t="shared" si="0"/>
        <v>105.76923076923077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13940</v>
      </c>
      <c r="H17" s="51">
        <f>SUM(H18:H27)</f>
        <v>9100</v>
      </c>
      <c r="I17" s="158">
        <f t="shared" si="0"/>
        <v>65.27977044476327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1900</v>
      </c>
      <c r="H18" s="46">
        <v>1900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0</v>
      </c>
      <c r="H19" s="46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6">
        <v>1600</v>
      </c>
      <c r="H20" s="46">
        <v>1600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6">
        <v>900</v>
      </c>
      <c r="H21" s="46">
        <v>900</v>
      </c>
      <c r="I21" s="159">
        <f t="shared" si="0"/>
        <v>100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6">
        <v>0</v>
      </c>
      <c r="H22" s="46">
        <v>0</v>
      </c>
      <c r="I22" s="159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6">
        <v>0</v>
      </c>
      <c r="H23" s="46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46">
        <v>400</v>
      </c>
      <c r="H24" s="46">
        <v>400</v>
      </c>
      <c r="I24" s="159">
        <f t="shared" si="0"/>
        <v>100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46">
        <v>0</v>
      </c>
      <c r="H25" s="46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123">
        <v>1000</v>
      </c>
      <c r="H26" s="123">
        <v>1000</v>
      </c>
      <c r="I26" s="159">
        <f t="shared" si="0"/>
        <v>100</v>
      </c>
    </row>
    <row r="27" spans="2:9" ht="12.75" customHeight="1">
      <c r="B27" s="14"/>
      <c r="C27" s="15"/>
      <c r="D27" s="15"/>
      <c r="E27" s="16">
        <v>613900</v>
      </c>
      <c r="F27" s="26" t="s">
        <v>742</v>
      </c>
      <c r="G27" s="123">
        <f>4540+3600</f>
        <v>8140</v>
      </c>
      <c r="H27" s="123">
        <v>3300</v>
      </c>
      <c r="I27" s="159">
        <f t="shared" si="0"/>
        <v>40.54054054054054</v>
      </c>
    </row>
    <row r="28" spans="2:9" s="1" customFormat="1" ht="12.75" customHeight="1">
      <c r="B28" s="17"/>
      <c r="C28" s="12"/>
      <c r="D28" s="12"/>
      <c r="E28" s="62"/>
      <c r="F28" s="12"/>
      <c r="G28" s="46"/>
      <c r="H28" s="46"/>
      <c r="I28" s="159">
        <f t="shared" si="0"/>
      </c>
    </row>
    <row r="29" spans="2:9" ht="12.75" customHeight="1">
      <c r="B29" s="14"/>
      <c r="C29" s="15"/>
      <c r="D29" s="31"/>
      <c r="E29" s="64"/>
      <c r="F29" s="61"/>
      <c r="G29" s="46"/>
      <c r="H29" s="46"/>
      <c r="I29" s="159">
        <f t="shared" si="0"/>
      </c>
    </row>
    <row r="30" spans="2:9" ht="12.75" customHeight="1">
      <c r="B30" s="14"/>
      <c r="C30" s="15"/>
      <c r="D30" s="15"/>
      <c r="E30" s="63"/>
      <c r="F30" s="15"/>
      <c r="G30" s="46"/>
      <c r="H30" s="46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46"/>
      <c r="H31" s="46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46"/>
      <c r="H32" s="46"/>
      <c r="I32" s="159">
        <f t="shared" si="0"/>
      </c>
    </row>
    <row r="33" spans="2:9" ht="12.75" customHeight="1">
      <c r="B33" s="14"/>
      <c r="C33" s="15"/>
      <c r="D33" s="15"/>
      <c r="E33" s="16"/>
      <c r="F33" s="15"/>
      <c r="G33" s="46"/>
      <c r="H33" s="46"/>
      <c r="I33" s="159">
        <f t="shared" si="0"/>
      </c>
    </row>
    <row r="34" spans="2:9" ht="12.75" customHeight="1">
      <c r="B34" s="14"/>
      <c r="C34" s="15"/>
      <c r="D34" s="15"/>
      <c r="E34" s="16"/>
      <c r="F34" s="19"/>
      <c r="G34" s="46"/>
      <c r="H34" s="46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20">
        <f>G37+G38</f>
        <v>0</v>
      </c>
      <c r="H36" s="20">
        <f>H37+H38</f>
        <v>0</v>
      </c>
      <c r="I36" s="158">
        <f t="shared" si="0"/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46">
        <v>0</v>
      </c>
      <c r="H37" s="46">
        <v>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123">
        <v>0</v>
      </c>
      <c r="H38" s="123">
        <v>0</v>
      </c>
      <c r="I38" s="159">
        <f t="shared" si="0"/>
      </c>
    </row>
    <row r="39" spans="2:9" ht="12.75" customHeight="1">
      <c r="B39" s="14"/>
      <c r="C39" s="15"/>
      <c r="D39" s="15"/>
      <c r="E39" s="16"/>
      <c r="F39" s="15"/>
      <c r="G39" s="46"/>
      <c r="H39" s="46"/>
      <c r="I39" s="159"/>
    </row>
    <row r="40" spans="2:9" ht="12.75" customHeight="1">
      <c r="B40" s="14"/>
      <c r="C40" s="15"/>
      <c r="D40" s="15"/>
      <c r="E40" s="16"/>
      <c r="F40" s="15"/>
      <c r="G40" s="46"/>
      <c r="H40" s="46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0">
        <v>2</v>
      </c>
      <c r="H41" s="20">
        <v>2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79740</v>
      </c>
      <c r="H42" s="20">
        <f>H7+H13+H17+H36</f>
        <v>74100</v>
      </c>
      <c r="I42" s="158">
        <f>IF(G42=0,"",H42/G42*100)</f>
        <v>92.92701279157262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</f>
        <v>79740</v>
      </c>
      <c r="H43" s="20">
        <f>H42</f>
        <v>74100</v>
      </c>
      <c r="I43" s="158">
        <f>IF(G43=0,"",H43/G43*100)</f>
        <v>92.92701279157262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>
        <f>G43+'13'!G43+'12'!G43+'11'!G43+'10'!G42</f>
        <v>1815840</v>
      </c>
      <c r="H44" s="20">
        <f>H43+'13'!H43+'12'!H43+'11'!H43+'10'!H42</f>
        <v>1887970</v>
      </c>
      <c r="I44" s="158">
        <f>IF(G44=0,"",H44/G44*100)</f>
        <v>103.97226627896731</v>
      </c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7" ht="12.75">
      <c r="B47" s="86"/>
    </row>
    <row r="48" ht="12.75">
      <c r="B48" s="86"/>
    </row>
  </sheetData>
  <sheetProtection/>
  <mergeCells count="2">
    <mergeCell ref="B2:G2"/>
    <mergeCell ref="F3:G3"/>
  </mergeCells>
  <printOptions/>
  <pageMargins left="0.17" right="0.17" top="0.5905511811023623" bottom="0.5905511811023623" header="0.5118110236220472" footer="0.5118110236220472"/>
  <pageSetup horizontalDpi="180" verticalDpi="180" orientation="portrait" paperSize="9" scale="88" r:id="rId1"/>
  <headerFooter alignWithMargins="0">
    <oddFooter>&amp;R22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8"/>
  <dimension ref="B2:K47"/>
  <sheetViews>
    <sheetView zoomScalePageLayoutView="0" workbookViewId="0" topLeftCell="B1">
      <selection activeCell="H11" sqref="H1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9" s="118" customFormat="1" ht="15" customHeight="1">
      <c r="B2" s="439" t="s">
        <v>188</v>
      </c>
      <c r="C2" s="439"/>
      <c r="D2" s="439"/>
      <c r="E2" s="439"/>
      <c r="F2" s="439"/>
      <c r="G2" s="439"/>
      <c r="H2" s="354"/>
      <c r="I2" s="355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232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145</v>
      </c>
      <c r="C6" s="11" t="s">
        <v>89</v>
      </c>
      <c r="D6" s="11" t="s">
        <v>90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190580</v>
      </c>
      <c r="H7" s="20">
        <f>SUM(H8:H11)</f>
        <v>172800</v>
      </c>
      <c r="I7" s="158">
        <f aca="true" t="shared" si="0" ref="I7:I35">IF(G7=0,"",H7/G7*100)</f>
        <v>90.67058453143038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123">
        <v>151800</v>
      </c>
      <c r="H8" s="123">
        <v>135200</v>
      </c>
      <c r="I8" s="159">
        <f t="shared" si="0"/>
        <v>89.06455862977603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123">
        <v>29500</v>
      </c>
      <c r="H9" s="123">
        <v>27800</v>
      </c>
      <c r="I9" s="159">
        <f t="shared" si="0"/>
        <v>94.23728813559322</v>
      </c>
    </row>
    <row r="10" spans="2:11" ht="12.75" customHeight="1">
      <c r="B10" s="14"/>
      <c r="C10" s="15"/>
      <c r="D10" s="15"/>
      <c r="E10" s="16">
        <v>611200</v>
      </c>
      <c r="F10" s="26" t="s">
        <v>753</v>
      </c>
      <c r="G10" s="87">
        <v>9280</v>
      </c>
      <c r="H10" s="87">
        <v>9800</v>
      </c>
      <c r="I10" s="159">
        <f t="shared" si="0"/>
        <v>105.60344827586208</v>
      </c>
      <c r="K10" s="94"/>
    </row>
    <row r="11" spans="2:9" ht="12.75" customHeight="1">
      <c r="B11" s="14"/>
      <c r="C11" s="15"/>
      <c r="D11" s="15"/>
      <c r="E11" s="16"/>
      <c r="F11" s="26"/>
      <c r="G11" s="123"/>
      <c r="H11" s="123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114"/>
      <c r="H12" s="114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114">
        <f>G14+G15</f>
        <v>16200</v>
      </c>
      <c r="H13" s="114">
        <f>H14+H15</f>
        <v>14600</v>
      </c>
      <c r="I13" s="158">
        <f t="shared" si="0"/>
        <v>90.12345679012346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123">
        <v>16200</v>
      </c>
      <c r="H14" s="123">
        <v>14600</v>
      </c>
      <c r="I14" s="159">
        <f t="shared" si="0"/>
        <v>90.12345679012346</v>
      </c>
    </row>
    <row r="15" spans="2:9" ht="12.75" customHeight="1">
      <c r="B15" s="14"/>
      <c r="C15" s="15"/>
      <c r="D15" s="15"/>
      <c r="E15" s="16"/>
      <c r="F15" s="15"/>
      <c r="G15" s="123"/>
      <c r="H15" s="123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SUM(G18:G28)</f>
        <v>134630</v>
      </c>
      <c r="H17" s="51">
        <f>SUM(H18:H28)</f>
        <v>36000</v>
      </c>
      <c r="I17" s="158">
        <f t="shared" si="0"/>
        <v>26.739953947857092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3500</v>
      </c>
      <c r="H18" s="46">
        <v>3200</v>
      </c>
      <c r="I18" s="159">
        <f t="shared" si="0"/>
        <v>91.42857142857143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0</v>
      </c>
      <c r="H19" s="46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6">
        <v>3500</v>
      </c>
      <c r="H20" s="46">
        <v>3500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6">
        <v>100</v>
      </c>
      <c r="H21" s="46">
        <v>100</v>
      </c>
      <c r="I21" s="159">
        <f t="shared" si="0"/>
        <v>100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6">
        <v>1150</v>
      </c>
      <c r="H22" s="46">
        <v>0</v>
      </c>
      <c r="I22" s="159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6">
        <v>0</v>
      </c>
      <c r="H23" s="46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46">
        <v>1000</v>
      </c>
      <c r="H24" s="46">
        <v>1000</v>
      </c>
      <c r="I24" s="159">
        <f t="shared" si="0"/>
        <v>100</v>
      </c>
    </row>
    <row r="25" spans="2:11" ht="12.75" customHeight="1">
      <c r="B25" s="14"/>
      <c r="C25" s="15"/>
      <c r="D25" s="15"/>
      <c r="E25" s="16">
        <v>613800</v>
      </c>
      <c r="F25" s="15" t="s">
        <v>177</v>
      </c>
      <c r="G25" s="46">
        <v>400</v>
      </c>
      <c r="H25" s="46">
        <v>0</v>
      </c>
      <c r="I25" s="159">
        <f t="shared" si="0"/>
        <v>0</v>
      </c>
      <c r="K25" s="86"/>
    </row>
    <row r="26" spans="2:11" ht="12.75" customHeight="1">
      <c r="B26" s="14"/>
      <c r="C26" s="15"/>
      <c r="D26" s="15"/>
      <c r="E26" s="16">
        <v>613900</v>
      </c>
      <c r="F26" s="15" t="s">
        <v>178</v>
      </c>
      <c r="G26" s="123">
        <v>15000</v>
      </c>
      <c r="H26" s="123">
        <v>15000</v>
      </c>
      <c r="I26" s="159">
        <f t="shared" si="0"/>
        <v>100</v>
      </c>
      <c r="K26" s="86"/>
    </row>
    <row r="27" spans="2:9" ht="12.75" customHeight="1">
      <c r="B27" s="14"/>
      <c r="C27" s="15"/>
      <c r="D27" s="15"/>
      <c r="E27" s="16">
        <v>613900</v>
      </c>
      <c r="F27" s="26" t="s">
        <v>754</v>
      </c>
      <c r="G27" s="46">
        <v>9980</v>
      </c>
      <c r="H27" s="46">
        <v>13200</v>
      </c>
      <c r="I27" s="159">
        <f t="shared" si="0"/>
        <v>132.26452905811624</v>
      </c>
    </row>
    <row r="28" spans="2:9" ht="12.75" customHeight="1">
      <c r="B28" s="14"/>
      <c r="C28" s="15"/>
      <c r="D28" s="15"/>
      <c r="E28" s="16">
        <v>613900</v>
      </c>
      <c r="F28" s="26" t="s">
        <v>608</v>
      </c>
      <c r="G28" s="46">
        <v>100000</v>
      </c>
      <c r="H28" s="46">
        <v>0</v>
      </c>
      <c r="I28" s="159">
        <f t="shared" si="0"/>
        <v>0</v>
      </c>
    </row>
    <row r="29" spans="2:9" ht="12.75" customHeight="1">
      <c r="B29" s="14"/>
      <c r="C29" s="15"/>
      <c r="D29" s="15"/>
      <c r="E29" s="16"/>
      <c r="F29" s="15"/>
      <c r="G29" s="20"/>
      <c r="H29" s="20"/>
      <c r="I29" s="159">
        <f t="shared" si="0"/>
      </c>
    </row>
    <row r="30" spans="2:9" s="1" customFormat="1" ht="12.75" customHeight="1">
      <c r="B30" s="17"/>
      <c r="C30" s="12"/>
      <c r="D30" s="12"/>
      <c r="E30" s="9">
        <v>614000</v>
      </c>
      <c r="F30" s="12" t="s">
        <v>222</v>
      </c>
      <c r="G30" s="20">
        <f>SUM(G31:G31)</f>
        <v>500000</v>
      </c>
      <c r="H30" s="20">
        <f>SUM(H31:H31)</f>
        <v>600000</v>
      </c>
      <c r="I30" s="158">
        <f t="shared" si="0"/>
        <v>120</v>
      </c>
    </row>
    <row r="31" spans="2:9" s="1" customFormat="1" ht="12.75" customHeight="1">
      <c r="B31" s="17"/>
      <c r="C31" s="12"/>
      <c r="D31" s="80"/>
      <c r="E31" s="137">
        <v>614500</v>
      </c>
      <c r="F31" s="121" t="s">
        <v>123</v>
      </c>
      <c r="G31" s="123">
        <v>500000</v>
      </c>
      <c r="H31" s="123">
        <v>600000</v>
      </c>
      <c r="I31" s="159">
        <f t="shared" si="0"/>
        <v>120</v>
      </c>
    </row>
    <row r="32" spans="2:9" ht="12.75" customHeight="1">
      <c r="B32" s="14"/>
      <c r="C32" s="15"/>
      <c r="D32" s="15"/>
      <c r="E32" s="16"/>
      <c r="F32" s="26"/>
      <c r="G32" s="123"/>
      <c r="H32" s="123"/>
      <c r="I32" s="159">
        <f t="shared" si="0"/>
      </c>
    </row>
    <row r="33" spans="2:9" ht="12.75" customHeight="1">
      <c r="B33" s="17"/>
      <c r="C33" s="12"/>
      <c r="D33" s="12"/>
      <c r="E33" s="9">
        <v>821000</v>
      </c>
      <c r="F33" s="12" t="s">
        <v>98</v>
      </c>
      <c r="G33" s="114">
        <f>SUM(G34:G35)</f>
        <v>1660</v>
      </c>
      <c r="H33" s="114">
        <f>SUM(H34:H35)</f>
        <v>1500</v>
      </c>
      <c r="I33" s="158">
        <f t="shared" si="0"/>
        <v>90.36144578313254</v>
      </c>
    </row>
    <row r="34" spans="2:9" ht="12.75" customHeight="1">
      <c r="B34" s="14"/>
      <c r="C34" s="15"/>
      <c r="D34" s="15"/>
      <c r="E34" s="16">
        <v>821200</v>
      </c>
      <c r="F34" s="15" t="s">
        <v>99</v>
      </c>
      <c r="G34" s="123">
        <v>0</v>
      </c>
      <c r="H34" s="123">
        <v>0</v>
      </c>
      <c r="I34" s="159">
        <f t="shared" si="0"/>
      </c>
    </row>
    <row r="35" spans="2:9" ht="12.75" customHeight="1">
      <c r="B35" s="14"/>
      <c r="C35" s="15"/>
      <c r="D35" s="15"/>
      <c r="E35" s="16">
        <v>821300</v>
      </c>
      <c r="F35" s="15" t="s">
        <v>100</v>
      </c>
      <c r="G35" s="123">
        <v>1660</v>
      </c>
      <c r="H35" s="123">
        <v>1500</v>
      </c>
      <c r="I35" s="159">
        <f t="shared" si="0"/>
        <v>90.36144578313254</v>
      </c>
    </row>
    <row r="36" spans="2:9" s="1" customFormat="1" ht="12.75" customHeight="1">
      <c r="B36" s="14"/>
      <c r="C36" s="15"/>
      <c r="D36" s="15"/>
      <c r="E36" s="16"/>
      <c r="F36" s="15"/>
      <c r="G36" s="46"/>
      <c r="H36" s="46"/>
      <c r="I36" s="159"/>
    </row>
    <row r="37" spans="2:9" ht="12.75" customHeight="1">
      <c r="B37" s="14"/>
      <c r="C37" s="15"/>
      <c r="D37" s="15"/>
      <c r="E37" s="16"/>
      <c r="F37" s="15"/>
      <c r="G37" s="46"/>
      <c r="H37" s="46"/>
      <c r="I37" s="159"/>
    </row>
    <row r="38" spans="2:9" ht="12.75" customHeight="1">
      <c r="B38" s="17"/>
      <c r="C38" s="12"/>
      <c r="D38" s="12"/>
      <c r="E38" s="9"/>
      <c r="F38" s="12" t="s">
        <v>101</v>
      </c>
      <c r="G38" s="114">
        <v>8</v>
      </c>
      <c r="H38" s="114">
        <v>7</v>
      </c>
      <c r="I38" s="159"/>
    </row>
    <row r="39" spans="2:9" ht="12.75" customHeight="1">
      <c r="B39" s="17"/>
      <c r="C39" s="12"/>
      <c r="D39" s="12"/>
      <c r="E39" s="9"/>
      <c r="F39" s="12" t="s">
        <v>122</v>
      </c>
      <c r="G39" s="20">
        <f>G7+G13+G17+G30+G33</f>
        <v>843070</v>
      </c>
      <c r="H39" s="20">
        <f>H7+H13+H17+H30+H33</f>
        <v>824900</v>
      </c>
      <c r="I39" s="158">
        <f>IF(G39=0,"",H39/G39*100)</f>
        <v>97.84478157211144</v>
      </c>
    </row>
    <row r="40" spans="2:9" ht="12.75" customHeight="1">
      <c r="B40" s="17"/>
      <c r="C40" s="12"/>
      <c r="D40" s="12"/>
      <c r="E40" s="9"/>
      <c r="F40" s="12" t="s">
        <v>102</v>
      </c>
      <c r="G40" s="20">
        <f>G39</f>
        <v>843070</v>
      </c>
      <c r="H40" s="20">
        <f>H39</f>
        <v>824900</v>
      </c>
      <c r="I40" s="158">
        <f>IF(G40=0,"",H40/G40*100)</f>
        <v>97.84478157211144</v>
      </c>
    </row>
    <row r="41" spans="2:9" s="1" customFormat="1" ht="12.75" customHeight="1">
      <c r="B41" s="17"/>
      <c r="C41" s="12"/>
      <c r="D41" s="12"/>
      <c r="E41" s="9"/>
      <c r="F41" s="12" t="s">
        <v>103</v>
      </c>
      <c r="G41" s="20">
        <f>G40</f>
        <v>843070</v>
      </c>
      <c r="H41" s="20">
        <f>H40</f>
        <v>824900</v>
      </c>
      <c r="I41" s="158">
        <f>IF(G41=0,"",H41/G41*100)</f>
        <v>97.84478157211144</v>
      </c>
    </row>
    <row r="42" spans="2:9" s="1" customFormat="1" ht="12.75" customHeight="1" thickBot="1">
      <c r="B42" s="21"/>
      <c r="C42" s="22"/>
      <c r="D42" s="22"/>
      <c r="E42" s="23"/>
      <c r="F42" s="22"/>
      <c r="G42" s="50"/>
      <c r="H42" s="47"/>
      <c r="I42" s="162"/>
    </row>
    <row r="43" spans="2:9" s="1" customFormat="1" ht="12.75" customHeight="1">
      <c r="B43" s="13"/>
      <c r="C43" s="13"/>
      <c r="D43" s="13"/>
      <c r="E43" s="24"/>
      <c r="F43" s="86"/>
      <c r="G43" s="13"/>
      <c r="H43" s="95"/>
      <c r="I43" s="146"/>
    </row>
    <row r="44" spans="2:9" s="1" customFormat="1" ht="12.75" customHeight="1">
      <c r="B44" s="86"/>
      <c r="C44" s="13"/>
      <c r="D44" s="13"/>
      <c r="E44" s="24"/>
      <c r="F44" s="13"/>
      <c r="G44" s="13"/>
      <c r="H44" s="95"/>
      <c r="I44" s="146"/>
    </row>
    <row r="45" ht="12.75" customHeight="1">
      <c r="B45" s="86"/>
    </row>
    <row r="46" ht="12.75">
      <c r="B46" s="86"/>
    </row>
    <row r="47" ht="12.75">
      <c r="B47" s="86"/>
    </row>
  </sheetData>
  <sheetProtection/>
  <mergeCells count="2">
    <mergeCell ref="B2:G2"/>
    <mergeCell ref="F3:G3"/>
  </mergeCells>
  <printOptions/>
  <pageMargins left="0.38" right="0.1968503937007874" top="0.5905511811023623" bottom="0.52" header="0.5118110236220472" footer="0.5118110236220472"/>
  <pageSetup horizontalDpi="180" verticalDpi="180" orientation="portrait" paperSize="9" scale="88" r:id="rId1"/>
  <headerFooter alignWithMargins="0">
    <oddFooter>&amp;R23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2:K5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9" ht="15" customHeight="1">
      <c r="B2" s="439" t="s">
        <v>147</v>
      </c>
      <c r="C2" s="439"/>
      <c r="D2" s="439"/>
      <c r="E2" s="439"/>
      <c r="F2" s="439"/>
      <c r="G2" s="439"/>
      <c r="H2" s="439"/>
      <c r="I2" s="153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146</v>
      </c>
      <c r="C6" s="11" t="s">
        <v>89</v>
      </c>
      <c r="D6" s="11" t="s">
        <v>90</v>
      </c>
      <c r="E6" s="9"/>
      <c r="F6" s="9"/>
      <c r="G6" s="35"/>
      <c r="H6" s="9"/>
      <c r="I6" s="157"/>
    </row>
    <row r="7" spans="2:9" s="2" customFormat="1" ht="12.75" customHeight="1">
      <c r="B7" s="10"/>
      <c r="C7" s="11"/>
      <c r="D7" s="11"/>
      <c r="E7" s="9">
        <v>600000</v>
      </c>
      <c r="F7" s="27" t="s">
        <v>131</v>
      </c>
      <c r="G7" s="25">
        <f>G8</f>
        <v>0</v>
      </c>
      <c r="H7" s="25">
        <f>H8</f>
        <v>15000</v>
      </c>
      <c r="I7" s="158">
        <f aca="true" t="shared" si="0" ref="I7:I49">IF(G7=0,"",H7/G7*100)</f>
      </c>
    </row>
    <row r="8" spans="2:9" s="2" customFormat="1" ht="12.75" customHeight="1">
      <c r="B8" s="10"/>
      <c r="C8" s="11"/>
      <c r="D8" s="11"/>
      <c r="E8" s="59">
        <v>600000</v>
      </c>
      <c r="F8" s="60" t="s">
        <v>118</v>
      </c>
      <c r="G8" s="87">
        <v>0</v>
      </c>
      <c r="H8" s="87">
        <v>15000</v>
      </c>
      <c r="I8" s="159">
        <f t="shared" si="0"/>
      </c>
    </row>
    <row r="9" spans="2:9" s="2" customFormat="1" ht="12.75" customHeight="1">
      <c r="B9" s="10"/>
      <c r="C9" s="11"/>
      <c r="D9" s="11"/>
      <c r="E9" s="9"/>
      <c r="F9" s="9"/>
      <c r="G9" s="87"/>
      <c r="H9" s="87"/>
      <c r="I9" s="159">
        <f t="shared" si="0"/>
      </c>
    </row>
    <row r="10" spans="2:9" s="1" customFormat="1" ht="12.75" customHeight="1">
      <c r="B10" s="17"/>
      <c r="C10" s="12"/>
      <c r="D10" s="12"/>
      <c r="E10" s="9">
        <v>611000</v>
      </c>
      <c r="F10" s="12" t="s">
        <v>174</v>
      </c>
      <c r="G10" s="20">
        <f>SUM(G11:G14)</f>
        <v>299770</v>
      </c>
      <c r="H10" s="20">
        <f>SUM(H11:H14)</f>
        <v>342080</v>
      </c>
      <c r="I10" s="158">
        <f t="shared" si="0"/>
        <v>114.11415418487508</v>
      </c>
    </row>
    <row r="11" spans="2:9" ht="12.75" customHeight="1">
      <c r="B11" s="14"/>
      <c r="C11" s="15"/>
      <c r="D11" s="15"/>
      <c r="E11" s="16">
        <v>611100</v>
      </c>
      <c r="F11" s="26" t="s">
        <v>218</v>
      </c>
      <c r="G11" s="46">
        <v>240000</v>
      </c>
      <c r="H11" s="46">
        <f>253600+2000+11680</f>
        <v>267280</v>
      </c>
      <c r="I11" s="159">
        <f t="shared" si="0"/>
        <v>111.36666666666666</v>
      </c>
    </row>
    <row r="12" spans="2:9" ht="12.75" customHeight="1">
      <c r="B12" s="14"/>
      <c r="C12" s="15"/>
      <c r="D12" s="15"/>
      <c r="E12" s="16">
        <v>611200</v>
      </c>
      <c r="F12" s="15" t="s">
        <v>219</v>
      </c>
      <c r="G12" s="87">
        <v>50200</v>
      </c>
      <c r="H12" s="87">
        <f>55400+4000+2300</f>
        <v>61700</v>
      </c>
      <c r="I12" s="159">
        <f t="shared" si="0"/>
        <v>122.90836653386454</v>
      </c>
    </row>
    <row r="13" spans="2:11" ht="12.75" customHeight="1">
      <c r="B13" s="14"/>
      <c r="C13" s="15"/>
      <c r="D13" s="15"/>
      <c r="E13" s="16">
        <v>611200</v>
      </c>
      <c r="F13" s="26" t="s">
        <v>751</v>
      </c>
      <c r="G13" s="87">
        <v>9570</v>
      </c>
      <c r="H13" s="87">
        <v>13100</v>
      </c>
      <c r="I13" s="159">
        <f t="shared" si="0"/>
        <v>136.88610240334378</v>
      </c>
      <c r="K13" s="94"/>
    </row>
    <row r="14" spans="2:9" ht="12.75" customHeight="1">
      <c r="B14" s="14"/>
      <c r="C14" s="15"/>
      <c r="D14" s="15"/>
      <c r="E14" s="16"/>
      <c r="F14" s="26"/>
      <c r="G14" s="45"/>
      <c r="H14" s="45"/>
      <c r="I14" s="159">
        <f t="shared" si="0"/>
      </c>
    </row>
    <row r="15" spans="2:9" ht="12.75" customHeight="1">
      <c r="B15" s="14"/>
      <c r="C15" s="15"/>
      <c r="D15" s="15"/>
      <c r="E15" s="16"/>
      <c r="F15" s="15"/>
      <c r="G15" s="45"/>
      <c r="H15" s="45"/>
      <c r="I15" s="159">
        <f t="shared" si="0"/>
      </c>
    </row>
    <row r="16" spans="2:9" s="1" customFormat="1" ht="12.75" customHeight="1">
      <c r="B16" s="17"/>
      <c r="C16" s="12"/>
      <c r="D16" s="12"/>
      <c r="E16" s="9">
        <v>612000</v>
      </c>
      <c r="F16" s="12" t="s">
        <v>173</v>
      </c>
      <c r="G16" s="20">
        <f>G17+G18</f>
        <v>26300</v>
      </c>
      <c r="H16" s="20">
        <f>H17+H18</f>
        <v>28540</v>
      </c>
      <c r="I16" s="158">
        <f t="shared" si="0"/>
        <v>108.51711026615969</v>
      </c>
    </row>
    <row r="17" spans="2:9" ht="12.75" customHeight="1">
      <c r="B17" s="14"/>
      <c r="C17" s="15"/>
      <c r="D17" s="15"/>
      <c r="E17" s="16">
        <v>612100</v>
      </c>
      <c r="F17" s="18" t="s">
        <v>91</v>
      </c>
      <c r="G17" s="45">
        <v>26300</v>
      </c>
      <c r="H17" s="45">
        <f>27100+210+1230</f>
        <v>28540</v>
      </c>
      <c r="I17" s="159">
        <f t="shared" si="0"/>
        <v>108.51711026615969</v>
      </c>
    </row>
    <row r="18" spans="2:9" ht="12.75" customHeight="1">
      <c r="B18" s="14"/>
      <c r="C18" s="15"/>
      <c r="D18" s="15"/>
      <c r="E18" s="16"/>
      <c r="F18" s="15"/>
      <c r="G18" s="45"/>
      <c r="H18" s="45"/>
      <c r="I18" s="159">
        <f t="shared" si="0"/>
      </c>
    </row>
    <row r="19" spans="2:9" ht="12.75" customHeight="1">
      <c r="B19" s="14"/>
      <c r="C19" s="15"/>
      <c r="D19" s="15"/>
      <c r="E19" s="16"/>
      <c r="F19" s="15"/>
      <c r="G19" s="45"/>
      <c r="H19" s="45"/>
      <c r="I19" s="159">
        <f t="shared" si="0"/>
      </c>
    </row>
    <row r="20" spans="2:9" s="1" customFormat="1" ht="12.75" customHeight="1">
      <c r="B20" s="17"/>
      <c r="C20" s="12"/>
      <c r="D20" s="12"/>
      <c r="E20" s="9">
        <v>613000</v>
      </c>
      <c r="F20" s="12" t="s">
        <v>175</v>
      </c>
      <c r="G20" s="51">
        <f>SUM(G21:G31)</f>
        <v>126800</v>
      </c>
      <c r="H20" s="51">
        <f>SUM(H21:H31)</f>
        <v>128500</v>
      </c>
      <c r="I20" s="158">
        <f t="shared" si="0"/>
        <v>101.34069400630914</v>
      </c>
    </row>
    <row r="21" spans="2:9" ht="12.75" customHeight="1">
      <c r="B21" s="14"/>
      <c r="C21" s="15"/>
      <c r="D21" s="15"/>
      <c r="E21" s="16">
        <v>613100</v>
      </c>
      <c r="F21" s="15" t="s">
        <v>92</v>
      </c>
      <c r="G21" s="45">
        <v>3500</v>
      </c>
      <c r="H21" s="45">
        <v>3500</v>
      </c>
      <c r="I21" s="159">
        <f t="shared" si="0"/>
        <v>100</v>
      </c>
    </row>
    <row r="22" spans="2:9" ht="12.75" customHeight="1">
      <c r="B22" s="14"/>
      <c r="C22" s="15"/>
      <c r="D22" s="15"/>
      <c r="E22" s="16">
        <v>613200</v>
      </c>
      <c r="F22" s="15" t="s">
        <v>93</v>
      </c>
      <c r="G22" s="45">
        <v>0</v>
      </c>
      <c r="H22" s="45">
        <v>0</v>
      </c>
      <c r="I22" s="159">
        <f t="shared" si="0"/>
      </c>
    </row>
    <row r="23" spans="2:9" ht="12.75" customHeight="1">
      <c r="B23" s="14"/>
      <c r="C23" s="15"/>
      <c r="D23" s="15"/>
      <c r="E23" s="16">
        <v>613300</v>
      </c>
      <c r="F23" s="26" t="s">
        <v>220</v>
      </c>
      <c r="G23" s="45">
        <v>4500</v>
      </c>
      <c r="H23" s="45">
        <v>4500</v>
      </c>
      <c r="I23" s="159">
        <f t="shared" si="0"/>
        <v>100</v>
      </c>
    </row>
    <row r="24" spans="2:9" ht="12.75" customHeight="1">
      <c r="B24" s="14"/>
      <c r="C24" s="15"/>
      <c r="D24" s="15"/>
      <c r="E24" s="16">
        <v>613400</v>
      </c>
      <c r="F24" s="15" t="s">
        <v>176</v>
      </c>
      <c r="G24" s="45">
        <v>4000</v>
      </c>
      <c r="H24" s="45">
        <v>3500</v>
      </c>
      <c r="I24" s="159">
        <f t="shared" si="0"/>
        <v>87.5</v>
      </c>
    </row>
    <row r="25" spans="2:9" ht="12.75" customHeight="1">
      <c r="B25" s="14"/>
      <c r="C25" s="15"/>
      <c r="D25" s="15"/>
      <c r="E25" s="16">
        <v>613500</v>
      </c>
      <c r="F25" s="15" t="s">
        <v>94</v>
      </c>
      <c r="G25" s="87">
        <v>900</v>
      </c>
      <c r="H25" s="87">
        <v>0</v>
      </c>
      <c r="I25" s="159">
        <f t="shared" si="0"/>
        <v>0</v>
      </c>
    </row>
    <row r="26" spans="2:9" ht="12.75" customHeight="1">
      <c r="B26" s="14"/>
      <c r="C26" s="15"/>
      <c r="D26" s="15"/>
      <c r="E26" s="16">
        <v>613600</v>
      </c>
      <c r="F26" s="26" t="s">
        <v>221</v>
      </c>
      <c r="G26" s="87">
        <v>0</v>
      </c>
      <c r="H26" s="87">
        <v>0</v>
      </c>
      <c r="I26" s="159">
        <f t="shared" si="0"/>
      </c>
    </row>
    <row r="27" spans="2:9" ht="12.75" customHeight="1">
      <c r="B27" s="14"/>
      <c r="C27" s="15"/>
      <c r="D27" s="15"/>
      <c r="E27" s="16">
        <v>613700</v>
      </c>
      <c r="F27" s="15" t="s">
        <v>95</v>
      </c>
      <c r="G27" s="123">
        <v>3400</v>
      </c>
      <c r="H27" s="123">
        <v>3500</v>
      </c>
      <c r="I27" s="159">
        <f t="shared" si="0"/>
        <v>102.94117647058823</v>
      </c>
    </row>
    <row r="28" spans="2:9" ht="12.75" customHeight="1">
      <c r="B28" s="14"/>
      <c r="C28" s="15"/>
      <c r="D28" s="15"/>
      <c r="E28" s="16">
        <v>613800</v>
      </c>
      <c r="F28" s="15" t="s">
        <v>177</v>
      </c>
      <c r="G28" s="87">
        <v>8500</v>
      </c>
      <c r="H28" s="87">
        <v>8500</v>
      </c>
      <c r="I28" s="159">
        <f t="shared" si="0"/>
        <v>100</v>
      </c>
    </row>
    <row r="29" spans="2:9" ht="12.75" customHeight="1">
      <c r="B29" s="14"/>
      <c r="C29" s="15"/>
      <c r="D29" s="15"/>
      <c r="E29" s="16">
        <v>613900</v>
      </c>
      <c r="F29" s="15" t="s">
        <v>178</v>
      </c>
      <c r="G29" s="172">
        <v>17000</v>
      </c>
      <c r="H29" s="172">
        <v>15000</v>
      </c>
      <c r="I29" s="159">
        <f t="shared" si="0"/>
        <v>88.23529411764706</v>
      </c>
    </row>
    <row r="30" spans="2:9" ht="12.75" customHeight="1">
      <c r="B30" s="14"/>
      <c r="C30" s="15"/>
      <c r="D30" s="15"/>
      <c r="E30" s="66">
        <v>613900</v>
      </c>
      <c r="F30" s="26" t="s">
        <v>192</v>
      </c>
      <c r="G30" s="87">
        <v>75300</v>
      </c>
      <c r="H30" s="87">
        <v>73500</v>
      </c>
      <c r="I30" s="159">
        <f t="shared" si="0"/>
        <v>97.60956175298804</v>
      </c>
    </row>
    <row r="31" spans="2:9" ht="12.75" customHeight="1">
      <c r="B31" s="14"/>
      <c r="C31" s="15"/>
      <c r="D31" s="15"/>
      <c r="E31" s="16">
        <v>613900</v>
      </c>
      <c r="F31" s="26" t="s">
        <v>752</v>
      </c>
      <c r="G31" s="87">
        <v>9700</v>
      </c>
      <c r="H31" s="87">
        <v>16500</v>
      </c>
      <c r="I31" s="159">
        <f t="shared" si="0"/>
        <v>170.10309278350516</v>
      </c>
    </row>
    <row r="32" spans="2:9" ht="12.75" customHeight="1">
      <c r="B32" s="14"/>
      <c r="C32" s="15"/>
      <c r="D32" s="15"/>
      <c r="E32" s="66"/>
      <c r="F32" s="15"/>
      <c r="G32" s="87"/>
      <c r="H32" s="87"/>
      <c r="I32" s="159">
        <f t="shared" si="0"/>
      </c>
    </row>
    <row r="33" spans="2:9" s="1" customFormat="1" ht="12.75" customHeight="1">
      <c r="B33" s="17"/>
      <c r="C33" s="12"/>
      <c r="D33" s="32"/>
      <c r="E33" s="9">
        <v>614000</v>
      </c>
      <c r="F33" s="12" t="s">
        <v>222</v>
      </c>
      <c r="G33" s="114">
        <f>SUM(G34:G36)</f>
        <v>416500</v>
      </c>
      <c r="H33" s="114">
        <f>SUM(H34:H36)</f>
        <v>676000</v>
      </c>
      <c r="I33" s="158">
        <f t="shared" si="0"/>
        <v>162.3049219687875</v>
      </c>
    </row>
    <row r="34" spans="2:11" ht="12.75" customHeight="1">
      <c r="B34" s="14"/>
      <c r="C34" s="15"/>
      <c r="D34" s="31"/>
      <c r="E34" s="16">
        <v>614100</v>
      </c>
      <c r="F34" s="61" t="s">
        <v>353</v>
      </c>
      <c r="G34" s="87">
        <v>350000</v>
      </c>
      <c r="H34" s="87">
        <v>300000</v>
      </c>
      <c r="I34" s="159">
        <f t="shared" si="0"/>
        <v>85.71428571428571</v>
      </c>
      <c r="J34" s="113"/>
      <c r="K34" s="86"/>
    </row>
    <row r="35" spans="2:10" ht="12.75" customHeight="1">
      <c r="B35" s="14"/>
      <c r="C35" s="15"/>
      <c r="D35" s="31"/>
      <c r="E35" s="64">
        <v>614800</v>
      </c>
      <c r="F35" s="61" t="s">
        <v>120</v>
      </c>
      <c r="G35" s="87">
        <v>66500</v>
      </c>
      <c r="H35" s="87">
        <v>50000</v>
      </c>
      <c r="I35" s="159">
        <f t="shared" si="0"/>
        <v>75.18796992481202</v>
      </c>
      <c r="J35" s="86"/>
    </row>
    <row r="36" spans="2:10" ht="12.75" customHeight="1">
      <c r="B36" s="14"/>
      <c r="C36" s="15"/>
      <c r="D36" s="31"/>
      <c r="E36" s="64">
        <v>614800</v>
      </c>
      <c r="F36" s="61" t="s">
        <v>767</v>
      </c>
      <c r="G36" s="87">
        <v>0</v>
      </c>
      <c r="H36" s="87">
        <f>256000+70000</f>
        <v>326000</v>
      </c>
      <c r="I36" s="159">
        <f>IF(G36=0,"",H36/G36*100)</f>
      </c>
      <c r="J36" s="86"/>
    </row>
    <row r="37" spans="2:9" ht="12.75" customHeight="1">
      <c r="B37" s="14"/>
      <c r="C37" s="15"/>
      <c r="D37" s="31"/>
      <c r="E37" s="108"/>
      <c r="F37" s="61"/>
      <c r="G37" s="87"/>
      <c r="H37" s="87"/>
      <c r="I37" s="159">
        <f t="shared" si="0"/>
      </c>
    </row>
    <row r="38" spans="2:9" ht="12.75" customHeight="1">
      <c r="B38" s="14"/>
      <c r="C38" s="15"/>
      <c r="D38" s="15"/>
      <c r="E38" s="102">
        <v>616000</v>
      </c>
      <c r="F38" s="34" t="s">
        <v>225</v>
      </c>
      <c r="G38" s="173">
        <f>SUM(G39:G41)</f>
        <v>101960</v>
      </c>
      <c r="H38" s="173">
        <f>SUM(H39:H41)</f>
        <v>95300</v>
      </c>
      <c r="I38" s="158">
        <f t="shared" si="0"/>
        <v>93.4680266771283</v>
      </c>
    </row>
    <row r="39" spans="2:11" ht="12.75" customHeight="1">
      <c r="B39" s="14"/>
      <c r="C39" s="15"/>
      <c r="D39" s="15"/>
      <c r="E39" s="81">
        <v>616300</v>
      </c>
      <c r="F39" s="69" t="s">
        <v>349</v>
      </c>
      <c r="G39" s="87">
        <v>34100</v>
      </c>
      <c r="H39" s="87">
        <v>25500</v>
      </c>
      <c r="I39" s="159">
        <f t="shared" si="0"/>
        <v>74.7800586510264</v>
      </c>
      <c r="K39" s="95"/>
    </row>
    <row r="40" spans="2:9" ht="12.75" customHeight="1">
      <c r="B40" s="14"/>
      <c r="C40" s="15"/>
      <c r="D40" s="15"/>
      <c r="E40" s="81">
        <v>616300</v>
      </c>
      <c r="F40" s="69" t="s">
        <v>233</v>
      </c>
      <c r="G40" s="87">
        <v>23800</v>
      </c>
      <c r="H40" s="87">
        <v>25700</v>
      </c>
      <c r="I40" s="159">
        <f t="shared" si="0"/>
        <v>107.98319327731092</v>
      </c>
    </row>
    <row r="41" spans="2:9" ht="12.75" customHeight="1">
      <c r="B41" s="14"/>
      <c r="C41" s="15"/>
      <c r="D41" s="15"/>
      <c r="E41" s="81">
        <v>616300</v>
      </c>
      <c r="F41" s="69" t="s">
        <v>238</v>
      </c>
      <c r="G41" s="87">
        <v>44060</v>
      </c>
      <c r="H41" s="87">
        <v>44100</v>
      </c>
      <c r="I41" s="159">
        <f t="shared" si="0"/>
        <v>100.09078529278257</v>
      </c>
    </row>
    <row r="42" spans="2:9" ht="12.75" customHeight="1">
      <c r="B42" s="14"/>
      <c r="C42" s="15"/>
      <c r="D42" s="15"/>
      <c r="E42" s="16"/>
      <c r="F42" s="15"/>
      <c r="G42" s="114"/>
      <c r="H42" s="114"/>
      <c r="I42" s="159">
        <f t="shared" si="0"/>
      </c>
    </row>
    <row r="43" spans="2:9" ht="12.75" customHeight="1">
      <c r="B43" s="17"/>
      <c r="C43" s="12"/>
      <c r="D43" s="12"/>
      <c r="E43" s="9">
        <v>821000</v>
      </c>
      <c r="F43" s="12" t="s">
        <v>98</v>
      </c>
      <c r="G43" s="114">
        <f>SUM(G44:G45)</f>
        <v>4500</v>
      </c>
      <c r="H43" s="114">
        <f>SUM(H44:H45)</f>
        <v>2500</v>
      </c>
      <c r="I43" s="158">
        <f t="shared" si="0"/>
        <v>55.55555555555556</v>
      </c>
    </row>
    <row r="44" spans="2:9" ht="12.75" customHeight="1">
      <c r="B44" s="14"/>
      <c r="C44" s="15"/>
      <c r="D44" s="15"/>
      <c r="E44" s="16">
        <v>821200</v>
      </c>
      <c r="F44" s="15" t="s">
        <v>99</v>
      </c>
      <c r="G44" s="123">
        <v>0</v>
      </c>
      <c r="H44" s="123">
        <v>0</v>
      </c>
      <c r="I44" s="159">
        <f t="shared" si="0"/>
      </c>
    </row>
    <row r="45" spans="2:9" s="1" customFormat="1" ht="12.75" customHeight="1">
      <c r="B45" s="14"/>
      <c r="C45" s="15"/>
      <c r="D45" s="15"/>
      <c r="E45" s="16">
        <v>821300</v>
      </c>
      <c r="F45" s="15" t="s">
        <v>100</v>
      </c>
      <c r="G45" s="123">
        <v>4500</v>
      </c>
      <c r="H45" s="123">
        <v>2500</v>
      </c>
      <c r="I45" s="159">
        <f t="shared" si="0"/>
        <v>55.55555555555556</v>
      </c>
    </row>
    <row r="46" spans="2:9" ht="12.75" customHeight="1">
      <c r="B46" s="14"/>
      <c r="C46" s="15"/>
      <c r="D46" s="15"/>
      <c r="E46" s="16"/>
      <c r="F46" s="15"/>
      <c r="G46" s="87"/>
      <c r="H46" s="87"/>
      <c r="I46" s="159">
        <f t="shared" si="0"/>
      </c>
    </row>
    <row r="47" spans="2:9" ht="12.75" customHeight="1">
      <c r="B47" s="17"/>
      <c r="C47" s="12"/>
      <c r="D47" s="12"/>
      <c r="E47" s="9">
        <v>823000</v>
      </c>
      <c r="F47" s="12" t="s">
        <v>234</v>
      </c>
      <c r="G47" s="114">
        <f>SUM(G48:G49)</f>
        <v>1871110</v>
      </c>
      <c r="H47" s="114">
        <f>SUM(H48:H49)</f>
        <v>1384650</v>
      </c>
      <c r="I47" s="158">
        <f t="shared" si="0"/>
        <v>74.0015285044706</v>
      </c>
    </row>
    <row r="48" spans="2:9" ht="12.75" customHeight="1">
      <c r="B48" s="14"/>
      <c r="C48" s="15"/>
      <c r="D48" s="15"/>
      <c r="E48" s="16">
        <v>823300</v>
      </c>
      <c r="F48" s="26" t="s">
        <v>340</v>
      </c>
      <c r="G48" s="123">
        <v>1730770</v>
      </c>
      <c r="H48" s="123">
        <v>1384650</v>
      </c>
      <c r="I48" s="159">
        <f t="shared" si="0"/>
        <v>80.00196444357137</v>
      </c>
    </row>
    <row r="49" spans="2:9" ht="12.75" customHeight="1">
      <c r="B49" s="14"/>
      <c r="C49" s="15"/>
      <c r="D49" s="15"/>
      <c r="E49" s="16">
        <v>823300</v>
      </c>
      <c r="F49" s="26" t="s">
        <v>341</v>
      </c>
      <c r="G49" s="87">
        <v>140340</v>
      </c>
      <c r="H49" s="87">
        <v>0</v>
      </c>
      <c r="I49" s="159">
        <f t="shared" si="0"/>
        <v>0</v>
      </c>
    </row>
    <row r="50" spans="2:9" ht="12.75" customHeight="1">
      <c r="B50" s="14"/>
      <c r="C50" s="15"/>
      <c r="D50" s="15"/>
      <c r="E50" s="16"/>
      <c r="F50" s="15"/>
      <c r="G50" s="15"/>
      <c r="H50" s="15"/>
      <c r="I50" s="159"/>
    </row>
    <row r="51" spans="2:9" ht="12.75" customHeight="1">
      <c r="B51" s="17"/>
      <c r="C51" s="12"/>
      <c r="D51" s="12"/>
      <c r="E51" s="9"/>
      <c r="F51" s="12" t="s">
        <v>101</v>
      </c>
      <c r="G51" s="12">
        <v>13</v>
      </c>
      <c r="H51" s="12">
        <v>14</v>
      </c>
      <c r="I51" s="159"/>
    </row>
    <row r="52" spans="2:9" ht="12.75" customHeight="1">
      <c r="B52" s="17"/>
      <c r="C52" s="12"/>
      <c r="D52" s="12"/>
      <c r="E52" s="9"/>
      <c r="F52" s="12" t="s">
        <v>122</v>
      </c>
      <c r="G52" s="20">
        <f>G7+G10+G16+G20+G33+G38+G43+G47</f>
        <v>2846940</v>
      </c>
      <c r="H52" s="20">
        <f>H7+H10+H16+H20+H33+H38+H43+H47</f>
        <v>2672570</v>
      </c>
      <c r="I52" s="158">
        <f>IF(G52=0,"",H52/G52*100)</f>
        <v>93.87517826157207</v>
      </c>
    </row>
    <row r="53" spans="2:9" s="1" customFormat="1" ht="12.75" customHeight="1">
      <c r="B53" s="17"/>
      <c r="C53" s="12"/>
      <c r="D53" s="12"/>
      <c r="E53" s="9"/>
      <c r="F53" s="12" t="s">
        <v>102</v>
      </c>
      <c r="G53" s="20">
        <f>G52</f>
        <v>2846940</v>
      </c>
      <c r="H53" s="20">
        <f>H52</f>
        <v>2672570</v>
      </c>
      <c r="I53" s="158">
        <f>IF(G53=0,"",H53/G53*100)</f>
        <v>93.87517826157207</v>
      </c>
    </row>
    <row r="54" spans="2:9" s="1" customFormat="1" ht="12.75" customHeight="1">
      <c r="B54" s="17"/>
      <c r="C54" s="12"/>
      <c r="D54" s="12"/>
      <c r="E54" s="9"/>
      <c r="F54" s="12" t="s">
        <v>103</v>
      </c>
      <c r="G54" s="20">
        <f>G53</f>
        <v>2846940</v>
      </c>
      <c r="H54" s="20">
        <f>H53</f>
        <v>2672570</v>
      </c>
      <c r="I54" s="158">
        <f>IF(G54=0,"",H54/G54*100)</f>
        <v>93.87517826157207</v>
      </c>
    </row>
    <row r="55" spans="2:9" s="1" customFormat="1" ht="12.75" customHeight="1" thickBot="1">
      <c r="B55" s="21"/>
      <c r="C55" s="22"/>
      <c r="D55" s="22"/>
      <c r="E55" s="23"/>
      <c r="F55" s="22"/>
      <c r="G55" s="50"/>
      <c r="H55" s="22"/>
      <c r="I55" s="162"/>
    </row>
    <row r="56" spans="2:9" s="1" customFormat="1" ht="12.75" customHeight="1">
      <c r="B56" s="13"/>
      <c r="C56" s="13"/>
      <c r="D56" s="13"/>
      <c r="E56" s="24"/>
      <c r="F56" s="13"/>
      <c r="G56" s="13"/>
      <c r="H56" s="13"/>
      <c r="I56" s="146"/>
    </row>
    <row r="57" ht="12.75" customHeight="1"/>
  </sheetData>
  <sheetProtection/>
  <mergeCells count="2">
    <mergeCell ref="B2:H2"/>
    <mergeCell ref="F3:G3"/>
  </mergeCells>
  <printOptions/>
  <pageMargins left="0.2755905511811024" right="0.2755905511811024" top="0.5905511811023623" bottom="0.57" header="0.5118110236220472" footer="0.5118110236220472"/>
  <pageSetup fitToHeight="1" fitToWidth="1" horizontalDpi="180" verticalDpi="180" orientation="portrait" paperSize="9" scale="88" r:id="rId1"/>
  <headerFooter alignWithMargins="0">
    <oddFooter>&amp;R24</oddFooter>
  </headerFooter>
  <colBreaks count="1" manualBreakCount="1">
    <brk id="9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/>
  <dimension ref="B2:K52"/>
  <sheetViews>
    <sheetView zoomScaleSheetLayoutView="130" zoomScalePageLayoutView="0" workbookViewId="0" topLeftCell="A1">
      <selection activeCell="H11" sqref="H1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9" ht="15" customHeight="1">
      <c r="B2" s="439" t="s">
        <v>148</v>
      </c>
      <c r="C2" s="439"/>
      <c r="D2" s="439"/>
      <c r="E2" s="439"/>
      <c r="F2" s="439"/>
      <c r="G2" s="439"/>
      <c r="H2" s="439"/>
      <c r="I2" s="152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149</v>
      </c>
      <c r="C6" s="11" t="s">
        <v>89</v>
      </c>
      <c r="D6" s="11" t="s">
        <v>90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196700</v>
      </c>
      <c r="H7" s="20">
        <f>SUM(H8:H11)</f>
        <v>245500</v>
      </c>
      <c r="I7" s="158">
        <f aca="true" t="shared" si="0" ref="I7:I38">IF(G7=0,"",H7/G7*100)</f>
        <v>124.8093543467209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87">
        <v>159800</v>
      </c>
      <c r="H8" s="87">
        <f>146200+15600</f>
        <v>161800</v>
      </c>
      <c r="I8" s="159">
        <f t="shared" si="0"/>
        <v>101.25156445556946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87">
        <v>30400</v>
      </c>
      <c r="H9" s="87">
        <f>34500+2600</f>
        <v>37100</v>
      </c>
      <c r="I9" s="159">
        <f t="shared" si="0"/>
        <v>122.03947368421053</v>
      </c>
    </row>
    <row r="10" spans="2:11" ht="12.75" customHeight="1">
      <c r="B10" s="14"/>
      <c r="C10" s="15"/>
      <c r="D10" s="15"/>
      <c r="E10" s="16">
        <v>611200</v>
      </c>
      <c r="F10" s="26" t="s">
        <v>772</v>
      </c>
      <c r="G10" s="87">
        <v>6500</v>
      </c>
      <c r="H10" s="87">
        <v>46600</v>
      </c>
      <c r="I10" s="159">
        <f t="shared" si="0"/>
        <v>716.9230769230769</v>
      </c>
      <c r="K10" s="94"/>
    </row>
    <row r="11" spans="2:9" ht="12.75" customHeight="1">
      <c r="B11" s="14"/>
      <c r="C11" s="15"/>
      <c r="D11" s="15"/>
      <c r="E11" s="16"/>
      <c r="F11" s="26"/>
      <c r="G11" s="45"/>
      <c r="H11" s="45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16900</v>
      </c>
      <c r="H13" s="20">
        <f>H14+H15</f>
        <v>17500</v>
      </c>
      <c r="I13" s="158">
        <f t="shared" si="0"/>
        <v>103.55029585798816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87">
        <v>16900</v>
      </c>
      <c r="H14" s="87">
        <f>15800+1700</f>
        <v>17500</v>
      </c>
      <c r="I14" s="159">
        <f t="shared" si="0"/>
        <v>103.55029585798816</v>
      </c>
    </row>
    <row r="15" spans="2:9" ht="12.75" customHeight="1">
      <c r="B15" s="14"/>
      <c r="C15" s="15"/>
      <c r="D15" s="15"/>
      <c r="E15" s="16"/>
      <c r="F15" s="15"/>
      <c r="G15" s="45"/>
      <c r="H15" s="45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51"/>
      <c r="H16" s="51"/>
      <c r="I16" s="159">
        <f t="shared" si="0"/>
      </c>
    </row>
    <row r="17" spans="2:11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70200</v>
      </c>
      <c r="H17" s="51">
        <f>SUM(H18:H27)</f>
        <v>115700</v>
      </c>
      <c r="I17" s="158">
        <f t="shared" si="0"/>
        <v>164.8148148148148</v>
      </c>
      <c r="K17" s="96"/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5">
        <v>3000</v>
      </c>
      <c r="H18" s="45">
        <v>3000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5">
        <v>0</v>
      </c>
      <c r="H19" s="45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5">
        <v>15000</v>
      </c>
      <c r="H20" s="45">
        <v>15000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87">
        <v>600</v>
      </c>
      <c r="H21" s="87">
        <v>600</v>
      </c>
      <c r="I21" s="159">
        <f t="shared" si="0"/>
        <v>100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87">
        <v>1200</v>
      </c>
      <c r="H22" s="87">
        <v>0</v>
      </c>
      <c r="I22" s="159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87">
        <v>0</v>
      </c>
      <c r="H23" s="87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87">
        <v>1000</v>
      </c>
      <c r="H24" s="87">
        <v>1000</v>
      </c>
      <c r="I24" s="159">
        <f t="shared" si="0"/>
        <v>100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87">
        <v>400</v>
      </c>
      <c r="H25" s="87">
        <v>0</v>
      </c>
      <c r="I25" s="159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123">
        <v>41700</v>
      </c>
      <c r="H26" s="123">
        <v>40000</v>
      </c>
      <c r="I26" s="159">
        <f t="shared" si="0"/>
        <v>95.92326139088729</v>
      </c>
    </row>
    <row r="27" spans="2:9" ht="12.75" customHeight="1">
      <c r="B27" s="14"/>
      <c r="C27" s="15"/>
      <c r="D27" s="15"/>
      <c r="E27" s="16">
        <v>613900</v>
      </c>
      <c r="F27" s="26" t="s">
        <v>773</v>
      </c>
      <c r="G27" s="87">
        <v>7300</v>
      </c>
      <c r="H27" s="87">
        <v>56100</v>
      </c>
      <c r="I27" s="159">
        <f t="shared" si="0"/>
        <v>768.4931506849315</v>
      </c>
    </row>
    <row r="28" spans="2:9" ht="12.75" customHeight="1">
      <c r="B28" s="14"/>
      <c r="C28" s="15"/>
      <c r="D28" s="15"/>
      <c r="E28" s="16"/>
      <c r="F28" s="15"/>
      <c r="G28" s="114"/>
      <c r="H28" s="114"/>
      <c r="I28" s="159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222</v>
      </c>
      <c r="G29" s="114">
        <f>G30+G31</f>
        <v>1730000</v>
      </c>
      <c r="H29" s="114">
        <f>H30+H31</f>
        <v>2380000</v>
      </c>
      <c r="I29" s="158">
        <f t="shared" si="0"/>
        <v>137.5722543352601</v>
      </c>
    </row>
    <row r="30" spans="2:9" ht="12.75" customHeight="1">
      <c r="B30" s="14"/>
      <c r="C30" s="15"/>
      <c r="D30" s="31"/>
      <c r="E30" s="16">
        <v>614100</v>
      </c>
      <c r="F30" s="26" t="s">
        <v>236</v>
      </c>
      <c r="G30" s="123">
        <v>150000</v>
      </c>
      <c r="H30" s="123">
        <v>300000</v>
      </c>
      <c r="I30" s="159">
        <f t="shared" si="0"/>
        <v>200</v>
      </c>
    </row>
    <row r="31" spans="2:9" ht="12.75" customHeight="1">
      <c r="B31" s="14"/>
      <c r="C31" s="15"/>
      <c r="D31" s="15"/>
      <c r="E31" s="16">
        <v>614200</v>
      </c>
      <c r="F31" s="26" t="s">
        <v>113</v>
      </c>
      <c r="G31" s="123">
        <v>1580000</v>
      </c>
      <c r="H31" s="123">
        <v>2080000</v>
      </c>
      <c r="I31" s="159">
        <f t="shared" si="0"/>
        <v>131.64556962025316</v>
      </c>
    </row>
    <row r="32" spans="2:9" ht="12.75" customHeight="1">
      <c r="B32" s="14"/>
      <c r="C32" s="15"/>
      <c r="D32" s="15"/>
      <c r="E32" s="16"/>
      <c r="F32" s="15"/>
      <c r="G32" s="87"/>
      <c r="H32" s="87"/>
      <c r="I32" s="159">
        <f t="shared" si="0"/>
      </c>
    </row>
    <row r="33" spans="2:9" ht="12.75" customHeight="1">
      <c r="B33" s="14"/>
      <c r="C33" s="15"/>
      <c r="D33" s="15"/>
      <c r="E33" s="9">
        <v>615000</v>
      </c>
      <c r="F33" s="12" t="s">
        <v>97</v>
      </c>
      <c r="G33" s="114">
        <f>SUM(G34:G34)</f>
        <v>28880</v>
      </c>
      <c r="H33" s="114">
        <f>SUM(H34:H34)</f>
        <v>0</v>
      </c>
      <c r="I33" s="158">
        <f t="shared" si="0"/>
        <v>0</v>
      </c>
    </row>
    <row r="34" spans="2:9" ht="12.75" customHeight="1">
      <c r="B34" s="14"/>
      <c r="C34" s="15"/>
      <c r="D34" s="15"/>
      <c r="E34" s="59">
        <v>615100</v>
      </c>
      <c r="F34" s="18" t="s">
        <v>230</v>
      </c>
      <c r="G34" s="87">
        <v>28880</v>
      </c>
      <c r="H34" s="87">
        <v>0</v>
      </c>
      <c r="I34" s="159">
        <f t="shared" si="0"/>
        <v>0</v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ht="12.75" customHeight="1">
      <c r="B36" s="17"/>
      <c r="C36" s="12"/>
      <c r="D36" s="12"/>
      <c r="E36" s="9">
        <v>821000</v>
      </c>
      <c r="F36" s="12" t="s">
        <v>98</v>
      </c>
      <c r="G36" s="114">
        <f>G37+G38</f>
        <v>1500</v>
      </c>
      <c r="H36" s="114">
        <f>H37+H38</f>
        <v>1500</v>
      </c>
      <c r="I36" s="158">
        <f t="shared" si="0"/>
        <v>100</v>
      </c>
    </row>
    <row r="37" spans="2:10" s="1" customFormat="1" ht="12.75" customHeight="1">
      <c r="B37" s="14"/>
      <c r="C37" s="15"/>
      <c r="D37" s="15"/>
      <c r="E37" s="16">
        <v>821200</v>
      </c>
      <c r="F37" s="15" t="s">
        <v>99</v>
      </c>
      <c r="G37" s="87">
        <v>0</v>
      </c>
      <c r="H37" s="87">
        <v>0</v>
      </c>
      <c r="I37" s="159">
        <f t="shared" si="0"/>
      </c>
      <c r="J37" s="1" t="s">
        <v>186</v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87">
        <v>1500</v>
      </c>
      <c r="H38" s="87">
        <v>1500</v>
      </c>
      <c r="I38" s="159">
        <f t="shared" si="0"/>
        <v>100</v>
      </c>
    </row>
    <row r="39" spans="2:9" ht="12.75" customHeight="1">
      <c r="B39" s="14"/>
      <c r="C39" s="15"/>
      <c r="D39" s="15"/>
      <c r="E39" s="16"/>
      <c r="F39" s="15"/>
      <c r="G39" s="87"/>
      <c r="H39" s="87"/>
      <c r="I39" s="159"/>
    </row>
    <row r="40" spans="2:9" ht="12.75" customHeight="1">
      <c r="B40" s="14"/>
      <c r="C40" s="15"/>
      <c r="D40" s="15"/>
      <c r="E40" s="16"/>
      <c r="F40" s="15"/>
      <c r="G40" s="20"/>
      <c r="H40" s="20"/>
      <c r="I40" s="159"/>
    </row>
    <row r="41" spans="2:9" ht="12.75" customHeight="1">
      <c r="B41" s="17"/>
      <c r="C41" s="12"/>
      <c r="D41" s="12"/>
      <c r="E41" s="9"/>
      <c r="F41" s="12" t="s">
        <v>101</v>
      </c>
      <c r="G41" s="114">
        <v>8</v>
      </c>
      <c r="H41" s="114">
        <v>8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G7+G13+G17+G29+G33+G36</f>
        <v>2044180</v>
      </c>
      <c r="H42" s="20">
        <f>H7+H13+H17+H29+H33+H36</f>
        <v>2760200</v>
      </c>
      <c r="I42" s="158">
        <f>IF(G42=0,"",H42/G42*100)</f>
        <v>135.02724808969856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</f>
        <v>2044180</v>
      </c>
      <c r="H43" s="20">
        <f>H42</f>
        <v>2760200</v>
      </c>
      <c r="I43" s="158">
        <f>IF(G43=0,"",H43/G43*100)</f>
        <v>135.02724808969856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>
        <f>G43</f>
        <v>2044180</v>
      </c>
      <c r="H44" s="20">
        <f>H43</f>
        <v>2760200</v>
      </c>
      <c r="I44" s="158">
        <f>IF(G44=0,"",H44/G44*100)</f>
        <v>135.02724808969856</v>
      </c>
    </row>
    <row r="45" spans="2:9" s="1" customFormat="1" ht="12.75" customHeight="1" thickBot="1">
      <c r="B45" s="21"/>
      <c r="C45" s="22"/>
      <c r="D45" s="22"/>
      <c r="E45" s="23"/>
      <c r="F45" s="22"/>
      <c r="G45" s="50"/>
      <c r="H45" s="22"/>
      <c r="I45" s="162"/>
    </row>
    <row r="46" ht="12.75" customHeight="1"/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</sheetData>
  <sheetProtection/>
  <mergeCells count="2">
    <mergeCell ref="B2:H2"/>
    <mergeCell ref="F3:G3"/>
  </mergeCells>
  <printOptions/>
  <pageMargins left="0.2755905511811024" right="0.2755905511811024" top="0.5905511811023623" bottom="0.53" header="0.5118110236220472" footer="0.5118110236220472"/>
  <pageSetup horizontalDpi="180" verticalDpi="180" orientation="portrait" paperSize="9" scale="88" r:id="rId1"/>
  <headerFooter alignWithMargins="0">
    <oddFooter>&amp;R25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2:K50"/>
  <sheetViews>
    <sheetView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7" ht="15" customHeight="1">
      <c r="B2" s="439" t="s">
        <v>189</v>
      </c>
      <c r="C2" s="439"/>
      <c r="D2" s="439"/>
      <c r="E2" s="439"/>
      <c r="F2" s="439"/>
      <c r="G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150</v>
      </c>
      <c r="C6" s="11" t="s">
        <v>89</v>
      </c>
      <c r="D6" s="11" t="s">
        <v>90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245720</v>
      </c>
      <c r="H7" s="20">
        <f>SUM(H8:H11)</f>
        <v>218200</v>
      </c>
      <c r="I7" s="158">
        <f aca="true" t="shared" si="0" ref="I7:I40">IF(G7=0,"",H7/G7*100)</f>
        <v>88.80026045905909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123">
        <v>202100</v>
      </c>
      <c r="H8" s="123">
        <v>174600</v>
      </c>
      <c r="I8" s="159">
        <f t="shared" si="0"/>
        <v>86.39287481444829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123">
        <v>37500</v>
      </c>
      <c r="H9" s="123">
        <v>37500</v>
      </c>
      <c r="I9" s="159">
        <f t="shared" si="0"/>
        <v>100</v>
      </c>
    </row>
    <row r="10" spans="2:11" ht="12.75" customHeight="1">
      <c r="B10" s="14"/>
      <c r="C10" s="15"/>
      <c r="D10" s="15"/>
      <c r="E10" s="16">
        <v>611200</v>
      </c>
      <c r="F10" s="26" t="s">
        <v>745</v>
      </c>
      <c r="G10" s="87">
        <v>6120</v>
      </c>
      <c r="H10" s="87">
        <v>6100</v>
      </c>
      <c r="I10" s="159">
        <f t="shared" si="0"/>
        <v>99.67320261437908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21400</v>
      </c>
      <c r="H13" s="20">
        <f>H14+H15</f>
        <v>18900</v>
      </c>
      <c r="I13" s="158">
        <f t="shared" si="0"/>
        <v>88.3177570093458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123">
        <v>21400</v>
      </c>
      <c r="H14" s="123">
        <v>18900</v>
      </c>
      <c r="I14" s="159">
        <f t="shared" si="0"/>
        <v>88.3177570093458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SUM(G18:G28)</f>
        <v>528600</v>
      </c>
      <c r="H17" s="51">
        <f>SUM(H18:H28)</f>
        <v>474400</v>
      </c>
      <c r="I17" s="158">
        <f t="shared" si="0"/>
        <v>89.74650018917897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1800</v>
      </c>
      <c r="H18" s="46">
        <v>1800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0</v>
      </c>
      <c r="H19" s="46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6">
        <v>5000</v>
      </c>
      <c r="H20" s="46">
        <v>5000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6">
        <v>0</v>
      </c>
      <c r="H21" s="46">
        <v>0</v>
      </c>
      <c r="I21" s="159">
        <f t="shared" si="0"/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123">
        <v>1350</v>
      </c>
      <c r="H22" s="123">
        <v>0</v>
      </c>
      <c r="I22" s="159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123">
        <v>0</v>
      </c>
      <c r="H23" s="123">
        <v>0</v>
      </c>
      <c r="I23" s="159">
        <f t="shared" si="0"/>
      </c>
    </row>
    <row r="24" spans="2:9" ht="12.75" customHeight="1">
      <c r="B24" s="14"/>
      <c r="C24" s="15"/>
      <c r="D24" s="15"/>
      <c r="E24" s="66">
        <v>613700</v>
      </c>
      <c r="F24" s="15" t="s">
        <v>95</v>
      </c>
      <c r="G24" s="123">
        <v>1500</v>
      </c>
      <c r="H24" s="123">
        <v>1000</v>
      </c>
      <c r="I24" s="159">
        <f t="shared" si="0"/>
        <v>66.66666666666666</v>
      </c>
    </row>
    <row r="25" spans="2:9" ht="12.75" customHeight="1">
      <c r="B25" s="14"/>
      <c r="C25" s="15"/>
      <c r="D25" s="31"/>
      <c r="E25" s="16">
        <v>613700</v>
      </c>
      <c r="F25" s="65" t="s">
        <v>96</v>
      </c>
      <c r="G25" s="123">
        <v>500000</v>
      </c>
      <c r="H25" s="123">
        <v>450000</v>
      </c>
      <c r="I25" s="159">
        <f t="shared" si="0"/>
        <v>90</v>
      </c>
    </row>
    <row r="26" spans="2:9" ht="12.75" customHeight="1">
      <c r="B26" s="14"/>
      <c r="C26" s="15"/>
      <c r="D26" s="15"/>
      <c r="E26" s="63">
        <v>613800</v>
      </c>
      <c r="F26" s="15" t="s">
        <v>177</v>
      </c>
      <c r="G26" s="123">
        <v>400</v>
      </c>
      <c r="H26" s="123">
        <v>0</v>
      </c>
      <c r="I26" s="159">
        <f t="shared" si="0"/>
        <v>0</v>
      </c>
    </row>
    <row r="27" spans="2:10" ht="12.75" customHeight="1">
      <c r="B27" s="14"/>
      <c r="C27" s="15"/>
      <c r="D27" s="15"/>
      <c r="E27" s="16">
        <v>613900</v>
      </c>
      <c r="F27" s="15" t="s">
        <v>178</v>
      </c>
      <c r="G27" s="123">
        <v>10350</v>
      </c>
      <c r="H27" s="123">
        <v>10000</v>
      </c>
      <c r="I27" s="159">
        <f t="shared" si="0"/>
        <v>96.61835748792271</v>
      </c>
      <c r="J27" s="113"/>
    </row>
    <row r="28" spans="2:9" ht="12.75" customHeight="1">
      <c r="B28" s="14"/>
      <c r="C28" s="15"/>
      <c r="D28" s="15"/>
      <c r="E28" s="16">
        <v>613900</v>
      </c>
      <c r="F28" s="26" t="s">
        <v>746</v>
      </c>
      <c r="G28" s="123">
        <v>8200</v>
      </c>
      <c r="H28" s="123">
        <v>6600</v>
      </c>
      <c r="I28" s="159">
        <f t="shared" si="0"/>
        <v>80.48780487804879</v>
      </c>
    </row>
    <row r="29" spans="2:9" ht="12.75" customHeight="1">
      <c r="B29" s="14"/>
      <c r="C29" s="15"/>
      <c r="D29" s="15"/>
      <c r="E29" s="16"/>
      <c r="F29" s="15"/>
      <c r="G29" s="123"/>
      <c r="H29" s="123"/>
      <c r="I29" s="159">
        <f t="shared" si="0"/>
      </c>
    </row>
    <row r="30" spans="2:9" s="1" customFormat="1" ht="12.75" customHeight="1">
      <c r="B30" s="17"/>
      <c r="C30" s="12"/>
      <c r="D30" s="12"/>
      <c r="E30" s="9">
        <v>614000</v>
      </c>
      <c r="F30" s="12" t="s">
        <v>222</v>
      </c>
      <c r="G30" s="114">
        <f>SUM(G31:G32)</f>
        <v>100000</v>
      </c>
      <c r="H30" s="114">
        <f>SUM(H31:H32)</f>
        <v>110000</v>
      </c>
      <c r="I30" s="158">
        <f t="shared" si="0"/>
        <v>110.00000000000001</v>
      </c>
    </row>
    <row r="31" spans="2:9" ht="12.75" customHeight="1">
      <c r="B31" s="14"/>
      <c r="C31" s="15"/>
      <c r="D31" s="31"/>
      <c r="E31" s="63">
        <v>614100</v>
      </c>
      <c r="F31" s="72" t="s">
        <v>187</v>
      </c>
      <c r="G31" s="123">
        <v>100000</v>
      </c>
      <c r="H31" s="123">
        <v>100000</v>
      </c>
      <c r="I31" s="159">
        <f t="shared" si="0"/>
        <v>100</v>
      </c>
    </row>
    <row r="32" spans="2:9" ht="12.75" customHeight="1">
      <c r="B32" s="14"/>
      <c r="C32" s="15"/>
      <c r="D32" s="15"/>
      <c r="E32" s="16">
        <v>614100</v>
      </c>
      <c r="F32" s="26" t="s">
        <v>242</v>
      </c>
      <c r="G32" s="123">
        <v>0</v>
      </c>
      <c r="H32" s="123">
        <v>10000</v>
      </c>
      <c r="I32" s="159">
        <f t="shared" si="0"/>
      </c>
    </row>
    <row r="33" spans="2:9" ht="12.75" customHeight="1">
      <c r="B33" s="14"/>
      <c r="C33" s="15"/>
      <c r="D33" s="15"/>
      <c r="E33" s="16"/>
      <c r="F33" s="15"/>
      <c r="G33" s="123"/>
      <c r="H33" s="123"/>
      <c r="I33" s="159">
        <f t="shared" si="0"/>
      </c>
    </row>
    <row r="34" spans="2:9" ht="12.75" customHeight="1">
      <c r="B34" s="14"/>
      <c r="C34" s="15"/>
      <c r="D34" s="15"/>
      <c r="E34" s="9"/>
      <c r="F34" s="12"/>
      <c r="G34" s="114"/>
      <c r="H34" s="114"/>
      <c r="I34" s="159">
        <f t="shared" si="0"/>
      </c>
    </row>
    <row r="35" spans="2:9" ht="12.75" customHeight="1">
      <c r="B35" s="14"/>
      <c r="C35" s="15"/>
      <c r="D35" s="15"/>
      <c r="E35" s="16"/>
      <c r="F35" s="26"/>
      <c r="G35" s="123"/>
      <c r="H35" s="123"/>
      <c r="I35" s="159">
        <f t="shared" si="0"/>
      </c>
    </row>
    <row r="36" spans="2:9" ht="12.75" customHeight="1">
      <c r="B36" s="14"/>
      <c r="C36" s="15"/>
      <c r="D36" s="15"/>
      <c r="E36" s="16"/>
      <c r="F36" s="15"/>
      <c r="G36" s="123"/>
      <c r="H36" s="123"/>
      <c r="I36" s="159">
        <f t="shared" si="0"/>
      </c>
    </row>
    <row r="37" spans="2:9" s="1" customFormat="1" ht="12.75" customHeight="1">
      <c r="B37" s="17"/>
      <c r="C37" s="12"/>
      <c r="D37" s="12"/>
      <c r="E37" s="9">
        <v>821000</v>
      </c>
      <c r="F37" s="12" t="s">
        <v>98</v>
      </c>
      <c r="G37" s="114">
        <f>SUM(G38:G40)</f>
        <v>841500</v>
      </c>
      <c r="H37" s="114">
        <f>SUM(H38:H40)</f>
        <v>852000</v>
      </c>
      <c r="I37" s="158">
        <f t="shared" si="0"/>
        <v>101.24777183600713</v>
      </c>
    </row>
    <row r="38" spans="2:9" ht="12.75" customHeight="1">
      <c r="B38" s="14"/>
      <c r="C38" s="15"/>
      <c r="D38" s="15"/>
      <c r="E38" s="16">
        <v>821200</v>
      </c>
      <c r="F38" s="15" t="s">
        <v>99</v>
      </c>
      <c r="G38" s="123">
        <v>0</v>
      </c>
      <c r="H38" s="123">
        <v>0</v>
      </c>
      <c r="I38" s="159">
        <f t="shared" si="0"/>
      </c>
    </row>
    <row r="39" spans="2:9" ht="12.75" customHeight="1">
      <c r="B39" s="14"/>
      <c r="C39" s="15"/>
      <c r="D39" s="15"/>
      <c r="E39" s="16">
        <v>821300</v>
      </c>
      <c r="F39" s="15" t="s">
        <v>100</v>
      </c>
      <c r="G39" s="123">
        <v>1500</v>
      </c>
      <c r="H39" s="123">
        <v>2000</v>
      </c>
      <c r="I39" s="159">
        <f t="shared" si="0"/>
        <v>133.33333333333331</v>
      </c>
    </row>
    <row r="40" spans="2:11" ht="12.75" customHeight="1">
      <c r="B40" s="14"/>
      <c r="C40" s="15"/>
      <c r="D40" s="15"/>
      <c r="E40" s="125">
        <v>821600</v>
      </c>
      <c r="F40" s="116" t="s">
        <v>112</v>
      </c>
      <c r="G40" s="123">
        <v>840000</v>
      </c>
      <c r="H40" s="123">
        <v>850000</v>
      </c>
      <c r="I40" s="159">
        <f t="shared" si="0"/>
        <v>101.19047619047619</v>
      </c>
      <c r="K40" s="95"/>
    </row>
    <row r="41" spans="2:9" ht="12.75" customHeight="1">
      <c r="B41" s="14"/>
      <c r="C41" s="15"/>
      <c r="D41" s="15"/>
      <c r="E41" s="16"/>
      <c r="F41" s="15"/>
      <c r="G41" s="114"/>
      <c r="H41" s="114"/>
      <c r="I41" s="159"/>
    </row>
    <row r="42" spans="2:9" s="1" customFormat="1" ht="12.75" customHeight="1">
      <c r="B42" s="17"/>
      <c r="C42" s="12"/>
      <c r="D42" s="12"/>
      <c r="E42" s="9"/>
      <c r="F42" s="12" t="s">
        <v>101</v>
      </c>
      <c r="G42" s="114">
        <v>10</v>
      </c>
      <c r="H42" s="114">
        <v>9</v>
      </c>
      <c r="I42" s="159"/>
    </row>
    <row r="43" spans="2:9" s="1" customFormat="1" ht="12.75" customHeight="1">
      <c r="B43" s="17"/>
      <c r="C43" s="12"/>
      <c r="D43" s="12"/>
      <c r="E43" s="9"/>
      <c r="F43" s="12" t="s">
        <v>122</v>
      </c>
      <c r="G43" s="20">
        <f>G7+G13+G17+G30+G37</f>
        <v>1737220</v>
      </c>
      <c r="H43" s="20">
        <f>H7+H13+H17+H30+H37</f>
        <v>1673500</v>
      </c>
      <c r="I43" s="158">
        <f>IF(G43=0,"",H43/G43*100)</f>
        <v>96.33207077975156</v>
      </c>
    </row>
    <row r="44" spans="2:9" s="1" customFormat="1" ht="12.75" customHeight="1">
      <c r="B44" s="17"/>
      <c r="C44" s="12"/>
      <c r="D44" s="12"/>
      <c r="E44" s="9"/>
      <c r="F44" s="12" t="s">
        <v>102</v>
      </c>
      <c r="G44" s="20">
        <f>G43</f>
        <v>1737220</v>
      </c>
      <c r="H44" s="20">
        <f>H43</f>
        <v>1673500</v>
      </c>
      <c r="I44" s="158">
        <f>IF(G44=0,"",H44/G44*100)</f>
        <v>96.33207077975156</v>
      </c>
    </row>
    <row r="45" spans="2:9" s="1" customFormat="1" ht="12.75" customHeight="1">
      <c r="B45" s="17"/>
      <c r="C45" s="12"/>
      <c r="D45" s="12"/>
      <c r="E45" s="9"/>
      <c r="F45" s="12" t="s">
        <v>103</v>
      </c>
      <c r="G45" s="20">
        <f>G44</f>
        <v>1737220</v>
      </c>
      <c r="H45" s="20">
        <f>H44</f>
        <v>1673500</v>
      </c>
      <c r="I45" s="158">
        <f>IF(G45=0,"",H45/G45*100)</f>
        <v>96.33207077975156</v>
      </c>
    </row>
    <row r="46" spans="2:9" ht="12.75" customHeight="1" thickBot="1">
      <c r="B46" s="21"/>
      <c r="C46" s="22"/>
      <c r="D46" s="22"/>
      <c r="E46" s="23"/>
      <c r="F46" s="22"/>
      <c r="G46" s="50"/>
      <c r="H46" s="47"/>
      <c r="I46" s="162"/>
    </row>
    <row r="48" ht="12.75">
      <c r="B48" s="86"/>
    </row>
    <row r="49" ht="12.75">
      <c r="B49" s="86"/>
    </row>
    <row r="50" ht="12.75">
      <c r="B50" s="86"/>
    </row>
  </sheetData>
  <sheetProtection/>
  <mergeCells count="2">
    <mergeCell ref="B2:G2"/>
    <mergeCell ref="F3:G3"/>
  </mergeCells>
  <printOptions/>
  <pageMargins left="0.2755905511811024" right="0.2755905511811024" top="0.5905511811023623" bottom="0.54" header="0.5118110236220472" footer="0.5118110236220472"/>
  <pageSetup fitToHeight="1" fitToWidth="1" horizontalDpi="180" verticalDpi="180" orientation="portrait" paperSize="9" scale="88" r:id="rId1"/>
  <headerFooter alignWithMargins="0">
    <oddFooter>&amp;R26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2:K48"/>
  <sheetViews>
    <sheetView zoomScaleSheetLayoutView="100" zoomScalePageLayoutView="0" workbookViewId="0" topLeftCell="A1">
      <selection activeCell="H27" sqref="H27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9" ht="15" customHeight="1">
      <c r="B2" s="439" t="s">
        <v>151</v>
      </c>
      <c r="C2" s="439"/>
      <c r="D2" s="439"/>
      <c r="E2" s="439"/>
      <c r="F2" s="439"/>
      <c r="G2" s="439"/>
      <c r="H2" s="439"/>
      <c r="I2" s="153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152</v>
      </c>
      <c r="C6" s="11" t="s">
        <v>89</v>
      </c>
      <c r="D6" s="11" t="s">
        <v>90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455380</v>
      </c>
      <c r="H7" s="20">
        <f>SUM(H8:H11)</f>
        <v>519330</v>
      </c>
      <c r="I7" s="158">
        <f aca="true" t="shared" si="0" ref="I7:I37">IF(G7=0,"",H7/G7*100)</f>
        <v>114.04321665422286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87">
        <f>359200+5200</f>
        <v>364400</v>
      </c>
      <c r="H8" s="87">
        <f>381900+7400+9100</f>
        <v>398400</v>
      </c>
      <c r="I8" s="159">
        <f t="shared" si="0"/>
        <v>109.33040614709111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87">
        <v>83100</v>
      </c>
      <c r="H9" s="87">
        <f>89000+830+1900</f>
        <v>91730</v>
      </c>
      <c r="I9" s="159">
        <f t="shared" si="0"/>
        <v>110.38507821901324</v>
      </c>
    </row>
    <row r="10" spans="2:11" ht="12.75" customHeight="1">
      <c r="B10" s="14"/>
      <c r="C10" s="15"/>
      <c r="D10" s="15"/>
      <c r="E10" s="16">
        <v>611200</v>
      </c>
      <c r="F10" s="26" t="s">
        <v>774</v>
      </c>
      <c r="G10" s="87">
        <v>7880</v>
      </c>
      <c r="H10" s="87">
        <f>1200+28000</f>
        <v>29200</v>
      </c>
      <c r="I10" s="159">
        <f t="shared" si="0"/>
        <v>370.55837563451774</v>
      </c>
      <c r="K10" s="94"/>
    </row>
    <row r="11" spans="2:9" ht="12.75" customHeight="1">
      <c r="B11" s="14"/>
      <c r="C11" s="15"/>
      <c r="D11" s="15"/>
      <c r="E11" s="16"/>
      <c r="F11" s="26"/>
      <c r="G11" s="45"/>
      <c r="H11" s="45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38600</v>
      </c>
      <c r="H13" s="20">
        <f>H14+H15</f>
        <v>42360</v>
      </c>
      <c r="I13" s="158">
        <f t="shared" si="0"/>
        <v>109.74093264248705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5">
        <f>38000+600</f>
        <v>38600</v>
      </c>
      <c r="H14" s="45">
        <f>40600+800+960</f>
        <v>42360</v>
      </c>
      <c r="I14" s="159">
        <f t="shared" si="0"/>
        <v>109.74093264248705</v>
      </c>
    </row>
    <row r="15" spans="2:9" ht="12.75" customHeight="1">
      <c r="B15" s="14"/>
      <c r="C15" s="15"/>
      <c r="D15" s="15"/>
      <c r="E15" s="16"/>
      <c r="F15" s="15"/>
      <c r="G15" s="45"/>
      <c r="H15" s="45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51"/>
      <c r="H16" s="51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75680</v>
      </c>
      <c r="H17" s="51">
        <f>SUM(H18:H27)</f>
        <v>92500</v>
      </c>
      <c r="I17" s="158">
        <f t="shared" si="0"/>
        <v>122.22515856236787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87">
        <v>3700</v>
      </c>
      <c r="H18" s="87">
        <v>4500</v>
      </c>
      <c r="I18" s="159">
        <f t="shared" si="0"/>
        <v>121.62162162162163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87">
        <v>0</v>
      </c>
      <c r="H19" s="87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87">
        <v>6200</v>
      </c>
      <c r="H20" s="87">
        <v>6500</v>
      </c>
      <c r="I20" s="159">
        <f t="shared" si="0"/>
        <v>104.83870967741935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87">
        <v>1080</v>
      </c>
      <c r="H21" s="87">
        <v>2000</v>
      </c>
      <c r="I21" s="159">
        <f t="shared" si="0"/>
        <v>185.1851851851852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87">
        <v>4400</v>
      </c>
      <c r="H22" s="87">
        <v>0</v>
      </c>
      <c r="I22" s="159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87">
        <v>5100</v>
      </c>
      <c r="H23" s="87">
        <v>5500</v>
      </c>
      <c r="I23" s="159">
        <f t="shared" si="0"/>
        <v>107.84313725490196</v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87">
        <v>8000</v>
      </c>
      <c r="H24" s="87">
        <v>7500</v>
      </c>
      <c r="I24" s="159">
        <f t="shared" si="0"/>
        <v>93.75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87">
        <v>1000</v>
      </c>
      <c r="H25" s="87">
        <v>0</v>
      </c>
      <c r="I25" s="159">
        <f t="shared" si="0"/>
        <v>0</v>
      </c>
    </row>
    <row r="26" spans="2:10" ht="12.75" customHeight="1">
      <c r="B26" s="14"/>
      <c r="C26" s="15"/>
      <c r="D26" s="15"/>
      <c r="E26" s="16">
        <v>613900</v>
      </c>
      <c r="F26" s="15" t="s">
        <v>178</v>
      </c>
      <c r="G26" s="87">
        <v>38000</v>
      </c>
      <c r="H26" s="87">
        <v>35000</v>
      </c>
      <c r="I26" s="159">
        <f t="shared" si="0"/>
        <v>92.10526315789474</v>
      </c>
      <c r="J26" s="113"/>
    </row>
    <row r="27" spans="2:9" ht="12.75" customHeight="1">
      <c r="B27" s="14"/>
      <c r="C27" s="15"/>
      <c r="D27" s="15"/>
      <c r="E27" s="16">
        <v>613900</v>
      </c>
      <c r="F27" s="26" t="s">
        <v>775</v>
      </c>
      <c r="G27" s="87">
        <v>8200</v>
      </c>
      <c r="H27" s="87">
        <f>1800+29700</f>
        <v>31500</v>
      </c>
      <c r="I27" s="159">
        <f t="shared" si="0"/>
        <v>384.1463414634146</v>
      </c>
    </row>
    <row r="28" spans="2:9" ht="12.75" customHeight="1">
      <c r="B28" s="14"/>
      <c r="C28" s="15"/>
      <c r="D28" s="15"/>
      <c r="E28" s="16"/>
      <c r="F28" s="15"/>
      <c r="G28" s="114"/>
      <c r="H28" s="114"/>
      <c r="I28" s="159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222</v>
      </c>
      <c r="G29" s="114">
        <f>SUM(G30:G33)</f>
        <v>1890000</v>
      </c>
      <c r="H29" s="114">
        <f>SUM(H30:H33)</f>
        <v>2100000</v>
      </c>
      <c r="I29" s="158">
        <f t="shared" si="0"/>
        <v>111.11111111111111</v>
      </c>
    </row>
    <row r="30" spans="2:9" s="1" customFormat="1" ht="12.75" customHeight="1">
      <c r="B30" s="17"/>
      <c r="C30" s="12"/>
      <c r="D30" s="32"/>
      <c r="E30" s="59">
        <v>614100</v>
      </c>
      <c r="F30" s="18" t="s">
        <v>172</v>
      </c>
      <c r="G30" s="123">
        <v>100000</v>
      </c>
      <c r="H30" s="123">
        <v>100000</v>
      </c>
      <c r="I30" s="159">
        <f t="shared" si="0"/>
        <v>100</v>
      </c>
    </row>
    <row r="31" spans="2:9" ht="12.75" customHeight="1">
      <c r="B31" s="14"/>
      <c r="C31" s="15"/>
      <c r="D31" s="15"/>
      <c r="E31" s="16">
        <v>614500</v>
      </c>
      <c r="F31" s="30" t="s">
        <v>532</v>
      </c>
      <c r="G31" s="123">
        <v>800000</v>
      </c>
      <c r="H31" s="123">
        <v>800000</v>
      </c>
      <c r="I31" s="159">
        <f t="shared" si="0"/>
        <v>100</v>
      </c>
    </row>
    <row r="32" spans="2:9" ht="12.75" customHeight="1">
      <c r="B32" s="14"/>
      <c r="C32" s="15"/>
      <c r="D32" s="15"/>
      <c r="E32" s="16">
        <v>614500</v>
      </c>
      <c r="F32" s="30" t="s">
        <v>533</v>
      </c>
      <c r="G32" s="123">
        <v>190000</v>
      </c>
      <c r="H32" s="123">
        <v>400000</v>
      </c>
      <c r="I32" s="159">
        <f t="shared" si="0"/>
        <v>210.52631578947367</v>
      </c>
    </row>
    <row r="33" spans="2:9" ht="12.75" customHeight="1">
      <c r="B33" s="14"/>
      <c r="C33" s="15"/>
      <c r="D33" s="15"/>
      <c r="E33" s="59">
        <v>614500</v>
      </c>
      <c r="F33" s="30" t="s">
        <v>534</v>
      </c>
      <c r="G33" s="123">
        <v>800000</v>
      </c>
      <c r="H33" s="123">
        <v>800000</v>
      </c>
      <c r="I33" s="159">
        <f t="shared" si="0"/>
        <v>100</v>
      </c>
    </row>
    <row r="34" spans="2:9" ht="12.75" customHeight="1">
      <c r="B34" s="14"/>
      <c r="C34" s="15"/>
      <c r="D34" s="15"/>
      <c r="E34" s="16"/>
      <c r="F34" s="26"/>
      <c r="G34" s="87"/>
      <c r="H34" s="87"/>
      <c r="I34" s="159">
        <f t="shared" si="0"/>
      </c>
    </row>
    <row r="35" spans="2:9" s="1" customFormat="1" ht="12.75" customHeight="1">
      <c r="B35" s="17"/>
      <c r="C35" s="12"/>
      <c r="D35" s="12"/>
      <c r="E35" s="9">
        <v>821000</v>
      </c>
      <c r="F35" s="12" t="s">
        <v>98</v>
      </c>
      <c r="G35" s="114">
        <f>SUM(G36:G38)</f>
        <v>520</v>
      </c>
      <c r="H35" s="114">
        <f>SUM(H36:H38)</f>
        <v>20000</v>
      </c>
      <c r="I35" s="158">
        <f t="shared" si="0"/>
        <v>3846.153846153846</v>
      </c>
    </row>
    <row r="36" spans="2:9" ht="12.75" customHeight="1">
      <c r="B36" s="14"/>
      <c r="C36" s="15"/>
      <c r="D36" s="15"/>
      <c r="E36" s="16">
        <v>821200</v>
      </c>
      <c r="F36" s="15" t="s">
        <v>99</v>
      </c>
      <c r="G36" s="87">
        <v>0</v>
      </c>
      <c r="H36" s="87">
        <v>10000</v>
      </c>
      <c r="I36" s="159">
        <f t="shared" si="0"/>
      </c>
    </row>
    <row r="37" spans="2:9" ht="12.75" customHeight="1">
      <c r="B37" s="14"/>
      <c r="C37" s="15"/>
      <c r="D37" s="15"/>
      <c r="E37" s="16">
        <v>821300</v>
      </c>
      <c r="F37" s="15" t="s">
        <v>100</v>
      </c>
      <c r="G37" s="87">
        <v>520</v>
      </c>
      <c r="H37" s="87">
        <v>10000</v>
      </c>
      <c r="I37" s="159">
        <f t="shared" si="0"/>
        <v>1923.076923076923</v>
      </c>
    </row>
    <row r="38" spans="2:9" ht="12.75" customHeight="1">
      <c r="B38" s="14"/>
      <c r="C38" s="15"/>
      <c r="D38" s="15"/>
      <c r="E38" s="16"/>
      <c r="F38" s="26"/>
      <c r="G38" s="87"/>
      <c r="H38" s="87"/>
      <c r="I38" s="159"/>
    </row>
    <row r="39" spans="2:9" ht="12.75" customHeight="1">
      <c r="B39" s="14"/>
      <c r="C39" s="15"/>
      <c r="D39" s="15"/>
      <c r="E39" s="16"/>
      <c r="F39" s="15"/>
      <c r="G39" s="45"/>
      <c r="H39" s="45"/>
      <c r="I39" s="159"/>
    </row>
    <row r="40" spans="2:9" s="1" customFormat="1" ht="12.75" customHeight="1">
      <c r="B40" s="17"/>
      <c r="C40" s="12"/>
      <c r="D40" s="12"/>
      <c r="E40" s="9"/>
      <c r="F40" s="12" t="s">
        <v>101</v>
      </c>
      <c r="G40" s="20">
        <v>21</v>
      </c>
      <c r="H40" s="114">
        <v>22</v>
      </c>
      <c r="I40" s="159"/>
    </row>
    <row r="41" spans="2:9" s="1" customFormat="1" ht="12.75" customHeight="1">
      <c r="B41" s="17"/>
      <c r="C41" s="12"/>
      <c r="D41" s="12"/>
      <c r="E41" s="9"/>
      <c r="F41" s="12" t="s">
        <v>122</v>
      </c>
      <c r="G41" s="20">
        <f>G7+G13+G17+G29+G35</f>
        <v>2460180</v>
      </c>
      <c r="H41" s="20">
        <f>H7+H13+H17+H29+H35</f>
        <v>2774190</v>
      </c>
      <c r="I41" s="158">
        <f>IF(G41=0,"",H41/G41*100)</f>
        <v>112.76370021705728</v>
      </c>
    </row>
    <row r="42" spans="2:9" s="1" customFormat="1" ht="12.75" customHeight="1">
      <c r="B42" s="17"/>
      <c r="C42" s="12"/>
      <c r="D42" s="12"/>
      <c r="E42" s="9"/>
      <c r="F42" s="12" t="s">
        <v>102</v>
      </c>
      <c r="G42" s="20">
        <f>G41</f>
        <v>2460180</v>
      </c>
      <c r="H42" s="20">
        <f>H41</f>
        <v>2774190</v>
      </c>
      <c r="I42" s="158">
        <f>IF(G42=0,"",H42/G42*100)</f>
        <v>112.76370021705728</v>
      </c>
    </row>
    <row r="43" spans="2:9" s="1" customFormat="1" ht="12.75" customHeight="1">
      <c r="B43" s="17"/>
      <c r="C43" s="12"/>
      <c r="D43" s="12"/>
      <c r="E43" s="9"/>
      <c r="F43" s="12" t="s">
        <v>103</v>
      </c>
      <c r="G43" s="20">
        <f>G42</f>
        <v>2460180</v>
      </c>
      <c r="H43" s="20">
        <f>H42</f>
        <v>2774190</v>
      </c>
      <c r="I43" s="158">
        <f>IF(G43=0,"",H43/G43*100)</f>
        <v>112.76370021705728</v>
      </c>
    </row>
    <row r="44" spans="2:9" ht="12.75" customHeight="1" thickBot="1">
      <c r="B44" s="21"/>
      <c r="C44" s="22"/>
      <c r="D44" s="22"/>
      <c r="E44" s="23"/>
      <c r="F44" s="22"/>
      <c r="G44" s="50"/>
      <c r="H44" s="47"/>
      <c r="I44" s="162"/>
    </row>
    <row r="46" ht="12.75">
      <c r="B46" s="86"/>
    </row>
    <row r="47" ht="12.75">
      <c r="B47" s="86"/>
    </row>
    <row r="48" ht="12.75">
      <c r="B48" s="86"/>
    </row>
  </sheetData>
  <sheetProtection/>
  <mergeCells count="2">
    <mergeCell ref="B2:H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88" r:id="rId1"/>
  <headerFooter alignWithMargins="0">
    <oddFooter>&amp;R27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Z310"/>
  <sheetViews>
    <sheetView zoomScalePageLayoutView="0" workbookViewId="0" topLeftCell="A16">
      <selection activeCell="G41" sqref="G41"/>
    </sheetView>
  </sheetViews>
  <sheetFormatPr defaultColWidth="9.140625" defaultRowHeight="15" customHeight="1"/>
  <cols>
    <col min="1" max="1" width="50.00390625" style="0" customWidth="1"/>
    <col min="2" max="2" width="17.421875" style="0" customWidth="1"/>
    <col min="3" max="3" width="18.28125" style="0" customWidth="1"/>
    <col min="4" max="4" width="8.8515625" style="0" customWidth="1"/>
    <col min="5" max="5" width="6.421875" style="0" customWidth="1"/>
    <col min="7" max="8" width="15.7109375" style="0" customWidth="1"/>
    <col min="9" max="9" width="8.7109375" style="0" customWidth="1"/>
  </cols>
  <sheetData>
    <row r="1" spans="1:26" ht="15" customHeight="1">
      <c r="A1" s="423" t="s">
        <v>771</v>
      </c>
      <c r="B1" s="423"/>
      <c r="C1" s="423"/>
      <c r="D1" s="423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5" customHeight="1">
      <c r="A2" s="423"/>
      <c r="B2" s="423"/>
      <c r="C2" s="423"/>
      <c r="D2" s="423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5" customHeight="1">
      <c r="A3" s="423"/>
      <c r="B3" s="423"/>
      <c r="C3" s="423"/>
      <c r="D3" s="423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0.5" customHeight="1">
      <c r="A4" s="423"/>
      <c r="B4" s="423"/>
      <c r="C4" s="423"/>
      <c r="D4" s="423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9" customHeight="1" hidden="1">
      <c r="A5" s="407"/>
      <c r="B5" s="407"/>
      <c r="C5" s="407"/>
      <c r="D5" s="407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9" customHeight="1">
      <c r="A6" s="360"/>
      <c r="B6" s="360"/>
      <c r="C6" s="360"/>
      <c r="D6" s="36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18.75" customHeight="1">
      <c r="A7" s="424" t="s">
        <v>623</v>
      </c>
      <c r="B7" s="424"/>
      <c r="C7" s="424"/>
      <c r="D7" s="424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ht="15" customHeight="1">
      <c r="A8" s="425" t="s">
        <v>624</v>
      </c>
      <c r="B8" s="425"/>
      <c r="C8" s="425"/>
      <c r="D8" s="425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1:26" ht="6.75" customHeight="1">
      <c r="A9" s="54"/>
      <c r="B9" s="53"/>
      <c r="C9" s="53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ht="15" customHeight="1">
      <c r="A10" s="273" t="s">
        <v>210</v>
      </c>
      <c r="B10" s="71"/>
      <c r="C10" s="71"/>
      <c r="E10" s="393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6.75" customHeight="1">
      <c r="A11" s="55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15" customHeight="1">
      <c r="A12" s="55" t="s">
        <v>211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17.25" customHeight="1">
      <c r="A13" s="426" t="s">
        <v>625</v>
      </c>
      <c r="B13" s="426"/>
      <c r="C13" s="426"/>
      <c r="D13" s="426"/>
      <c r="E13" s="393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10.5" customHeight="1">
      <c r="A14" s="73"/>
      <c r="B14" s="73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48.75" customHeight="1">
      <c r="A15" s="286" t="s">
        <v>333</v>
      </c>
      <c r="B15" s="336" t="s">
        <v>486</v>
      </c>
      <c r="C15" s="336" t="s">
        <v>626</v>
      </c>
      <c r="D15" s="336" t="s">
        <v>487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s="279" customFormat="1" ht="12.75" customHeight="1">
      <c r="A16" s="282">
        <v>1</v>
      </c>
      <c r="B16" s="283">
        <v>2</v>
      </c>
      <c r="C16" s="283">
        <v>3</v>
      </c>
      <c r="D16" s="282">
        <v>4</v>
      </c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</row>
    <row r="17" spans="1:26" ht="15" customHeight="1">
      <c r="A17" s="281" t="s">
        <v>509</v>
      </c>
      <c r="B17" s="289">
        <f>B18+B26+B27+B28+B29</f>
        <v>37584540</v>
      </c>
      <c r="C17" s="289">
        <f>C18+C26+C27+C28+C29</f>
        <v>39533110</v>
      </c>
      <c r="D17" s="306">
        <f>IF(B17=0,,C17/B17*100)</f>
        <v>105.18449873272363</v>
      </c>
      <c r="E17" s="276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15" customHeight="1">
      <c r="A18" s="277" t="s">
        <v>504</v>
      </c>
      <c r="B18" s="285">
        <f>SUM(B19:B25)</f>
        <v>27864990</v>
      </c>
      <c r="C18" s="285">
        <f>SUM(C19:C25)</f>
        <v>29907530</v>
      </c>
      <c r="D18" s="307">
        <f aca="true" t="shared" si="0" ref="D18:D48">IF(B18=0,,C18/B18*100)</f>
        <v>107.33013003055088</v>
      </c>
      <c r="E18" s="276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5" customHeight="1">
      <c r="A19" s="278" t="s">
        <v>489</v>
      </c>
      <c r="B19" s="299">
        <f>'prihodi-1'!D6</f>
        <v>1485350</v>
      </c>
      <c r="C19" s="299">
        <f>'prihodi-1'!E6</f>
        <v>1741730</v>
      </c>
      <c r="D19" s="308">
        <f t="shared" si="0"/>
        <v>117.26057831487529</v>
      </c>
      <c r="E19" s="276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5" ht="15" customHeight="1">
      <c r="A20" s="278" t="s">
        <v>490</v>
      </c>
      <c r="B20" s="299">
        <f>'prihodi-1'!D14</f>
        <v>7750</v>
      </c>
      <c r="C20" s="299">
        <f>'prihodi-1'!E14</f>
        <v>7100</v>
      </c>
      <c r="D20" s="309">
        <f t="shared" si="0"/>
        <v>91.61290322580645</v>
      </c>
      <c r="E20" s="276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1" spans="1:25" ht="15" customHeight="1">
      <c r="A21" s="278" t="s">
        <v>491</v>
      </c>
      <c r="B21" s="299">
        <f>'prihodi-1'!D18</f>
        <v>214400</v>
      </c>
      <c r="C21" s="299">
        <f>'prihodi-1'!E18</f>
        <v>215190</v>
      </c>
      <c r="D21" s="317">
        <f t="shared" si="0"/>
        <v>100.36847014925374</v>
      </c>
      <c r="E21" s="276"/>
      <c r="F21" s="397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</row>
    <row r="22" spans="1:25" ht="15" customHeight="1">
      <c r="A22" s="278" t="s">
        <v>492</v>
      </c>
      <c r="B22" s="300">
        <f>'prihodi-1'!D26</f>
        <v>5600</v>
      </c>
      <c r="C22" s="300">
        <f>'prihodi-1'!E26</f>
        <v>2950</v>
      </c>
      <c r="D22" s="310">
        <f t="shared" si="0"/>
        <v>52.67857142857143</v>
      </c>
      <c r="E22" s="276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1:25" ht="15" customHeight="1">
      <c r="A23" s="278" t="s">
        <v>493</v>
      </c>
      <c r="B23" s="300">
        <f>'prihodi-1'!D36</f>
        <v>1950150</v>
      </c>
      <c r="C23" s="300">
        <f>'prihodi-1'!E36</f>
        <v>2104200</v>
      </c>
      <c r="D23" s="310">
        <f t="shared" si="0"/>
        <v>107.89939235443427</v>
      </c>
      <c r="E23" s="276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</row>
    <row r="24" spans="1:25" ht="15" customHeight="1">
      <c r="A24" s="278" t="s">
        <v>494</v>
      </c>
      <c r="B24" s="300">
        <f>'prihodi-1'!D45</f>
        <v>24197460</v>
      </c>
      <c r="C24" s="300">
        <f>'prihodi-1'!E45</f>
        <v>25835660</v>
      </c>
      <c r="D24" s="310">
        <f t="shared" si="0"/>
        <v>106.7701320717133</v>
      </c>
      <c r="E24" s="276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1:25" ht="15" customHeight="1">
      <c r="A25" s="278" t="s">
        <v>495</v>
      </c>
      <c r="B25" s="300">
        <f>'prihodi-1'!D49</f>
        <v>4280</v>
      </c>
      <c r="C25" s="300">
        <f>'prihodi-1'!E49</f>
        <v>700</v>
      </c>
      <c r="D25" s="310">
        <f t="shared" si="0"/>
        <v>16.355140186915886</v>
      </c>
      <c r="E25" s="276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1:26" ht="15" customHeight="1">
      <c r="A26" s="277" t="s">
        <v>496</v>
      </c>
      <c r="B26" s="285">
        <f>'prihodi-2'!D6</f>
        <v>2909040</v>
      </c>
      <c r="C26" s="285">
        <f>'prihodi-2'!E6</f>
        <v>2981940</v>
      </c>
      <c r="D26" s="307">
        <f t="shared" si="0"/>
        <v>102.50598135467371</v>
      </c>
      <c r="E26" s="276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15" customHeight="1">
      <c r="A27" s="277" t="s">
        <v>606</v>
      </c>
      <c r="B27" s="285">
        <f>'prihodi-4'!D7</f>
        <v>5744860</v>
      </c>
      <c r="C27" s="285">
        <f>'prihodi-4'!E7</f>
        <v>5954910</v>
      </c>
      <c r="D27" s="307">
        <f t="shared" si="0"/>
        <v>103.65631190316213</v>
      </c>
      <c r="E27" s="276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15" customHeight="1">
      <c r="A28" s="277" t="s">
        <v>607</v>
      </c>
      <c r="B28" s="285">
        <f>'prihodi-4'!D39</f>
        <v>1064450</v>
      </c>
      <c r="C28" s="285">
        <f>'prihodi-4'!E39</f>
        <v>687630</v>
      </c>
      <c r="D28" s="307">
        <f t="shared" si="0"/>
        <v>64.59955845741932</v>
      </c>
      <c r="E28" s="276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15" customHeight="1">
      <c r="A29" s="277" t="s">
        <v>508</v>
      </c>
      <c r="B29" s="285">
        <f>'prihodi-5'!D26</f>
        <v>1200</v>
      </c>
      <c r="C29" s="285">
        <f>'prihodi-5'!E26</f>
        <v>1100</v>
      </c>
      <c r="D29" s="307">
        <f t="shared" si="0"/>
        <v>91.66666666666666</v>
      </c>
      <c r="E29" s="276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5" ht="15" customHeight="1">
      <c r="A30" s="281" t="s">
        <v>505</v>
      </c>
      <c r="B30" s="289">
        <f>B31+B32</f>
        <v>34081150</v>
      </c>
      <c r="C30" s="289">
        <f>C31+C32</f>
        <v>36530830</v>
      </c>
      <c r="D30" s="311">
        <f t="shared" si="0"/>
        <v>107.18778562343114</v>
      </c>
      <c r="E30" s="276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</row>
    <row r="31" spans="1:25" s="71" customFormat="1" ht="15" customHeight="1">
      <c r="A31" s="284" t="s">
        <v>497</v>
      </c>
      <c r="B31" s="285">
        <f>'rashodi-1'!E8+'rashodi-1'!E14+'rashodi-1'!E19+'rashodi-1'!E22+'rashodi-1'!E40</f>
        <v>33804090</v>
      </c>
      <c r="C31" s="285">
        <f>'rashodi-1'!F8+'rashodi-1'!F14+'rashodi-1'!F19+'rashodi-1'!F22+'rashodi-1'!F40</f>
        <v>36022430</v>
      </c>
      <c r="D31" s="307">
        <f t="shared" si="0"/>
        <v>106.56234201246062</v>
      </c>
      <c r="E31" s="287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</row>
    <row r="32" spans="1:25" s="71" customFormat="1" ht="15" customHeight="1">
      <c r="A32" s="284" t="s">
        <v>498</v>
      </c>
      <c r="B32" s="285">
        <f>SUM(B33:B34)</f>
        <v>277060</v>
      </c>
      <c r="C32" s="285">
        <f>SUM(C33:C34)</f>
        <v>508400</v>
      </c>
      <c r="D32" s="307">
        <f t="shared" si="0"/>
        <v>183.49815924348516</v>
      </c>
      <c r="E32" s="287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</row>
    <row r="33" spans="1:26" ht="15" customHeight="1">
      <c r="A33" s="278" t="s">
        <v>602</v>
      </c>
      <c r="B33" s="299">
        <f>'rashodi-2'!E18</f>
        <v>158880</v>
      </c>
      <c r="C33" s="299">
        <f>'rashodi-2'!F18</f>
        <v>400000</v>
      </c>
      <c r="D33" s="317">
        <f t="shared" si="0"/>
        <v>251.76233635448136</v>
      </c>
      <c r="E33" s="276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5" ht="15" customHeight="1" thickBot="1">
      <c r="A34" s="292" t="s">
        <v>499</v>
      </c>
      <c r="B34" s="301">
        <f>'rashodi-2'!E23</f>
        <v>118180</v>
      </c>
      <c r="C34" s="301">
        <f>'rashodi-2'!F23</f>
        <v>108400</v>
      </c>
      <c r="D34" s="312">
        <f t="shared" si="0"/>
        <v>91.72448806904721</v>
      </c>
      <c r="E34" s="276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 ht="15" customHeight="1" thickBot="1" thickTop="1">
      <c r="A35" s="290" t="s">
        <v>502</v>
      </c>
      <c r="B35" s="291">
        <f>B17-B30</f>
        <v>3503390</v>
      </c>
      <c r="C35" s="291">
        <f>C17-C30</f>
        <v>3002280</v>
      </c>
      <c r="D35" s="313">
        <f t="shared" si="0"/>
        <v>85.6964254621952</v>
      </c>
      <c r="E35" s="276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5" ht="15" customHeight="1" thickTop="1">
      <c r="A36" s="281" t="s">
        <v>500</v>
      </c>
      <c r="B36" s="289">
        <f>'prihodi-5'!D32</f>
        <v>0</v>
      </c>
      <c r="C36" s="289">
        <f>'prihodi-5'!E32</f>
        <v>0</v>
      </c>
      <c r="D36" s="311">
        <f t="shared" si="0"/>
        <v>0</v>
      </c>
      <c r="E36" s="276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ht="15" customHeight="1" thickBot="1">
      <c r="A37" s="297" t="s">
        <v>501</v>
      </c>
      <c r="B37" s="298">
        <f>'rashodi-2'!E30</f>
        <v>1466410</v>
      </c>
      <c r="C37" s="298">
        <f>'rashodi-2'!F30</f>
        <v>1355930</v>
      </c>
      <c r="D37" s="314">
        <f t="shared" si="0"/>
        <v>92.46595426926984</v>
      </c>
      <c r="E37" s="276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1:25" ht="15" customHeight="1" thickBot="1" thickTop="1">
      <c r="A38" s="293" t="s">
        <v>503</v>
      </c>
      <c r="B38" s="294">
        <f>B36-B37</f>
        <v>-1466410</v>
      </c>
      <c r="C38" s="294">
        <f>C36-C37</f>
        <v>-1355930</v>
      </c>
      <c r="D38" s="315">
        <f t="shared" si="0"/>
        <v>92.46595426926984</v>
      </c>
      <c r="E38" s="276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  <row r="39" spans="1:25" ht="24.75" customHeight="1" thickBot="1" thickTop="1">
      <c r="A39" s="290" t="s">
        <v>522</v>
      </c>
      <c r="B39" s="291">
        <f>B35+B38</f>
        <v>2036980</v>
      </c>
      <c r="C39" s="291">
        <f>C35+C38</f>
        <v>1646350</v>
      </c>
      <c r="D39" s="313">
        <f t="shared" si="0"/>
        <v>80.82308122809256</v>
      </c>
      <c r="E39" s="276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ht="15" customHeight="1" thickTop="1">
      <c r="A40" s="281" t="s">
        <v>506</v>
      </c>
      <c r="B40" s="289">
        <f>0</f>
        <v>0</v>
      </c>
      <c r="C40" s="289">
        <f>0</f>
        <v>0</v>
      </c>
      <c r="D40" s="311">
        <f t="shared" si="0"/>
        <v>0</v>
      </c>
      <c r="E40" s="276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1" spans="1:25" ht="26.25" customHeight="1">
      <c r="A41" s="239" t="s">
        <v>507</v>
      </c>
      <c r="B41" s="289">
        <f>B42</f>
        <v>1946960</v>
      </c>
      <c r="C41" s="289">
        <f>C42</f>
        <v>1461750</v>
      </c>
      <c r="D41" s="311">
        <f t="shared" si="0"/>
        <v>75.07858404897893</v>
      </c>
      <c r="E41" s="276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</row>
    <row r="42" spans="1:26" ht="15" customHeight="1" thickBot="1">
      <c r="A42" s="278" t="s">
        <v>510</v>
      </c>
      <c r="B42" s="299">
        <f>'rashodi-2'!E36</f>
        <v>1946960</v>
      </c>
      <c r="C42" s="299">
        <f>'rashodi-2'!F36</f>
        <v>1461750</v>
      </c>
      <c r="D42" s="317">
        <f t="shared" si="0"/>
        <v>75.07858404897893</v>
      </c>
      <c r="E42" s="276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5" ht="15" customHeight="1" thickBot="1" thickTop="1">
      <c r="A43" s="293" t="s">
        <v>511</v>
      </c>
      <c r="B43" s="294">
        <f>B40-B41</f>
        <v>-1946960</v>
      </c>
      <c r="C43" s="294">
        <f>C40-C41</f>
        <v>-1461750</v>
      </c>
      <c r="D43" s="315">
        <f t="shared" si="0"/>
        <v>75.07858404897893</v>
      </c>
      <c r="E43" s="276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15" customHeight="1" thickBot="1" thickTop="1">
      <c r="A44" s="293" t="s">
        <v>512</v>
      </c>
      <c r="B44" s="294">
        <f>B39+B43</f>
        <v>90020</v>
      </c>
      <c r="C44" s="294">
        <f>C39+C43</f>
        <v>184600</v>
      </c>
      <c r="D44" s="315">
        <f t="shared" si="0"/>
        <v>205.0655409908909</v>
      </c>
      <c r="E44" s="276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1:25" ht="15" customHeight="1" thickBot="1" thickTop="1">
      <c r="A45" s="293" t="s">
        <v>513</v>
      </c>
      <c r="B45" s="294">
        <f>B44</f>
        <v>90020</v>
      </c>
      <c r="C45" s="294">
        <f>C44</f>
        <v>184600</v>
      </c>
      <c r="D45" s="315">
        <f t="shared" si="0"/>
        <v>205.0655409908909</v>
      </c>
      <c r="E45" s="276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25" ht="15" customHeight="1" thickTop="1">
      <c r="A46" s="295"/>
      <c r="B46" s="296"/>
      <c r="C46" s="296"/>
      <c r="D46" s="316"/>
      <c r="E46" s="276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</row>
    <row r="47" spans="1:25" ht="15" customHeight="1">
      <c r="A47" s="281" t="s">
        <v>488</v>
      </c>
      <c r="B47" s="289">
        <f>B17+B36+B40</f>
        <v>37584540</v>
      </c>
      <c r="C47" s="289">
        <f>C17+C36+C40</f>
        <v>39533110</v>
      </c>
      <c r="D47" s="311">
        <f t="shared" si="0"/>
        <v>105.18449873272363</v>
      </c>
      <c r="E47" s="276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</row>
    <row r="48" spans="1:25" ht="15" customHeight="1">
      <c r="A48" s="281" t="s">
        <v>514</v>
      </c>
      <c r="B48" s="289">
        <f>B30+B37+B41+B45</f>
        <v>37584540</v>
      </c>
      <c r="C48" s="289">
        <f>C30+C37+C41+C45</f>
        <v>39533110</v>
      </c>
      <c r="D48" s="311">
        <f t="shared" si="0"/>
        <v>105.18449873272363</v>
      </c>
      <c r="E48" s="276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26" ht="15" customHeight="1">
      <c r="A49" s="56"/>
      <c r="C49" s="107"/>
      <c r="D49" s="11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5" customHeight="1">
      <c r="A50" s="55" t="s">
        <v>239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6:26" ht="14.25" customHeight="1"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5.5" customHeight="1">
      <c r="A52" s="422" t="s">
        <v>627</v>
      </c>
      <c r="B52" s="422"/>
      <c r="C52" s="422"/>
      <c r="D52" s="422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6:26" ht="15" customHeight="1"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15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5" customHeight="1">
      <c r="A55" s="92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1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1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1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1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1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1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1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15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1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1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1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1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1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1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1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1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1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1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1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1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1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1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1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1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1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1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1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15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15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1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15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1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15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1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5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1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1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1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1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1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1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1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15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15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1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1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15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15" customHeight="1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15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15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15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15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15" customHeigh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15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5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15" customHeight="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15" customHeight="1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5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15" customHeight="1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15" customHeigh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15" customHeigh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15" customHeigh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15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15" customHeight="1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15" customHeight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15" customHeigh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15" customHeight="1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15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15" customHeight="1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15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15" customHeight="1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15" customHeight="1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15" customHeight="1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15" customHeigh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15" customHeight="1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15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15" customHeight="1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15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15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15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15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15" customHeigh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15" customHeight="1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15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15" customHeight="1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15" customHeight="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15" customHeight="1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5" customHeigh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15" customHeight="1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5" customHeight="1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15" customHeight="1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15" customHeigh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15" customHeight="1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15" customHeight="1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15" customHeight="1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15" customHeight="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15" customHeigh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5" customHeight="1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15" customHeight="1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5" customHeight="1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15" customHeight="1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15" customHeight="1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5" customHeight="1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15" customHeight="1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15" customHeight="1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5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5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15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6:26" ht="15" customHeight="1"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6:26" ht="15" customHeight="1"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6:26" ht="15" customHeight="1"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6:26" ht="15" customHeight="1"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6:26" ht="15" customHeight="1"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6:26" ht="15" customHeight="1"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6:26" ht="15" customHeight="1"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6:26" ht="15" customHeight="1"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6:26" ht="15" customHeight="1"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6:26" ht="15" customHeight="1"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6:26" ht="15" customHeight="1"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6:26" ht="15" customHeight="1"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6:26" ht="15" customHeight="1"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6:26" ht="15" customHeight="1"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6:26" ht="15" customHeight="1"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6:26" ht="15" customHeight="1"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6:26" ht="15" customHeight="1"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6:26" ht="15" customHeight="1"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6:26" ht="15" customHeight="1"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6:26" ht="15" customHeight="1"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6:26" ht="15" customHeight="1"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6:26" ht="15" customHeight="1"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6:26" ht="15" customHeight="1"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6:26" ht="15" customHeight="1"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6:26" ht="15" customHeight="1"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6:26" ht="15" customHeight="1"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6:26" ht="15" customHeight="1"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6:26" ht="15" customHeight="1"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6:26" ht="15" customHeight="1"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6:26" ht="15" customHeight="1"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6:26" ht="15" customHeight="1"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6:26" ht="15" customHeight="1"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6:26" ht="15" customHeight="1"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6:26" ht="15" customHeight="1"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6:26" ht="15" customHeight="1"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6:26" ht="15" customHeight="1"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6:26" ht="15" customHeight="1"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6:26" ht="15" customHeight="1"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6:26" ht="15" customHeight="1"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6:26" ht="15" customHeight="1"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6:26" ht="15" customHeight="1"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6:26" ht="15" customHeight="1"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6:26" ht="15" customHeight="1"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6:26" ht="15" customHeight="1"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6:26" ht="15" customHeight="1"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6:26" ht="15" customHeight="1"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6:26" ht="15" customHeight="1"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6:26" ht="15" customHeight="1"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6:26" ht="15" customHeight="1"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6:26" ht="15" customHeight="1"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6:26" ht="15" customHeight="1"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6:26" ht="15" customHeight="1"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6:26" ht="15" customHeight="1"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6:26" ht="15" customHeight="1"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6:26" ht="15" customHeight="1"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6:26" ht="15" customHeight="1"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6:26" ht="15" customHeight="1"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6:26" ht="15" customHeight="1"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6:26" ht="15" customHeight="1"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6:26" ht="15" customHeight="1"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6:26" ht="15" customHeight="1"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6:26" ht="15" customHeight="1"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6:26" ht="15" customHeight="1"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6:26" ht="15" customHeight="1"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6:26" ht="15" customHeight="1"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6:26" ht="15" customHeight="1"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6:26" ht="15" customHeight="1"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6:26" ht="15" customHeight="1"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6:26" ht="15" customHeight="1"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6:26" ht="15" customHeight="1"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6:26" ht="15" customHeight="1"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6:26" ht="15" customHeight="1"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6:26" ht="15" customHeight="1"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6:26" ht="15" customHeight="1"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6:26" ht="15" customHeight="1"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6:26" ht="15" customHeight="1"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6:26" ht="15" customHeight="1"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6:26" ht="15" customHeight="1"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6:26" ht="15" customHeight="1"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6:26" ht="15" customHeight="1"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6:26" ht="15" customHeight="1"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6:26" ht="15" customHeight="1"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6:26" ht="15" customHeight="1"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6:26" ht="15" customHeight="1"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6:26" ht="15" customHeight="1"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6:26" ht="15" customHeight="1"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6:26" ht="15" customHeight="1"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6:26" ht="15" customHeight="1"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6:26" ht="15" customHeight="1"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6:26" ht="15" customHeight="1"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6:26" ht="15" customHeight="1"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6:26" ht="15" customHeight="1"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6:26" ht="15" customHeight="1"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6:26" ht="15" customHeight="1"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6:26" ht="15" customHeight="1"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6:26" ht="15" customHeight="1"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6:26" ht="15" customHeight="1"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6:26" ht="15" customHeight="1"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6:26" ht="15" customHeight="1"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6:26" ht="15" customHeight="1"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6:26" ht="15" customHeight="1"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6:26" ht="15" customHeight="1"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6:26" ht="15" customHeight="1"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6:26" ht="15" customHeight="1"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6:26" ht="15" customHeight="1"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6:26" ht="15" customHeight="1"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6:26" ht="15" customHeight="1"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6:26" ht="15" customHeight="1"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6:26" ht="15" customHeight="1"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6:26" ht="15" customHeight="1"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6:26" ht="15" customHeight="1"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6:26" ht="15" customHeight="1"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6:26" ht="15" customHeight="1"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6:26" ht="15" customHeight="1"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6:26" ht="15" customHeight="1"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6:26" ht="15" customHeight="1"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6:26" ht="15" customHeight="1"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6:26" ht="15" customHeight="1"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6:26" ht="15" customHeight="1"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6:26" ht="15" customHeight="1"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6:26" ht="15" customHeight="1"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6:26" ht="15" customHeight="1"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6:26" ht="15" customHeight="1"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6:26" ht="15" customHeight="1"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6:26" ht="15" customHeight="1"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6:26" ht="15" customHeight="1"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6:26" ht="15" customHeight="1"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6:26" ht="15" customHeight="1"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6:26" ht="15" customHeight="1"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6:26" ht="15" customHeight="1"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6:26" ht="15" customHeight="1"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6:26" ht="15" customHeight="1"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6:26" ht="15" customHeight="1"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6:26" ht="15" customHeight="1"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6:26" ht="15" customHeight="1"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6:26" ht="15" customHeight="1"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6:26" ht="15" customHeight="1"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</sheetData>
  <sheetProtection/>
  <mergeCells count="5">
    <mergeCell ref="A52:D52"/>
    <mergeCell ref="A1:D5"/>
    <mergeCell ref="A7:D7"/>
    <mergeCell ref="A8:D8"/>
    <mergeCell ref="A13:D13"/>
  </mergeCells>
  <printOptions/>
  <pageMargins left="0.71" right="0.31" top="0.52" bottom="0.5" header="0.5" footer="0.5"/>
  <pageSetup horizontalDpi="600" verticalDpi="600" orientation="portrait" paperSize="9" scale="95" r:id="rId1"/>
  <headerFooter alignWithMargins="0">
    <oddFooter>&amp;R1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"/>
  <dimension ref="B2:K64"/>
  <sheetViews>
    <sheetView zoomScaleSheetLayoutView="100" zoomScalePageLayoutView="0" workbookViewId="0" topLeftCell="A4">
      <selection activeCell="H11" sqref="H1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7" ht="15" customHeight="1">
      <c r="B2" s="439" t="s">
        <v>153</v>
      </c>
      <c r="C2" s="439"/>
      <c r="D2" s="439"/>
      <c r="E2" s="439"/>
      <c r="F2" s="439"/>
      <c r="G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154</v>
      </c>
      <c r="C6" s="11" t="s">
        <v>89</v>
      </c>
      <c r="D6" s="11" t="s">
        <v>90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240320</v>
      </c>
      <c r="H7" s="20">
        <f>SUM(H8:H11)</f>
        <v>269800</v>
      </c>
      <c r="I7" s="158">
        <f aca="true" t="shared" si="0" ref="I7:I51">IF(G7=0,"",H7/G7*100)</f>
        <v>112.26697736351532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46">
        <v>205500</v>
      </c>
      <c r="H8" s="46">
        <f>190800+12400+12400</f>
        <v>215600</v>
      </c>
      <c r="I8" s="159">
        <f t="shared" si="0"/>
        <v>104.91484184914842</v>
      </c>
    </row>
    <row r="9" spans="2:11" ht="12.75" customHeight="1">
      <c r="B9" s="14"/>
      <c r="C9" s="15"/>
      <c r="D9" s="15"/>
      <c r="E9" s="16">
        <v>611200</v>
      </c>
      <c r="F9" s="15" t="s">
        <v>219</v>
      </c>
      <c r="G9" s="46">
        <v>32500</v>
      </c>
      <c r="H9" s="46">
        <f>31900+1500+5000</f>
        <v>38400</v>
      </c>
      <c r="I9" s="159">
        <f t="shared" si="0"/>
        <v>118.15384615384616</v>
      </c>
      <c r="K9" s="95"/>
    </row>
    <row r="10" spans="2:11" ht="12.75" customHeight="1">
      <c r="B10" s="14"/>
      <c r="C10" s="15"/>
      <c r="D10" s="15"/>
      <c r="E10" s="16">
        <v>611200</v>
      </c>
      <c r="F10" s="26" t="s">
        <v>751</v>
      </c>
      <c r="G10" s="87">
        <v>2320</v>
      </c>
      <c r="H10" s="87">
        <v>15800</v>
      </c>
      <c r="I10" s="159">
        <f t="shared" si="0"/>
        <v>681.0344827586207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21800</v>
      </c>
      <c r="H13" s="20">
        <f>H14+H15</f>
        <v>23150</v>
      </c>
      <c r="I13" s="158">
        <f t="shared" si="0"/>
        <v>106.19266055045871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6">
        <v>21800</v>
      </c>
      <c r="H14" s="46">
        <f>20500+2650</f>
        <v>23150</v>
      </c>
      <c r="I14" s="159">
        <f t="shared" si="0"/>
        <v>106.19266055045871</v>
      </c>
    </row>
    <row r="15" spans="2:9" ht="12.75" customHeight="1">
      <c r="B15" s="14"/>
      <c r="C15" s="15"/>
      <c r="D15" s="15"/>
      <c r="E15" s="16"/>
      <c r="F15" s="15"/>
      <c r="G15" s="123"/>
      <c r="H15" s="123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114"/>
      <c r="H16" s="114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114">
        <f>SUM(G18:G29)</f>
        <v>107190</v>
      </c>
      <c r="H17" s="114">
        <f>SUM(H18:H29)</f>
        <v>117100</v>
      </c>
      <c r="I17" s="158">
        <f t="shared" si="0"/>
        <v>109.24526541655004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123">
        <v>3500</v>
      </c>
      <c r="H18" s="123">
        <v>3500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123">
        <v>0</v>
      </c>
      <c r="H19" s="123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123">
        <v>4100</v>
      </c>
      <c r="H20" s="123">
        <v>4100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123">
        <v>23000</v>
      </c>
      <c r="H21" s="123">
        <v>23000</v>
      </c>
      <c r="I21" s="159">
        <f t="shared" si="0"/>
        <v>100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123">
        <f>2200+600</f>
        <v>2800</v>
      </c>
      <c r="H22" s="123">
        <v>0</v>
      </c>
      <c r="I22" s="159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123">
        <v>0</v>
      </c>
      <c r="H23" s="123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123">
        <v>1700</v>
      </c>
      <c r="H24" s="123">
        <v>1000</v>
      </c>
      <c r="I24" s="159">
        <f t="shared" si="0"/>
        <v>58.82352941176471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123">
        <v>350</v>
      </c>
      <c r="H25" s="123">
        <v>0</v>
      </c>
      <c r="I25" s="159">
        <f t="shared" si="0"/>
        <v>0</v>
      </c>
    </row>
    <row r="26" spans="2:9" ht="12.75" customHeight="1">
      <c r="B26" s="14"/>
      <c r="C26" s="15"/>
      <c r="D26" s="15"/>
      <c r="E26" s="16">
        <v>613800</v>
      </c>
      <c r="F26" s="26" t="s">
        <v>198</v>
      </c>
      <c r="G26" s="123">
        <v>0</v>
      </c>
      <c r="H26" s="123">
        <v>0</v>
      </c>
      <c r="I26" s="159">
        <f t="shared" si="0"/>
      </c>
    </row>
    <row r="27" spans="2:9" ht="12.75" customHeight="1">
      <c r="B27" s="14"/>
      <c r="C27" s="15"/>
      <c r="D27" s="15"/>
      <c r="E27" s="16">
        <v>613900</v>
      </c>
      <c r="F27" s="26" t="s">
        <v>178</v>
      </c>
      <c r="G27" s="123">
        <v>14000</v>
      </c>
      <c r="H27" s="123">
        <v>14000</v>
      </c>
      <c r="I27" s="159">
        <f t="shared" si="0"/>
        <v>100</v>
      </c>
    </row>
    <row r="28" spans="2:9" ht="12.75" customHeight="1">
      <c r="B28" s="14"/>
      <c r="C28" s="15"/>
      <c r="D28" s="15"/>
      <c r="E28" s="16">
        <v>613900</v>
      </c>
      <c r="F28" s="26" t="s">
        <v>191</v>
      </c>
      <c r="G28" s="123">
        <v>55000</v>
      </c>
      <c r="H28" s="123">
        <v>55000</v>
      </c>
      <c r="I28" s="159">
        <f t="shared" si="0"/>
        <v>100</v>
      </c>
    </row>
    <row r="29" spans="2:9" ht="12.75" customHeight="1">
      <c r="B29" s="14"/>
      <c r="C29" s="15"/>
      <c r="D29" s="15"/>
      <c r="E29" s="16">
        <v>613900</v>
      </c>
      <c r="F29" s="26" t="s">
        <v>752</v>
      </c>
      <c r="G29" s="123">
        <v>2740</v>
      </c>
      <c r="H29" s="123">
        <v>16500</v>
      </c>
      <c r="I29" s="159">
        <f t="shared" si="0"/>
        <v>602.1897810218978</v>
      </c>
    </row>
    <row r="30" spans="2:9" ht="12.75" customHeight="1">
      <c r="B30" s="14"/>
      <c r="C30" s="15"/>
      <c r="D30" s="15"/>
      <c r="E30" s="16"/>
      <c r="F30" s="15"/>
      <c r="G30" s="123"/>
      <c r="H30" s="123"/>
      <c r="I30" s="159">
        <f t="shared" si="0"/>
      </c>
    </row>
    <row r="31" spans="2:9" s="1" customFormat="1" ht="12.75" customHeight="1">
      <c r="B31" s="17"/>
      <c r="C31" s="12"/>
      <c r="D31" s="12"/>
      <c r="E31" s="9">
        <v>614000</v>
      </c>
      <c r="F31" s="12" t="s">
        <v>222</v>
      </c>
      <c r="G31" s="114">
        <f>SUM(G32:G38)</f>
        <v>924000</v>
      </c>
      <c r="H31" s="114">
        <f>SUM(H32:H38)</f>
        <v>1060000</v>
      </c>
      <c r="I31" s="158">
        <f t="shared" si="0"/>
        <v>114.7186147186147</v>
      </c>
    </row>
    <row r="32" spans="2:10" s="201" customFormat="1" ht="24.75" customHeight="1">
      <c r="B32" s="193"/>
      <c r="C32" s="194"/>
      <c r="D32" s="195"/>
      <c r="E32" s="196">
        <v>614100</v>
      </c>
      <c r="F32" s="197" t="s">
        <v>245</v>
      </c>
      <c r="G32" s="198">
        <v>205000</v>
      </c>
      <c r="H32" s="198">
        <v>200000</v>
      </c>
      <c r="I32" s="199">
        <f t="shared" si="0"/>
        <v>97.5609756097561</v>
      </c>
      <c r="J32" s="200"/>
    </row>
    <row r="33" spans="2:9" ht="12.75" customHeight="1">
      <c r="B33" s="14"/>
      <c r="C33" s="15"/>
      <c r="D33" s="15"/>
      <c r="E33" s="124">
        <v>614100</v>
      </c>
      <c r="F33" s="121" t="s">
        <v>108</v>
      </c>
      <c r="G33" s="123">
        <v>200000</v>
      </c>
      <c r="H33" s="123">
        <v>250000</v>
      </c>
      <c r="I33" s="159">
        <f t="shared" si="0"/>
        <v>125</v>
      </c>
    </row>
    <row r="34" spans="2:9" ht="12.75" customHeight="1">
      <c r="B34" s="14"/>
      <c r="C34" s="15"/>
      <c r="D34" s="15"/>
      <c r="E34" s="124">
        <v>614100</v>
      </c>
      <c r="F34" s="121" t="s">
        <v>535</v>
      </c>
      <c r="G34" s="123">
        <v>277000</v>
      </c>
      <c r="H34" s="123">
        <v>295000</v>
      </c>
      <c r="I34" s="159">
        <f t="shared" si="0"/>
        <v>106.49819494584838</v>
      </c>
    </row>
    <row r="35" spans="2:9" ht="12.75" customHeight="1">
      <c r="B35" s="14"/>
      <c r="C35" s="15"/>
      <c r="D35" s="15"/>
      <c r="E35" s="16">
        <v>614200</v>
      </c>
      <c r="F35" s="30" t="s">
        <v>121</v>
      </c>
      <c r="G35" s="123">
        <v>117000</v>
      </c>
      <c r="H35" s="123">
        <v>120000</v>
      </c>
      <c r="I35" s="159">
        <f t="shared" si="0"/>
        <v>102.56410256410255</v>
      </c>
    </row>
    <row r="36" spans="2:9" s="201" customFormat="1" ht="24.75" customHeight="1">
      <c r="B36" s="193"/>
      <c r="C36" s="194"/>
      <c r="D36" s="194"/>
      <c r="E36" s="196">
        <v>614200</v>
      </c>
      <c r="F36" s="202" t="s">
        <v>344</v>
      </c>
      <c r="G36" s="198">
        <v>15000</v>
      </c>
      <c r="H36" s="198">
        <v>15000</v>
      </c>
      <c r="I36" s="199">
        <f t="shared" si="0"/>
        <v>100</v>
      </c>
    </row>
    <row r="37" spans="2:9" ht="12.75" customHeight="1">
      <c r="B37" s="14"/>
      <c r="C37" s="15"/>
      <c r="D37" s="15"/>
      <c r="E37" s="59">
        <v>614300</v>
      </c>
      <c r="F37" s="30" t="s">
        <v>109</v>
      </c>
      <c r="G37" s="123">
        <v>30000</v>
      </c>
      <c r="H37" s="123">
        <v>30000</v>
      </c>
      <c r="I37" s="159">
        <f t="shared" si="0"/>
        <v>100</v>
      </c>
    </row>
    <row r="38" spans="2:10" ht="12.75" customHeight="1">
      <c r="B38" s="14"/>
      <c r="C38" s="15"/>
      <c r="D38" s="15"/>
      <c r="E38" s="59">
        <v>614300</v>
      </c>
      <c r="F38" s="30" t="s">
        <v>110</v>
      </c>
      <c r="G38" s="123">
        <v>80000</v>
      </c>
      <c r="H38" s="123">
        <v>150000</v>
      </c>
      <c r="I38" s="159">
        <f t="shared" si="0"/>
        <v>187.5</v>
      </c>
      <c r="J38" s="113"/>
    </row>
    <row r="39" spans="2:10" ht="12.75" customHeight="1">
      <c r="B39" s="14"/>
      <c r="C39" s="15"/>
      <c r="D39" s="15"/>
      <c r="E39" s="59"/>
      <c r="F39" s="30"/>
      <c r="G39" s="123"/>
      <c r="H39" s="123"/>
      <c r="I39" s="159">
        <f t="shared" si="0"/>
      </c>
      <c r="J39" s="113"/>
    </row>
    <row r="40" spans="2:10" ht="12.75" customHeight="1">
      <c r="B40" s="14"/>
      <c r="C40" s="15"/>
      <c r="D40" s="15"/>
      <c r="E40" s="9">
        <v>615000</v>
      </c>
      <c r="F40" s="34" t="s">
        <v>97</v>
      </c>
      <c r="G40" s="114">
        <f>G41</f>
        <v>0</v>
      </c>
      <c r="H40" s="114">
        <f>H41</f>
        <v>0</v>
      </c>
      <c r="I40" s="158">
        <f t="shared" si="0"/>
      </c>
      <c r="J40" s="113"/>
    </row>
    <row r="41" spans="2:10" ht="12.75" customHeight="1">
      <c r="B41" s="14"/>
      <c r="C41" s="15"/>
      <c r="D41" s="15"/>
      <c r="E41" s="16">
        <v>615100</v>
      </c>
      <c r="F41" s="69" t="s">
        <v>97</v>
      </c>
      <c r="G41" s="123">
        <v>0</v>
      </c>
      <c r="H41" s="123">
        <v>0</v>
      </c>
      <c r="I41" s="159">
        <f t="shared" si="0"/>
      </c>
      <c r="J41" s="113"/>
    </row>
    <row r="42" spans="2:9" ht="12.75" customHeight="1">
      <c r="B42" s="14"/>
      <c r="C42" s="15"/>
      <c r="D42" s="15"/>
      <c r="E42" s="59"/>
      <c r="F42" s="30"/>
      <c r="G42" s="123"/>
      <c r="H42" s="123"/>
      <c r="I42" s="159">
        <f t="shared" si="0"/>
      </c>
    </row>
    <row r="43" spans="2:9" ht="12.75" customHeight="1">
      <c r="B43" s="14"/>
      <c r="C43" s="15"/>
      <c r="D43" s="15"/>
      <c r="E43" s="9">
        <v>616000</v>
      </c>
      <c r="F43" s="34" t="s">
        <v>223</v>
      </c>
      <c r="G43" s="114">
        <f>G44</f>
        <v>16220</v>
      </c>
      <c r="H43" s="114">
        <f>H44</f>
        <v>13100</v>
      </c>
      <c r="I43" s="158">
        <f t="shared" si="0"/>
        <v>80.76448828606658</v>
      </c>
    </row>
    <row r="44" spans="2:9" ht="12.75" customHeight="1">
      <c r="B44" s="14"/>
      <c r="C44" s="15"/>
      <c r="D44" s="15"/>
      <c r="E44" s="16">
        <v>616300</v>
      </c>
      <c r="F44" s="69" t="s">
        <v>235</v>
      </c>
      <c r="G44" s="123">
        <v>16220</v>
      </c>
      <c r="H44" s="123">
        <v>13100</v>
      </c>
      <c r="I44" s="159">
        <f t="shared" si="0"/>
        <v>80.76448828606658</v>
      </c>
    </row>
    <row r="45" spans="2:9" ht="12.75" customHeight="1">
      <c r="B45" s="14"/>
      <c r="C45" s="15"/>
      <c r="D45" s="15"/>
      <c r="E45" s="16"/>
      <c r="F45" s="15"/>
      <c r="G45" s="87"/>
      <c r="H45" s="87"/>
      <c r="I45" s="159">
        <f t="shared" si="0"/>
      </c>
    </row>
    <row r="46" spans="2:9" s="1" customFormat="1" ht="12.75" customHeight="1">
      <c r="B46" s="17"/>
      <c r="C46" s="12"/>
      <c r="D46" s="12"/>
      <c r="E46" s="9">
        <v>821000</v>
      </c>
      <c r="F46" s="12" t="s">
        <v>98</v>
      </c>
      <c r="G46" s="114">
        <f>SUM(G47:G48)</f>
        <v>107080</v>
      </c>
      <c r="H46" s="114">
        <f>SUM(H47:H48)</f>
        <v>1000</v>
      </c>
      <c r="I46" s="158">
        <f t="shared" si="0"/>
        <v>0.9338812103100484</v>
      </c>
    </row>
    <row r="47" spans="2:9" ht="12.75" customHeight="1">
      <c r="B47" s="14"/>
      <c r="C47" s="15"/>
      <c r="D47" s="15"/>
      <c r="E47" s="16">
        <v>821200</v>
      </c>
      <c r="F47" s="15" t="s">
        <v>99</v>
      </c>
      <c r="G47" s="87">
        <v>106080</v>
      </c>
      <c r="H47" s="87">
        <v>0</v>
      </c>
      <c r="I47" s="159">
        <f t="shared" si="0"/>
        <v>0</v>
      </c>
    </row>
    <row r="48" spans="2:9" ht="12.75" customHeight="1">
      <c r="B48" s="14"/>
      <c r="C48" s="15"/>
      <c r="D48" s="15"/>
      <c r="E48" s="16">
        <v>821300</v>
      </c>
      <c r="F48" s="15" t="s">
        <v>100</v>
      </c>
      <c r="G48" s="123">
        <v>1000</v>
      </c>
      <c r="H48" s="123">
        <v>1000</v>
      </c>
      <c r="I48" s="159">
        <f t="shared" si="0"/>
        <v>100</v>
      </c>
    </row>
    <row r="49" spans="2:9" ht="12.75" customHeight="1">
      <c r="B49" s="14"/>
      <c r="C49" s="15"/>
      <c r="D49" s="15"/>
      <c r="E49" s="16"/>
      <c r="F49" s="15"/>
      <c r="G49" s="87"/>
      <c r="H49" s="87"/>
      <c r="I49" s="159">
        <f t="shared" si="0"/>
      </c>
    </row>
    <row r="50" spans="2:9" ht="12.75" customHeight="1">
      <c r="B50" s="14"/>
      <c r="C50" s="15"/>
      <c r="D50" s="15"/>
      <c r="E50" s="9">
        <v>823000</v>
      </c>
      <c r="F50" s="12" t="s">
        <v>224</v>
      </c>
      <c r="G50" s="114">
        <f>G51</f>
        <v>75850</v>
      </c>
      <c r="H50" s="114">
        <f>H51</f>
        <v>77100</v>
      </c>
      <c r="I50" s="158">
        <f t="shared" si="0"/>
        <v>101.6479894528675</v>
      </c>
    </row>
    <row r="51" spans="2:9" ht="12.75" customHeight="1">
      <c r="B51" s="14"/>
      <c r="C51" s="15"/>
      <c r="D51" s="15"/>
      <c r="E51" s="16">
        <v>823300</v>
      </c>
      <c r="F51" s="26" t="s">
        <v>197</v>
      </c>
      <c r="G51" s="123">
        <v>75850</v>
      </c>
      <c r="H51" s="123">
        <v>77100</v>
      </c>
      <c r="I51" s="159">
        <f t="shared" si="0"/>
        <v>101.6479894528675</v>
      </c>
    </row>
    <row r="52" spans="2:9" ht="12.75" customHeight="1">
      <c r="B52" s="14"/>
      <c r="C52" s="15"/>
      <c r="D52" s="15"/>
      <c r="E52" s="16"/>
      <c r="F52" s="26"/>
      <c r="G52" s="87"/>
      <c r="H52" s="87"/>
      <c r="I52" s="159"/>
    </row>
    <row r="53" spans="2:9" ht="12.75" customHeight="1">
      <c r="B53" s="14"/>
      <c r="C53" s="15"/>
      <c r="D53" s="15"/>
      <c r="E53" s="16"/>
      <c r="F53" s="15"/>
      <c r="G53" s="87"/>
      <c r="H53" s="87"/>
      <c r="I53" s="159"/>
    </row>
    <row r="54" spans="2:9" s="1" customFormat="1" ht="12.75" customHeight="1">
      <c r="B54" s="17"/>
      <c r="C54" s="12"/>
      <c r="D54" s="12"/>
      <c r="E54" s="9"/>
      <c r="F54" s="12" t="s">
        <v>101</v>
      </c>
      <c r="G54" s="20">
        <v>9</v>
      </c>
      <c r="H54" s="20">
        <v>10</v>
      </c>
      <c r="I54" s="159"/>
    </row>
    <row r="55" spans="2:9" s="1" customFormat="1" ht="12.75" customHeight="1">
      <c r="B55" s="17"/>
      <c r="C55" s="12"/>
      <c r="D55" s="12"/>
      <c r="E55" s="9"/>
      <c r="F55" s="12" t="s">
        <v>122</v>
      </c>
      <c r="G55" s="20">
        <f>G7+G13+G17+G31+G40+G43+G46+G50</f>
        <v>1492460</v>
      </c>
      <c r="H55" s="20">
        <f>H7+H13+H17+H31+H40+H43+H46+H50</f>
        <v>1561250</v>
      </c>
      <c r="I55" s="158">
        <f>IF(G55=0,"",H55/G55*100)</f>
        <v>104.6091687549415</v>
      </c>
    </row>
    <row r="56" spans="2:9" s="1" customFormat="1" ht="12.75" customHeight="1">
      <c r="B56" s="17"/>
      <c r="C56" s="12"/>
      <c r="D56" s="12"/>
      <c r="E56" s="9"/>
      <c r="F56" s="12" t="s">
        <v>102</v>
      </c>
      <c r="G56" s="20"/>
      <c r="H56" s="15"/>
      <c r="I56" s="160"/>
    </row>
    <row r="57" spans="2:9" s="1" customFormat="1" ht="12.75" customHeight="1">
      <c r="B57" s="17"/>
      <c r="C57" s="12"/>
      <c r="D57" s="12"/>
      <c r="E57" s="9"/>
      <c r="F57" s="12" t="s">
        <v>103</v>
      </c>
      <c r="G57" s="20"/>
      <c r="H57" s="15"/>
      <c r="I57" s="160"/>
    </row>
    <row r="58" spans="2:9" ht="12.75" customHeight="1" thickBot="1">
      <c r="B58" s="21"/>
      <c r="C58" s="22"/>
      <c r="D58" s="22"/>
      <c r="E58" s="23"/>
      <c r="F58" s="22"/>
      <c r="G58" s="50"/>
      <c r="H58" s="22"/>
      <c r="I58" s="162"/>
    </row>
    <row r="61" ht="12.75">
      <c r="B61" s="86"/>
    </row>
    <row r="62" ht="12.75">
      <c r="B62" s="86"/>
    </row>
    <row r="63" ht="12.75">
      <c r="B63" s="86"/>
    </row>
    <row r="64" ht="12.75">
      <c r="B64" s="86"/>
    </row>
  </sheetData>
  <sheetProtection/>
  <mergeCells count="2">
    <mergeCell ref="B2:G2"/>
    <mergeCell ref="F3:G3"/>
  </mergeCells>
  <printOptions/>
  <pageMargins left="0.2" right="0.2" top="0.5905511811023623" bottom="0.54" header="0.5118110236220472" footer="0.5118110236220472"/>
  <pageSetup horizontalDpi="180" verticalDpi="180" orientation="portrait" paperSize="9" scale="88" r:id="rId1"/>
  <headerFooter alignWithMargins="0">
    <oddFooter>&amp;R28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/>
  <dimension ref="B2:L60"/>
  <sheetViews>
    <sheetView zoomScaleSheetLayoutView="100" zoomScalePageLayoutView="0" workbookViewId="0" topLeftCell="A4">
      <selection activeCell="H10" sqref="H1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7" ht="15" customHeight="1">
      <c r="B2" s="439" t="s">
        <v>179</v>
      </c>
      <c r="C2" s="439"/>
      <c r="D2" s="439"/>
      <c r="E2" s="439"/>
      <c r="F2" s="439"/>
      <c r="G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154</v>
      </c>
      <c r="C6" s="11" t="s">
        <v>143</v>
      </c>
      <c r="D6" s="11" t="s">
        <v>128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1168500</v>
      </c>
      <c r="H7" s="20">
        <f>SUM(H8:H11)</f>
        <v>1108380</v>
      </c>
      <c r="I7" s="158">
        <f aca="true" t="shared" si="0" ref="I7:I38">IF(G7=0,"",H7/G7*100)</f>
        <v>94.85494223363287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46">
        <v>951600</v>
      </c>
      <c r="H8" s="46">
        <f>884200+2860+3650</f>
        <v>890710</v>
      </c>
      <c r="I8" s="159">
        <f t="shared" si="0"/>
        <v>93.60130306851619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46">
        <v>211200</v>
      </c>
      <c r="H9" s="46">
        <f>207400+2*2520+830</f>
        <v>213270</v>
      </c>
      <c r="I9" s="159">
        <f t="shared" si="0"/>
        <v>100.98011363636363</v>
      </c>
    </row>
    <row r="10" spans="2:11" ht="12.75" customHeight="1">
      <c r="B10" s="14"/>
      <c r="C10" s="15"/>
      <c r="D10" s="15"/>
      <c r="E10" s="16">
        <v>611200</v>
      </c>
      <c r="F10" s="26" t="s">
        <v>741</v>
      </c>
      <c r="G10" s="87">
        <v>5700</v>
      </c>
      <c r="H10" s="87">
        <v>4400</v>
      </c>
      <c r="I10" s="159">
        <f t="shared" si="0"/>
        <v>77.19298245614034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11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  <c r="K12" s="86" t="s">
        <v>186</v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99500</v>
      </c>
      <c r="H13" s="20">
        <f>H14+H15</f>
        <v>93100</v>
      </c>
      <c r="I13" s="158">
        <f t="shared" si="0"/>
        <v>93.5678391959799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6">
        <v>99500</v>
      </c>
      <c r="H14" s="46">
        <v>93100</v>
      </c>
      <c r="I14" s="159">
        <f t="shared" si="0"/>
        <v>93.5678391959799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191200</v>
      </c>
      <c r="H17" s="51">
        <f>SUM(H18:H27)</f>
        <v>179900</v>
      </c>
      <c r="I17" s="158">
        <f t="shared" si="0"/>
        <v>94.08995815899581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7000</v>
      </c>
      <c r="H18" s="46">
        <v>7000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78000</v>
      </c>
      <c r="H19" s="46">
        <v>75000</v>
      </c>
      <c r="I19" s="159">
        <f t="shared" si="0"/>
        <v>96.15384615384616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6">
        <v>8400</v>
      </c>
      <c r="H20" s="46">
        <v>8400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6">
        <v>22000</v>
      </c>
      <c r="H21" s="46">
        <v>23000</v>
      </c>
      <c r="I21" s="159">
        <f t="shared" si="0"/>
        <v>104.54545454545455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123">
        <v>1900</v>
      </c>
      <c r="H22" s="123">
        <v>1900</v>
      </c>
      <c r="I22" s="159">
        <f t="shared" si="0"/>
        <v>100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6">
        <v>0</v>
      </c>
      <c r="H23" s="46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46">
        <v>14000</v>
      </c>
      <c r="H24" s="46">
        <v>14000</v>
      </c>
      <c r="I24" s="159">
        <f t="shared" si="0"/>
        <v>100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46">
        <v>300</v>
      </c>
      <c r="H25" s="46">
        <v>300</v>
      </c>
      <c r="I25" s="159">
        <f t="shared" si="0"/>
        <v>100</v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123">
        <v>52000</v>
      </c>
      <c r="H26" s="123">
        <v>47000</v>
      </c>
      <c r="I26" s="159">
        <f t="shared" si="0"/>
        <v>90.38461538461539</v>
      </c>
    </row>
    <row r="27" spans="2:9" ht="12.75" customHeight="1">
      <c r="B27" s="14"/>
      <c r="C27" s="15"/>
      <c r="D27" s="15"/>
      <c r="E27" s="16">
        <v>613900</v>
      </c>
      <c r="F27" s="26" t="s">
        <v>742</v>
      </c>
      <c r="G27" s="115">
        <v>7600</v>
      </c>
      <c r="H27" s="115">
        <v>3300</v>
      </c>
      <c r="I27" s="159">
        <f t="shared" si="0"/>
        <v>43.42105263157895</v>
      </c>
    </row>
    <row r="28" spans="2:9" s="1" customFormat="1" ht="12.75" customHeight="1">
      <c r="B28" s="17"/>
      <c r="C28" s="12"/>
      <c r="D28" s="12"/>
      <c r="E28" s="9"/>
      <c r="F28" s="12"/>
      <c r="G28" s="46"/>
      <c r="H28" s="46"/>
      <c r="I28" s="159">
        <f t="shared" si="0"/>
      </c>
    </row>
    <row r="29" spans="2:9" ht="12.75" customHeight="1">
      <c r="B29" s="14"/>
      <c r="C29" s="15"/>
      <c r="D29" s="31"/>
      <c r="E29" s="16"/>
      <c r="F29" s="30"/>
      <c r="G29" s="46"/>
      <c r="H29" s="46"/>
      <c r="I29" s="159">
        <f t="shared" si="0"/>
      </c>
    </row>
    <row r="30" spans="2:9" ht="12.75" customHeight="1">
      <c r="B30" s="14"/>
      <c r="C30" s="15"/>
      <c r="D30" s="15"/>
      <c r="E30" s="63"/>
      <c r="F30" s="30"/>
      <c r="G30" s="46"/>
      <c r="H30" s="46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46"/>
      <c r="H31" s="46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46"/>
      <c r="H32" s="46"/>
      <c r="I32" s="159">
        <f t="shared" si="0"/>
      </c>
    </row>
    <row r="33" spans="2:9" ht="12.75" customHeight="1">
      <c r="B33" s="14"/>
      <c r="C33" s="15"/>
      <c r="D33" s="15"/>
      <c r="E33" s="9"/>
      <c r="F33" s="12"/>
      <c r="G33" s="46"/>
      <c r="H33" s="46"/>
      <c r="I33" s="159">
        <f t="shared" si="0"/>
      </c>
    </row>
    <row r="34" spans="2:9" ht="12.75" customHeight="1">
      <c r="B34" s="14"/>
      <c r="C34" s="15"/>
      <c r="D34" s="15"/>
      <c r="E34" s="16"/>
      <c r="F34" s="26"/>
      <c r="G34" s="46"/>
      <c r="H34" s="46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20">
        <f>SUM(G37:G39)</f>
        <v>13000</v>
      </c>
      <c r="H36" s="20">
        <f>SUM(H37:H39)</f>
        <v>6000</v>
      </c>
      <c r="I36" s="158">
        <f t="shared" si="0"/>
        <v>46.15384615384615</v>
      </c>
    </row>
    <row r="37" spans="2:10" ht="12.75" customHeight="1">
      <c r="B37" s="14"/>
      <c r="C37" s="15"/>
      <c r="D37" s="15"/>
      <c r="E37" s="16">
        <v>821200</v>
      </c>
      <c r="F37" s="15" t="s">
        <v>99</v>
      </c>
      <c r="G37" s="123">
        <v>10000</v>
      </c>
      <c r="H37" s="123">
        <v>6000</v>
      </c>
      <c r="I37" s="159">
        <f t="shared" si="0"/>
        <v>60</v>
      </c>
      <c r="J37" s="86"/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123">
        <v>3000</v>
      </c>
      <c r="H38" s="123">
        <v>0</v>
      </c>
      <c r="I38" s="159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46"/>
      <c r="H39" s="46"/>
      <c r="I39" s="159"/>
    </row>
    <row r="40" spans="2:9" ht="12.75" customHeight="1">
      <c r="B40" s="14"/>
      <c r="C40" s="15"/>
      <c r="D40" s="15"/>
      <c r="E40" s="16"/>
      <c r="F40" s="15"/>
      <c r="G40" s="46"/>
      <c r="H40" s="46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5" t="s">
        <v>355</v>
      </c>
      <c r="H41" s="25" t="s">
        <v>758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1472200</v>
      </c>
      <c r="H42" s="20">
        <f>H7+H13+H17+H36</f>
        <v>1387380</v>
      </c>
      <c r="I42" s="158">
        <f>IF(G42=0,"",H42/G42*100)</f>
        <v>94.23855454421954</v>
      </c>
    </row>
    <row r="43" spans="2:12" s="1" customFormat="1" ht="12.75" customHeight="1">
      <c r="B43" s="17"/>
      <c r="C43" s="12"/>
      <c r="D43" s="12"/>
      <c r="E43" s="9"/>
      <c r="F43" s="12" t="s">
        <v>102</v>
      </c>
      <c r="G43" s="20"/>
      <c r="H43" s="20"/>
      <c r="I43" s="161"/>
      <c r="L43" s="1" t="s">
        <v>186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45"/>
      <c r="I44" s="160"/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7" ht="12.75">
      <c r="B47" s="86"/>
    </row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  <row r="53" ht="12.75">
      <c r="B53" s="86"/>
    </row>
    <row r="54" ht="12.75">
      <c r="B54" s="86"/>
    </row>
    <row r="55" ht="12.75">
      <c r="B55" s="86"/>
    </row>
    <row r="56" ht="12.75">
      <c r="B56" s="86"/>
    </row>
    <row r="57" ht="12.75">
      <c r="B57" s="86"/>
    </row>
    <row r="58" ht="12.75">
      <c r="B58" s="86"/>
    </row>
    <row r="59" ht="12.75">
      <c r="B59" s="86"/>
    </row>
    <row r="60" ht="12.75">
      <c r="B60" s="86"/>
    </row>
  </sheetData>
  <sheetProtection/>
  <mergeCells count="2">
    <mergeCell ref="B2:G2"/>
    <mergeCell ref="F3:G3"/>
  </mergeCells>
  <printOptions/>
  <pageMargins left="0.2755905511811024" right="0.2755905511811024" top="0.5905511811023623" bottom="0.52" header="0.5118110236220472" footer="0.5118110236220472"/>
  <pageSetup horizontalDpi="180" verticalDpi="180" orientation="portrait" paperSize="9" scale="88" r:id="rId1"/>
  <headerFooter alignWithMargins="0">
    <oddFooter>&amp;R29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B2:K51"/>
  <sheetViews>
    <sheetView zoomScaleSheetLayoutView="100" zoomScalePageLayoutView="0" workbookViewId="0" topLeftCell="A1">
      <selection activeCell="H28" sqref="H28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7" ht="15" customHeight="1">
      <c r="B2" s="439" t="s">
        <v>335</v>
      </c>
      <c r="C2" s="439"/>
      <c r="D2" s="439"/>
      <c r="E2" s="439"/>
      <c r="F2" s="439"/>
      <c r="G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41" t="s">
        <v>154</v>
      </c>
      <c r="C6" s="142" t="s">
        <v>143</v>
      </c>
      <c r="D6" s="142" t="s">
        <v>135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1041940</v>
      </c>
      <c r="H7" s="20">
        <f>SUM(H8:H11)</f>
        <v>1086550</v>
      </c>
      <c r="I7" s="158">
        <f aca="true" t="shared" si="0" ref="I7:I38">IF(G7=0,"",H7/G7*100)</f>
        <v>104.281436551049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46">
        <v>839800</v>
      </c>
      <c r="H8" s="46">
        <v>866200</v>
      </c>
      <c r="I8" s="159">
        <f t="shared" si="0"/>
        <v>103.1436056203858</v>
      </c>
    </row>
    <row r="9" spans="2:11" ht="12.75" customHeight="1">
      <c r="B9" s="14"/>
      <c r="C9" s="15"/>
      <c r="D9" s="15"/>
      <c r="E9" s="16">
        <v>611200</v>
      </c>
      <c r="F9" s="15" t="s">
        <v>219</v>
      </c>
      <c r="G9" s="123">
        <f>193900+4*830</f>
        <v>197220</v>
      </c>
      <c r="H9" s="123">
        <f>208900+7050</f>
        <v>215950</v>
      </c>
      <c r="I9" s="159">
        <f t="shared" si="0"/>
        <v>109.49700841699625</v>
      </c>
      <c r="K9" s="86"/>
    </row>
    <row r="10" spans="2:11" ht="12.75" customHeight="1">
      <c r="B10" s="14"/>
      <c r="C10" s="15"/>
      <c r="D10" s="15"/>
      <c r="E10" s="16">
        <v>611200</v>
      </c>
      <c r="F10" s="26" t="s">
        <v>745</v>
      </c>
      <c r="G10" s="87">
        <v>4920</v>
      </c>
      <c r="H10" s="87">
        <v>4400</v>
      </c>
      <c r="I10" s="159">
        <f t="shared" si="0"/>
        <v>89.43089430894308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88500</v>
      </c>
      <c r="H13" s="20">
        <f>H14+H15</f>
        <v>91500</v>
      </c>
      <c r="I13" s="158">
        <f t="shared" si="0"/>
        <v>103.38983050847457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6">
        <v>88500</v>
      </c>
      <c r="H14" s="46">
        <v>91500</v>
      </c>
      <c r="I14" s="159">
        <f t="shared" si="0"/>
        <v>103.38983050847457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147100</v>
      </c>
      <c r="H17" s="51">
        <f>SUM(H18:H27)</f>
        <v>147400</v>
      </c>
      <c r="I17" s="158">
        <f t="shared" si="0"/>
        <v>100.20394289598913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123">
        <v>5500</v>
      </c>
      <c r="H18" s="123">
        <v>6500</v>
      </c>
      <c r="I18" s="159">
        <f t="shared" si="0"/>
        <v>118.18181818181819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60000</v>
      </c>
      <c r="H19" s="46">
        <v>62000</v>
      </c>
      <c r="I19" s="159">
        <f t="shared" si="0"/>
        <v>103.33333333333334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123">
        <v>12500</v>
      </c>
      <c r="H20" s="123">
        <v>12800</v>
      </c>
      <c r="I20" s="159">
        <f t="shared" si="0"/>
        <v>102.4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123">
        <v>27000</v>
      </c>
      <c r="H21" s="123">
        <v>25000</v>
      </c>
      <c r="I21" s="159">
        <f t="shared" si="0"/>
        <v>92.5925925925926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123">
        <v>800</v>
      </c>
      <c r="H22" s="123">
        <v>500</v>
      </c>
      <c r="I22" s="159">
        <f t="shared" si="0"/>
        <v>62.5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123">
        <v>0</v>
      </c>
      <c r="H23" s="123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123">
        <v>24000</v>
      </c>
      <c r="H24" s="123">
        <v>23000</v>
      </c>
      <c r="I24" s="159">
        <f t="shared" si="0"/>
        <v>95.83333333333334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123">
        <v>0</v>
      </c>
      <c r="H25" s="123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123">
        <v>12000</v>
      </c>
      <c r="H26" s="123">
        <v>11000</v>
      </c>
      <c r="I26" s="159">
        <f t="shared" si="0"/>
        <v>91.66666666666666</v>
      </c>
    </row>
    <row r="27" spans="2:9" ht="12.75" customHeight="1">
      <c r="B27" s="14"/>
      <c r="C27" s="15"/>
      <c r="D27" s="15"/>
      <c r="E27" s="16">
        <v>613900</v>
      </c>
      <c r="F27" s="26" t="s">
        <v>746</v>
      </c>
      <c r="G27" s="175">
        <v>5300</v>
      </c>
      <c r="H27" s="175">
        <v>6600</v>
      </c>
      <c r="I27" s="159">
        <f t="shared" si="0"/>
        <v>124.52830188679245</v>
      </c>
    </row>
    <row r="28" spans="2:9" s="1" customFormat="1" ht="12.75" customHeight="1">
      <c r="B28" s="17"/>
      <c r="C28" s="12"/>
      <c r="D28" s="12"/>
      <c r="E28" s="9"/>
      <c r="F28" s="12"/>
      <c r="G28" s="123"/>
      <c r="H28" s="123"/>
      <c r="I28" s="159">
        <f t="shared" si="0"/>
      </c>
    </row>
    <row r="29" spans="2:9" ht="12.75" customHeight="1">
      <c r="B29" s="14"/>
      <c r="C29" s="15"/>
      <c r="D29" s="31"/>
      <c r="E29" s="16"/>
      <c r="F29" s="30"/>
      <c r="G29" s="123"/>
      <c r="H29" s="123"/>
      <c r="I29" s="159">
        <f t="shared" si="0"/>
      </c>
    </row>
    <row r="30" spans="2:9" ht="12.75" customHeight="1">
      <c r="B30" s="14"/>
      <c r="C30" s="15"/>
      <c r="D30" s="15"/>
      <c r="E30" s="63"/>
      <c r="F30" s="30"/>
      <c r="G30" s="123"/>
      <c r="H30" s="123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123"/>
      <c r="H31" s="123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123"/>
      <c r="H32" s="123"/>
      <c r="I32" s="159">
        <f t="shared" si="0"/>
      </c>
    </row>
    <row r="33" spans="2:9" ht="12.75" customHeight="1">
      <c r="B33" s="14"/>
      <c r="C33" s="15"/>
      <c r="D33" s="15"/>
      <c r="E33" s="9"/>
      <c r="F33" s="12"/>
      <c r="G33" s="123"/>
      <c r="H33" s="123"/>
      <c r="I33" s="159">
        <f t="shared" si="0"/>
      </c>
    </row>
    <row r="34" spans="2:9" ht="12.75" customHeight="1">
      <c r="B34" s="14"/>
      <c r="C34" s="15"/>
      <c r="D34" s="15"/>
      <c r="E34" s="16"/>
      <c r="F34" s="26"/>
      <c r="G34" s="123"/>
      <c r="H34" s="123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SUM(G37:G39)</f>
        <v>6000</v>
      </c>
      <c r="H36" s="114">
        <f>SUM(H37:H39)</f>
        <v>5000</v>
      </c>
      <c r="I36" s="158">
        <f t="shared" si="0"/>
        <v>83.33333333333334</v>
      </c>
    </row>
    <row r="37" spans="2:10" ht="12.75" customHeight="1">
      <c r="B37" s="14"/>
      <c r="C37" s="15"/>
      <c r="D37" s="15"/>
      <c r="E37" s="125">
        <v>821200</v>
      </c>
      <c r="F37" s="19" t="s">
        <v>99</v>
      </c>
      <c r="G37" s="123">
        <v>0</v>
      </c>
      <c r="H37" s="123">
        <v>0</v>
      </c>
      <c r="I37" s="159">
        <f t="shared" si="0"/>
      </c>
      <c r="J37" s="86"/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123">
        <v>6000</v>
      </c>
      <c r="H38" s="123">
        <v>5000</v>
      </c>
      <c r="I38" s="159">
        <f t="shared" si="0"/>
        <v>83.33333333333334</v>
      </c>
    </row>
    <row r="39" spans="2:9" ht="12.75" customHeight="1">
      <c r="B39" s="14"/>
      <c r="C39" s="15"/>
      <c r="D39" s="15"/>
      <c r="E39" s="16"/>
      <c r="F39" s="26"/>
      <c r="G39" s="123"/>
      <c r="H39" s="123"/>
      <c r="I39" s="159"/>
    </row>
    <row r="40" spans="2:9" ht="12.75" customHeight="1">
      <c r="B40" s="14"/>
      <c r="C40" s="15"/>
      <c r="D40" s="15"/>
      <c r="E40" s="16"/>
      <c r="F40" s="15"/>
      <c r="G40" s="123"/>
      <c r="H40" s="123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5" t="s">
        <v>536</v>
      </c>
      <c r="H41" s="25" t="s">
        <v>759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1283540</v>
      </c>
      <c r="H42" s="20">
        <f>H7+H13+H17+H36</f>
        <v>1330450</v>
      </c>
      <c r="I42" s="158">
        <f>IF(G42=0,"",H42/G42*100)</f>
        <v>103.65473612041698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/>
      <c r="H43" s="20"/>
      <c r="I43" s="161"/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45"/>
      <c r="I44" s="160"/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7" ht="12.75">
      <c r="B47" s="86"/>
    </row>
    <row r="48" ht="12.75">
      <c r="B48" s="86"/>
    </row>
    <row r="49" ht="12.75">
      <c r="B49" s="86"/>
    </row>
    <row r="50" ht="12.75">
      <c r="B50" s="86"/>
    </row>
    <row r="51" ht="12.75">
      <c r="B51" s="86"/>
    </row>
  </sheetData>
  <sheetProtection/>
  <mergeCells count="2">
    <mergeCell ref="B2:G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88" r:id="rId1"/>
  <headerFooter alignWithMargins="0">
    <oddFooter>&amp;R30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B2:K51"/>
  <sheetViews>
    <sheetView zoomScaleSheetLayoutView="100" zoomScalePageLayoutView="0" workbookViewId="0" topLeftCell="A4">
      <selection activeCell="H28" sqref="H28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146" customWidth="1"/>
    <col min="10" max="10" width="9.140625" style="13" customWidth="1"/>
    <col min="11" max="11" width="9.57421875" style="13" bestFit="1" customWidth="1"/>
    <col min="12" max="16384" width="9.140625" style="13" customWidth="1"/>
  </cols>
  <sheetData>
    <row r="2" spans="2:7" ht="15" customHeight="1">
      <c r="B2" s="439" t="s">
        <v>336</v>
      </c>
      <c r="C2" s="439"/>
      <c r="D2" s="439"/>
      <c r="E2" s="439"/>
      <c r="F2" s="439"/>
      <c r="G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41" t="s">
        <v>154</v>
      </c>
      <c r="C6" s="142" t="s">
        <v>143</v>
      </c>
      <c r="D6" s="142" t="s">
        <v>136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793900</v>
      </c>
      <c r="H7" s="20">
        <f>SUM(H8:H11)</f>
        <v>858380</v>
      </c>
      <c r="I7" s="158">
        <f aca="true" t="shared" si="0" ref="I7:I38">IF(G7=0,"",H7/G7*100)</f>
        <v>108.12192971406978</v>
      </c>
    </row>
    <row r="8" spans="2:10" ht="12.75" customHeight="1">
      <c r="B8" s="14"/>
      <c r="C8" s="15"/>
      <c r="D8" s="15"/>
      <c r="E8" s="16">
        <v>611100</v>
      </c>
      <c r="F8" s="26" t="s">
        <v>218</v>
      </c>
      <c r="G8" s="46">
        <f>634700+2200</f>
        <v>636900</v>
      </c>
      <c r="H8" s="46">
        <f>673700+740</f>
        <v>674440</v>
      </c>
      <c r="I8" s="159">
        <f t="shared" si="0"/>
        <v>105.89417490971896</v>
      </c>
      <c r="J8" s="86"/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123">
        <f>150900+2000</f>
        <v>152900</v>
      </c>
      <c r="H9" s="123">
        <f>168900+2510+5*1460+830</f>
        <v>179540</v>
      </c>
      <c r="I9" s="159">
        <f t="shared" si="0"/>
        <v>117.42315238718118</v>
      </c>
    </row>
    <row r="10" spans="2:11" ht="12.75" customHeight="1">
      <c r="B10" s="14"/>
      <c r="C10" s="15"/>
      <c r="D10" s="15"/>
      <c r="E10" s="16">
        <v>611200</v>
      </c>
      <c r="F10" s="26" t="s">
        <v>745</v>
      </c>
      <c r="G10" s="87">
        <v>4100</v>
      </c>
      <c r="H10" s="87">
        <v>4400</v>
      </c>
      <c r="I10" s="159">
        <f t="shared" si="0"/>
        <v>107.31707317073172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66400</v>
      </c>
      <c r="H13" s="20">
        <f>H14+H15</f>
        <v>71100</v>
      </c>
      <c r="I13" s="158">
        <f t="shared" si="0"/>
        <v>107.07831325301204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6">
        <v>66400</v>
      </c>
      <c r="H14" s="46">
        <v>71100</v>
      </c>
      <c r="I14" s="159">
        <f t="shared" si="0"/>
        <v>107.07831325301204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151900</v>
      </c>
      <c r="H17" s="51">
        <f>SUM(H18:H27)</f>
        <v>154600</v>
      </c>
      <c r="I17" s="158">
        <f t="shared" si="0"/>
        <v>101.77748518762344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123">
        <v>4000</v>
      </c>
      <c r="H18" s="123">
        <v>4000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53000</v>
      </c>
      <c r="H19" s="46">
        <v>52000</v>
      </c>
      <c r="I19" s="159">
        <f t="shared" si="0"/>
        <v>98.11320754716981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6">
        <v>8000</v>
      </c>
      <c r="H20" s="46">
        <v>8000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6">
        <v>14000</v>
      </c>
      <c r="H21" s="46">
        <v>15000</v>
      </c>
      <c r="I21" s="159">
        <f t="shared" si="0"/>
        <v>107.14285714285714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123">
        <v>1800</v>
      </c>
      <c r="H22" s="123">
        <v>3000</v>
      </c>
      <c r="I22" s="159">
        <f t="shared" si="0"/>
        <v>166.66666666666669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123">
        <v>0</v>
      </c>
      <c r="H23" s="123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123">
        <v>15000</v>
      </c>
      <c r="H24" s="123">
        <v>14000</v>
      </c>
      <c r="I24" s="159">
        <f t="shared" si="0"/>
        <v>93.33333333333333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123">
        <v>0</v>
      </c>
      <c r="H25" s="123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123">
        <v>51500</v>
      </c>
      <c r="H26" s="123">
        <v>52000</v>
      </c>
      <c r="I26" s="159">
        <f t="shared" si="0"/>
        <v>100.97087378640776</v>
      </c>
    </row>
    <row r="27" spans="2:9" ht="12.75" customHeight="1">
      <c r="B27" s="14"/>
      <c r="C27" s="15"/>
      <c r="D27" s="15"/>
      <c r="E27" s="16">
        <v>613900</v>
      </c>
      <c r="F27" s="26" t="s">
        <v>746</v>
      </c>
      <c r="G27" s="175">
        <v>4600</v>
      </c>
      <c r="H27" s="175">
        <v>6600</v>
      </c>
      <c r="I27" s="159">
        <f t="shared" si="0"/>
        <v>143.47826086956522</v>
      </c>
    </row>
    <row r="28" spans="2:9" s="1" customFormat="1" ht="12.75" customHeight="1">
      <c r="B28" s="17"/>
      <c r="C28" s="12"/>
      <c r="D28" s="12"/>
      <c r="E28" s="9"/>
      <c r="F28" s="12"/>
      <c r="G28" s="123"/>
      <c r="H28" s="123"/>
      <c r="I28" s="159">
        <f t="shared" si="0"/>
      </c>
    </row>
    <row r="29" spans="2:9" ht="12.75" customHeight="1">
      <c r="B29" s="14"/>
      <c r="C29" s="15"/>
      <c r="D29" s="31"/>
      <c r="E29" s="16"/>
      <c r="F29" s="30"/>
      <c r="G29" s="123"/>
      <c r="H29" s="123"/>
      <c r="I29" s="159">
        <f t="shared" si="0"/>
      </c>
    </row>
    <row r="30" spans="2:9" ht="12.75" customHeight="1">
      <c r="B30" s="14"/>
      <c r="C30" s="15"/>
      <c r="D30" s="15"/>
      <c r="E30" s="63"/>
      <c r="F30" s="30"/>
      <c r="G30" s="123"/>
      <c r="H30" s="123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123"/>
      <c r="H31" s="123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123"/>
      <c r="H32" s="123"/>
      <c r="I32" s="159">
        <f t="shared" si="0"/>
      </c>
    </row>
    <row r="33" spans="2:9" ht="12.75" customHeight="1">
      <c r="B33" s="14"/>
      <c r="C33" s="15"/>
      <c r="D33" s="15"/>
      <c r="E33" s="9"/>
      <c r="F33" s="12"/>
      <c r="G33" s="123"/>
      <c r="H33" s="123"/>
      <c r="I33" s="159">
        <f t="shared" si="0"/>
      </c>
    </row>
    <row r="34" spans="2:9" ht="12.75" customHeight="1">
      <c r="B34" s="14"/>
      <c r="C34" s="15"/>
      <c r="D34" s="15"/>
      <c r="E34" s="16"/>
      <c r="F34" s="26"/>
      <c r="G34" s="123"/>
      <c r="H34" s="123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SUM(G37:G39)</f>
        <v>5500</v>
      </c>
      <c r="H36" s="114">
        <f>SUM(H37:H39)</f>
        <v>4500</v>
      </c>
      <c r="I36" s="158">
        <f t="shared" si="0"/>
        <v>81.81818181818183</v>
      </c>
    </row>
    <row r="37" spans="2:10" ht="12.75" customHeight="1">
      <c r="B37" s="14"/>
      <c r="C37" s="15"/>
      <c r="D37" s="15"/>
      <c r="E37" s="125">
        <v>821200</v>
      </c>
      <c r="F37" s="19" t="s">
        <v>99</v>
      </c>
      <c r="G37" s="123">
        <v>0</v>
      </c>
      <c r="H37" s="123">
        <v>0</v>
      </c>
      <c r="I37" s="159">
        <f t="shared" si="0"/>
      </c>
      <c r="J37" s="86"/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123">
        <f>1500+4000</f>
        <v>5500</v>
      </c>
      <c r="H38" s="123">
        <v>4500</v>
      </c>
      <c r="I38" s="159">
        <f t="shared" si="0"/>
        <v>81.81818181818183</v>
      </c>
    </row>
    <row r="39" spans="2:9" ht="12.75" customHeight="1">
      <c r="B39" s="14"/>
      <c r="C39" s="15"/>
      <c r="D39" s="15"/>
      <c r="E39" s="16"/>
      <c r="F39" s="26"/>
      <c r="G39" s="123"/>
      <c r="H39" s="123"/>
      <c r="I39" s="159"/>
    </row>
    <row r="40" spans="2:9" ht="12.75" customHeight="1">
      <c r="B40" s="14"/>
      <c r="C40" s="15"/>
      <c r="D40" s="15"/>
      <c r="E40" s="16"/>
      <c r="F40" s="15"/>
      <c r="G40" s="46"/>
      <c r="H40" s="46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5" t="s">
        <v>611</v>
      </c>
      <c r="H41" s="25" t="s">
        <v>760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1017700</v>
      </c>
      <c r="H42" s="20">
        <f>H7+H13+H17+H36</f>
        <v>1088580</v>
      </c>
      <c r="I42" s="158">
        <f>IF(G42=0,"",H42/G42*100)</f>
        <v>106.96472437850053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G42+'22'!G42+'21'!G42</f>
        <v>3773440</v>
      </c>
      <c r="H43" s="20">
        <f>H42+'22'!H42+'21'!H42</f>
        <v>3806410</v>
      </c>
      <c r="I43" s="158">
        <f>IF(G43=0,"",H43/G43*100)</f>
        <v>100.8737385515604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45"/>
      <c r="I44" s="160"/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7" ht="12.75">
      <c r="B47" s="86"/>
    </row>
    <row r="48" ht="12.75">
      <c r="B48" s="86"/>
    </row>
    <row r="49" ht="12.75">
      <c r="B49" s="86"/>
    </row>
    <row r="50" ht="12.75">
      <c r="B50" s="86"/>
    </row>
    <row r="51" ht="12.75">
      <c r="B51" s="86"/>
    </row>
  </sheetData>
  <sheetProtection/>
  <mergeCells count="2">
    <mergeCell ref="B2:G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88" r:id="rId1"/>
  <headerFooter alignWithMargins="0">
    <oddFooter>&amp;R31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B2:K54"/>
  <sheetViews>
    <sheetView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7" ht="15" customHeight="1">
      <c r="B2" s="439" t="s">
        <v>155</v>
      </c>
      <c r="C2" s="439"/>
      <c r="D2" s="439"/>
      <c r="E2" s="439"/>
      <c r="F2" s="439"/>
      <c r="G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154</v>
      </c>
      <c r="C6" s="11" t="s">
        <v>156</v>
      </c>
      <c r="D6" s="11" t="s">
        <v>90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1012410</v>
      </c>
      <c r="H7" s="20">
        <f>SUM(H8:H11)</f>
        <v>980380</v>
      </c>
      <c r="I7" s="158">
        <f aca="true" t="shared" si="0" ref="I7:I38">IF(G7=0,"",H7/G7*100)</f>
        <v>96.83626198871998</v>
      </c>
    </row>
    <row r="8" spans="2:10" ht="12.75" customHeight="1">
      <c r="B8" s="14"/>
      <c r="C8" s="15"/>
      <c r="D8" s="15"/>
      <c r="E8" s="16">
        <v>611100</v>
      </c>
      <c r="F8" s="26" t="s">
        <v>218</v>
      </c>
      <c r="G8" s="123">
        <f>820000+4000+2400</f>
        <v>826400</v>
      </c>
      <c r="H8" s="123">
        <f>774500+4000</f>
        <v>778500</v>
      </c>
      <c r="I8" s="159">
        <f t="shared" si="0"/>
        <v>94.20377541142304</v>
      </c>
      <c r="J8" s="113"/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123">
        <f>176500+3000+830+800</f>
        <v>181130</v>
      </c>
      <c r="H9" s="123">
        <f>170200+3000+15*830</f>
        <v>185650</v>
      </c>
      <c r="I9" s="159">
        <f t="shared" si="0"/>
        <v>102.49544526031028</v>
      </c>
    </row>
    <row r="10" spans="2:11" ht="12.75" customHeight="1">
      <c r="B10" s="14"/>
      <c r="C10" s="15"/>
      <c r="D10" s="15"/>
      <c r="E10" s="16">
        <v>611200</v>
      </c>
      <c r="F10" s="26" t="s">
        <v>776</v>
      </c>
      <c r="G10" s="87">
        <v>4880</v>
      </c>
      <c r="H10" s="87">
        <f>800+15430</f>
        <v>16230</v>
      </c>
      <c r="I10" s="159">
        <f t="shared" si="0"/>
        <v>332.58196721311475</v>
      </c>
      <c r="K10" s="94"/>
    </row>
    <row r="11" spans="2:9" ht="12.75" customHeight="1">
      <c r="B11" s="14"/>
      <c r="C11" s="15"/>
      <c r="D11" s="15"/>
      <c r="E11" s="16"/>
      <c r="F11" s="26"/>
      <c r="G11" s="123"/>
      <c r="H11" s="123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114"/>
      <c r="H12" s="114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114">
        <f>G14+G15</f>
        <v>86350</v>
      </c>
      <c r="H13" s="114">
        <f>H14+H15</f>
        <v>81700</v>
      </c>
      <c r="I13" s="158">
        <f t="shared" si="0"/>
        <v>94.61493920092646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123">
        <f>86100+250</f>
        <v>86350</v>
      </c>
      <c r="H14" s="123">
        <v>81700</v>
      </c>
      <c r="I14" s="159">
        <f t="shared" si="0"/>
        <v>94.61493920092646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116050</v>
      </c>
      <c r="H17" s="51">
        <f>SUM(H18:H27)</f>
        <v>119500</v>
      </c>
      <c r="I17" s="158">
        <f t="shared" si="0"/>
        <v>102.9728565273589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123">
        <v>5500</v>
      </c>
      <c r="H18" s="123">
        <v>5500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123">
        <v>30000</v>
      </c>
      <c r="H19" s="123">
        <v>26000</v>
      </c>
      <c r="I19" s="159">
        <f t="shared" si="0"/>
        <v>86.66666666666667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123">
        <v>8500</v>
      </c>
      <c r="H20" s="123">
        <v>7000</v>
      </c>
      <c r="I20" s="159">
        <f t="shared" si="0"/>
        <v>82.35294117647058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123">
        <v>12000</v>
      </c>
      <c r="H21" s="123">
        <v>12000</v>
      </c>
      <c r="I21" s="159">
        <f t="shared" si="0"/>
        <v>100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123">
        <v>700</v>
      </c>
      <c r="H22" s="123">
        <v>1000</v>
      </c>
      <c r="I22" s="159">
        <f t="shared" si="0"/>
        <v>142.85714285714286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123">
        <v>0</v>
      </c>
      <c r="H23" s="123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123">
        <v>9000</v>
      </c>
      <c r="H24" s="123">
        <v>9000</v>
      </c>
      <c r="I24" s="159">
        <f t="shared" si="0"/>
        <v>100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123">
        <v>0</v>
      </c>
      <c r="H25" s="123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123">
        <v>44000</v>
      </c>
      <c r="H26" s="123">
        <v>38000</v>
      </c>
      <c r="I26" s="159">
        <f t="shared" si="0"/>
        <v>86.36363636363636</v>
      </c>
    </row>
    <row r="27" spans="2:9" ht="12.75" customHeight="1">
      <c r="B27" s="14"/>
      <c r="C27" s="15"/>
      <c r="D27" s="15"/>
      <c r="E27" s="16">
        <v>613900</v>
      </c>
      <c r="F27" s="26" t="s">
        <v>777</v>
      </c>
      <c r="G27" s="123">
        <v>6350</v>
      </c>
      <c r="H27" s="123">
        <f>1200+19800</f>
        <v>21000</v>
      </c>
      <c r="I27" s="159">
        <f t="shared" si="0"/>
        <v>330.70866141732284</v>
      </c>
    </row>
    <row r="28" spans="2:9" s="1" customFormat="1" ht="12.75" customHeight="1">
      <c r="B28" s="17"/>
      <c r="C28" s="12"/>
      <c r="D28" s="12"/>
      <c r="E28" s="9"/>
      <c r="F28" s="12"/>
      <c r="G28" s="123"/>
      <c r="H28" s="123"/>
      <c r="I28" s="159">
        <f t="shared" si="0"/>
      </c>
    </row>
    <row r="29" spans="2:9" ht="12.75" customHeight="1">
      <c r="B29" s="14"/>
      <c r="C29" s="15"/>
      <c r="D29" s="31"/>
      <c r="E29" s="16"/>
      <c r="F29" s="30"/>
      <c r="G29" s="123"/>
      <c r="H29" s="123"/>
      <c r="I29" s="159">
        <f t="shared" si="0"/>
      </c>
    </row>
    <row r="30" spans="2:9" ht="12.75" customHeight="1">
      <c r="B30" s="14"/>
      <c r="C30" s="15"/>
      <c r="D30" s="15"/>
      <c r="E30" s="63"/>
      <c r="F30" s="30"/>
      <c r="G30" s="123"/>
      <c r="H30" s="123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123"/>
      <c r="H31" s="123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123"/>
      <c r="H32" s="123"/>
      <c r="I32" s="159">
        <f t="shared" si="0"/>
      </c>
    </row>
    <row r="33" spans="2:9" ht="12.75" customHeight="1">
      <c r="B33" s="14"/>
      <c r="C33" s="15"/>
      <c r="D33" s="15"/>
      <c r="E33" s="9"/>
      <c r="F33" s="12"/>
      <c r="G33" s="123"/>
      <c r="H33" s="123"/>
      <c r="I33" s="159">
        <f t="shared" si="0"/>
      </c>
    </row>
    <row r="34" spans="2:9" ht="12.75" customHeight="1">
      <c r="B34" s="14"/>
      <c r="C34" s="15"/>
      <c r="D34" s="15"/>
      <c r="E34" s="16"/>
      <c r="F34" s="26"/>
      <c r="G34" s="123"/>
      <c r="H34" s="123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SUM(G37:G39)</f>
        <v>27200</v>
      </c>
      <c r="H36" s="114">
        <f>SUM(H37:H39)</f>
        <v>6000</v>
      </c>
      <c r="I36" s="158">
        <f t="shared" si="0"/>
        <v>22.058823529411764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123">
        <v>21600</v>
      </c>
      <c r="H37" s="123">
        <v>0</v>
      </c>
      <c r="I37" s="159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123">
        <v>5600</v>
      </c>
      <c r="H38" s="123">
        <v>6000</v>
      </c>
      <c r="I38" s="159">
        <f t="shared" si="0"/>
        <v>107.14285714285714</v>
      </c>
    </row>
    <row r="39" spans="2:9" ht="12.75" customHeight="1">
      <c r="B39" s="14"/>
      <c r="C39" s="15"/>
      <c r="D39" s="15"/>
      <c r="E39" s="16"/>
      <c r="F39" s="26"/>
      <c r="G39" s="123"/>
      <c r="H39" s="123"/>
      <c r="I39" s="159"/>
    </row>
    <row r="40" spans="2:9" ht="12.75" customHeight="1">
      <c r="B40" s="14"/>
      <c r="C40" s="15"/>
      <c r="D40" s="15"/>
      <c r="E40" s="16"/>
      <c r="F40" s="15"/>
      <c r="G40" s="123"/>
      <c r="H40" s="123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5" t="s">
        <v>537</v>
      </c>
      <c r="H41" s="25" t="s">
        <v>761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1242010</v>
      </c>
      <c r="H42" s="20">
        <f>H7+H13+H17+H36</f>
        <v>1187580</v>
      </c>
      <c r="I42" s="158">
        <f>IF(G42=0,"",H42/G42*100)</f>
        <v>95.61758762006747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/>
      <c r="H43" s="20"/>
      <c r="I43" s="161"/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45"/>
      <c r="I44" s="160"/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  <row r="53" ht="12.75">
      <c r="B53" s="86"/>
    </row>
    <row r="54" ht="12.75">
      <c r="B54" s="86"/>
    </row>
  </sheetData>
  <sheetProtection/>
  <mergeCells count="2">
    <mergeCell ref="B2:G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88" r:id="rId1"/>
  <headerFooter alignWithMargins="0">
    <oddFooter>&amp;R32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B2:K54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9" ht="15" customHeight="1">
      <c r="B2" s="439" t="s">
        <v>180</v>
      </c>
      <c r="C2" s="439"/>
      <c r="D2" s="439"/>
      <c r="E2" s="439"/>
      <c r="F2" s="439"/>
      <c r="G2" s="439"/>
      <c r="H2" s="439"/>
      <c r="I2" s="152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154</v>
      </c>
      <c r="C6" s="11" t="s">
        <v>156</v>
      </c>
      <c r="D6" s="11" t="s">
        <v>128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2037360</v>
      </c>
      <c r="H7" s="20">
        <f>SUM(H8:H11)</f>
        <v>2042710</v>
      </c>
      <c r="I7" s="158">
        <f aca="true" t="shared" si="0" ref="I7:I38">IF(G7=0,"",H7/G7*100)</f>
        <v>100.26259473043547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87">
        <f>1648500+6700</f>
        <v>1655200</v>
      </c>
      <c r="H8" s="87">
        <f>1637900+3710</f>
        <v>1641610</v>
      </c>
      <c r="I8" s="159">
        <f t="shared" si="0"/>
        <v>99.17895118414694</v>
      </c>
    </row>
    <row r="9" spans="2:11" ht="12.75" customHeight="1">
      <c r="B9" s="14"/>
      <c r="C9" s="15"/>
      <c r="D9" s="15"/>
      <c r="E9" s="16">
        <v>611200</v>
      </c>
      <c r="F9" s="15" t="s">
        <v>219</v>
      </c>
      <c r="G9" s="87">
        <f>355800+5000+2500</f>
        <v>363300</v>
      </c>
      <c r="H9" s="87">
        <f>369100+2500+8340</f>
        <v>379940</v>
      </c>
      <c r="I9" s="159">
        <f t="shared" si="0"/>
        <v>104.58023671896504</v>
      </c>
      <c r="K9" s="95"/>
    </row>
    <row r="10" spans="2:11" ht="12.75" customHeight="1">
      <c r="B10" s="14"/>
      <c r="C10" s="15"/>
      <c r="D10" s="15"/>
      <c r="E10" s="16">
        <v>611200</v>
      </c>
      <c r="F10" s="26" t="s">
        <v>733</v>
      </c>
      <c r="G10" s="87">
        <v>18860</v>
      </c>
      <c r="H10" s="87">
        <f>260+20900</f>
        <v>21160</v>
      </c>
      <c r="I10" s="159">
        <f t="shared" si="0"/>
        <v>112.19512195121952</v>
      </c>
      <c r="K10" s="94"/>
    </row>
    <row r="11" spans="2:9" ht="12.75" customHeight="1">
      <c r="B11" s="14"/>
      <c r="C11" s="15"/>
      <c r="D11" s="15"/>
      <c r="E11" s="16"/>
      <c r="F11" s="26"/>
      <c r="G11" s="87"/>
      <c r="H11" s="87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114"/>
      <c r="H12" s="114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114">
        <f>G14+G15</f>
        <v>172800</v>
      </c>
      <c r="H13" s="114">
        <f>H14+H15</f>
        <v>172500</v>
      </c>
      <c r="I13" s="158">
        <f t="shared" si="0"/>
        <v>99.82638888888889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87">
        <v>172800</v>
      </c>
      <c r="H14" s="87">
        <v>172500</v>
      </c>
      <c r="I14" s="159">
        <f t="shared" si="0"/>
        <v>99.82638888888889</v>
      </c>
    </row>
    <row r="15" spans="2:9" ht="12.75" customHeight="1">
      <c r="B15" s="14"/>
      <c r="C15" s="15"/>
      <c r="D15" s="15"/>
      <c r="E15" s="16"/>
      <c r="F15" s="15"/>
      <c r="G15" s="87"/>
      <c r="H15" s="87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51"/>
      <c r="H16" s="51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234250</v>
      </c>
      <c r="H17" s="51">
        <f>SUM(H18:H27)</f>
        <v>236400</v>
      </c>
      <c r="I17" s="158">
        <f t="shared" si="0"/>
        <v>100.91782283884739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5">
        <v>11200</v>
      </c>
      <c r="H18" s="45">
        <v>10000</v>
      </c>
      <c r="I18" s="159">
        <f t="shared" si="0"/>
        <v>89.28571428571429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5">
        <v>70000</v>
      </c>
      <c r="H19" s="45">
        <v>73000</v>
      </c>
      <c r="I19" s="159">
        <f t="shared" si="0"/>
        <v>104.28571428571429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5">
        <v>12300</v>
      </c>
      <c r="H20" s="45">
        <v>13500</v>
      </c>
      <c r="I20" s="159">
        <f t="shared" si="0"/>
        <v>109.75609756097562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87">
        <v>20000</v>
      </c>
      <c r="H21" s="87">
        <v>20000</v>
      </c>
      <c r="I21" s="159">
        <f t="shared" si="0"/>
        <v>100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87">
        <v>1200</v>
      </c>
      <c r="H22" s="87">
        <v>1200</v>
      </c>
      <c r="I22" s="159">
        <f t="shared" si="0"/>
        <v>100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87">
        <v>0</v>
      </c>
      <c r="H23" s="87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87">
        <v>22000</v>
      </c>
      <c r="H24" s="87">
        <v>20000</v>
      </c>
      <c r="I24" s="159">
        <f t="shared" si="0"/>
        <v>90.9090909090909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87">
        <v>0</v>
      </c>
      <c r="H25" s="87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87">
        <v>75000</v>
      </c>
      <c r="H26" s="87">
        <v>72000</v>
      </c>
      <c r="I26" s="159">
        <f t="shared" si="0"/>
        <v>96</v>
      </c>
    </row>
    <row r="27" spans="2:9" ht="12.75" customHeight="1">
      <c r="B27" s="14"/>
      <c r="C27" s="15"/>
      <c r="D27" s="15"/>
      <c r="E27" s="16">
        <v>613900</v>
      </c>
      <c r="F27" s="26" t="s">
        <v>734</v>
      </c>
      <c r="G27" s="175">
        <v>22550</v>
      </c>
      <c r="H27" s="175">
        <f>300+26400</f>
        <v>26700</v>
      </c>
      <c r="I27" s="159">
        <f t="shared" si="0"/>
        <v>118.40354767184036</v>
      </c>
    </row>
    <row r="28" spans="2:9" s="1" customFormat="1" ht="12.75" customHeight="1">
      <c r="B28" s="17"/>
      <c r="C28" s="12"/>
      <c r="D28" s="12"/>
      <c r="E28" s="9"/>
      <c r="F28" s="12"/>
      <c r="G28" s="87"/>
      <c r="H28" s="87"/>
      <c r="I28" s="159">
        <f t="shared" si="0"/>
      </c>
    </row>
    <row r="29" spans="2:9" ht="12.75" customHeight="1">
      <c r="B29" s="14"/>
      <c r="C29" s="15"/>
      <c r="D29" s="31"/>
      <c r="E29" s="16"/>
      <c r="F29" s="30"/>
      <c r="G29" s="87"/>
      <c r="H29" s="87"/>
      <c r="I29" s="159">
        <f t="shared" si="0"/>
      </c>
    </row>
    <row r="30" spans="2:9" ht="12.75" customHeight="1">
      <c r="B30" s="14"/>
      <c r="C30" s="15"/>
      <c r="D30" s="15"/>
      <c r="E30" s="63"/>
      <c r="F30" s="30"/>
      <c r="G30" s="87"/>
      <c r="H30" s="87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87"/>
      <c r="H31" s="87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87"/>
      <c r="H32" s="87"/>
      <c r="I32" s="159">
        <f t="shared" si="0"/>
      </c>
    </row>
    <row r="33" spans="2:9" ht="12.75" customHeight="1">
      <c r="B33" s="14"/>
      <c r="C33" s="15"/>
      <c r="D33" s="15"/>
      <c r="E33" s="9"/>
      <c r="F33" s="12"/>
      <c r="G33" s="87"/>
      <c r="H33" s="87"/>
      <c r="I33" s="159">
        <f t="shared" si="0"/>
      </c>
    </row>
    <row r="34" spans="2:9" ht="12.75" customHeight="1">
      <c r="B34" s="14"/>
      <c r="C34" s="15"/>
      <c r="D34" s="15"/>
      <c r="E34" s="16"/>
      <c r="F34" s="26"/>
      <c r="G34" s="87"/>
      <c r="H34" s="87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SUM(G37:G39)</f>
        <v>35000</v>
      </c>
      <c r="H36" s="114">
        <f>SUM(H37:H39)</f>
        <v>30000</v>
      </c>
      <c r="I36" s="158">
        <f t="shared" si="0"/>
        <v>85.71428571428571</v>
      </c>
    </row>
    <row r="37" spans="2:10" ht="12.75" customHeight="1">
      <c r="B37" s="14"/>
      <c r="C37" s="15"/>
      <c r="D37" s="15"/>
      <c r="E37" s="16">
        <v>821200</v>
      </c>
      <c r="F37" s="15" t="s">
        <v>99</v>
      </c>
      <c r="G37" s="87">
        <v>35000</v>
      </c>
      <c r="H37" s="87">
        <v>20000</v>
      </c>
      <c r="I37" s="159">
        <f t="shared" si="0"/>
        <v>57.14285714285714</v>
      </c>
      <c r="J37" s="86"/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87">
        <v>0</v>
      </c>
      <c r="H38" s="87">
        <v>10000</v>
      </c>
      <c r="I38" s="159">
        <f t="shared" si="0"/>
      </c>
    </row>
    <row r="39" spans="2:9" ht="12.75" customHeight="1">
      <c r="B39" s="14"/>
      <c r="C39" s="15"/>
      <c r="D39" s="15"/>
      <c r="E39" s="16"/>
      <c r="F39" s="26"/>
      <c r="G39" s="87"/>
      <c r="H39" s="87"/>
      <c r="I39" s="159"/>
    </row>
    <row r="40" spans="2:9" ht="12.75" customHeight="1">
      <c r="B40" s="14"/>
      <c r="C40" s="15"/>
      <c r="D40" s="15"/>
      <c r="E40" s="16"/>
      <c r="F40" s="15"/>
      <c r="G40" s="114"/>
      <c r="H40" s="114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5" t="s">
        <v>615</v>
      </c>
      <c r="H41" s="25" t="s">
        <v>762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2479410</v>
      </c>
      <c r="H42" s="20">
        <f>H7+H13+H17+H36</f>
        <v>2481610</v>
      </c>
      <c r="I42" s="158">
        <f>IF(G42=0,"",H42/G42*100)</f>
        <v>100.08873078675975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/>
      <c r="H43" s="20"/>
      <c r="I43" s="161"/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45"/>
      <c r="I44" s="160"/>
    </row>
    <row r="45" spans="2:9" ht="12.75" customHeight="1" thickBot="1">
      <c r="B45" s="21"/>
      <c r="C45" s="22"/>
      <c r="D45" s="22"/>
      <c r="E45" s="23"/>
      <c r="F45" s="22"/>
      <c r="G45" s="50"/>
      <c r="H45" s="22"/>
      <c r="I45" s="162"/>
    </row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  <row r="53" ht="12.75">
      <c r="B53" s="86"/>
    </row>
    <row r="54" ht="12.75">
      <c r="B54" s="86"/>
    </row>
  </sheetData>
  <sheetProtection/>
  <mergeCells count="2">
    <mergeCell ref="B2:H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88" r:id="rId1"/>
  <headerFooter alignWithMargins="0">
    <oddFooter>&amp;R33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B2:K57"/>
  <sheetViews>
    <sheetView zoomScalePageLayoutView="0" workbookViewId="0" topLeftCell="B1">
      <selection activeCell="H28" sqref="H28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7" ht="15" customHeight="1">
      <c r="B2" s="439" t="s">
        <v>181</v>
      </c>
      <c r="C2" s="439"/>
      <c r="D2" s="439"/>
      <c r="E2" s="439"/>
      <c r="F2" s="439"/>
      <c r="G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154</v>
      </c>
      <c r="C6" s="11" t="s">
        <v>156</v>
      </c>
      <c r="D6" s="11" t="s">
        <v>135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596420</v>
      </c>
      <c r="H7" s="20">
        <f>SUM(H8:H11)</f>
        <v>588730</v>
      </c>
      <c r="I7" s="158">
        <f aca="true" t="shared" si="0" ref="I7:I38">IF(G7=0,"",H7/G7*100)</f>
        <v>98.71064015291238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46">
        <v>494400</v>
      </c>
      <c r="H8" s="46">
        <v>469200</v>
      </c>
      <c r="I8" s="159">
        <f t="shared" si="0"/>
        <v>94.90291262135922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46">
        <f>98500+830</f>
        <v>99330</v>
      </c>
      <c r="H9" s="46">
        <f>108300+4*1500+830</f>
        <v>115130</v>
      </c>
      <c r="I9" s="159">
        <f t="shared" si="0"/>
        <v>115.90657404610893</v>
      </c>
    </row>
    <row r="10" spans="2:11" ht="12.75" customHeight="1">
      <c r="B10" s="14"/>
      <c r="C10" s="15"/>
      <c r="D10" s="15"/>
      <c r="E10" s="16">
        <v>611200</v>
      </c>
      <c r="F10" s="26" t="s">
        <v>745</v>
      </c>
      <c r="G10" s="87">
        <v>2690</v>
      </c>
      <c r="H10" s="87">
        <v>4400</v>
      </c>
      <c r="I10" s="159">
        <f t="shared" si="0"/>
        <v>163.56877323420073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52100</v>
      </c>
      <c r="H13" s="20">
        <f>H14+H15</f>
        <v>49600</v>
      </c>
      <c r="I13" s="158">
        <f t="shared" si="0"/>
        <v>95.20153550863724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6">
        <v>52100</v>
      </c>
      <c r="H14" s="46">
        <v>49600</v>
      </c>
      <c r="I14" s="159">
        <f t="shared" si="0"/>
        <v>95.20153550863724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56160</v>
      </c>
      <c r="H17" s="51">
        <f>SUM(H18:H27)</f>
        <v>58900</v>
      </c>
      <c r="I17" s="158">
        <f t="shared" si="0"/>
        <v>104.87891737891736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3000</v>
      </c>
      <c r="H18" s="46">
        <v>3500</v>
      </c>
      <c r="I18" s="159">
        <f t="shared" si="0"/>
        <v>116.66666666666667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23000</v>
      </c>
      <c r="H19" s="46">
        <v>23000</v>
      </c>
      <c r="I19" s="159">
        <f t="shared" si="0"/>
        <v>100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6">
        <v>3100</v>
      </c>
      <c r="H20" s="46">
        <v>3300</v>
      </c>
      <c r="I20" s="159">
        <f t="shared" si="0"/>
        <v>106.4516129032258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6">
        <v>8000</v>
      </c>
      <c r="H21" s="46">
        <v>7000</v>
      </c>
      <c r="I21" s="159">
        <f t="shared" si="0"/>
        <v>87.5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6">
        <v>0</v>
      </c>
      <c r="H22" s="46">
        <v>0</v>
      </c>
      <c r="I22" s="159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6">
        <v>0</v>
      </c>
      <c r="H23" s="46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123">
        <v>8500</v>
      </c>
      <c r="H24" s="123">
        <v>8500</v>
      </c>
      <c r="I24" s="159">
        <f t="shared" si="0"/>
        <v>100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123">
        <v>0</v>
      </c>
      <c r="H25" s="123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123">
        <v>7800</v>
      </c>
      <c r="H26" s="123">
        <v>7000</v>
      </c>
      <c r="I26" s="159">
        <f t="shared" si="0"/>
        <v>89.74358974358975</v>
      </c>
    </row>
    <row r="27" spans="2:9" ht="12.75" customHeight="1">
      <c r="B27" s="14"/>
      <c r="C27" s="15"/>
      <c r="D27" s="15"/>
      <c r="E27" s="16">
        <v>613900</v>
      </c>
      <c r="F27" s="26" t="s">
        <v>746</v>
      </c>
      <c r="G27" s="175">
        <v>2760</v>
      </c>
      <c r="H27" s="175">
        <v>6600</v>
      </c>
      <c r="I27" s="159">
        <f t="shared" si="0"/>
        <v>239.1304347826087</v>
      </c>
    </row>
    <row r="28" spans="2:9" s="1" customFormat="1" ht="12.75" customHeight="1">
      <c r="B28" s="17"/>
      <c r="C28" s="12"/>
      <c r="D28" s="12"/>
      <c r="E28" s="9"/>
      <c r="F28" s="12"/>
      <c r="G28" s="123"/>
      <c r="H28" s="123"/>
      <c r="I28" s="159">
        <f t="shared" si="0"/>
      </c>
    </row>
    <row r="29" spans="2:9" ht="12.75" customHeight="1">
      <c r="B29" s="14"/>
      <c r="C29" s="15"/>
      <c r="D29" s="31"/>
      <c r="E29" s="16"/>
      <c r="F29" s="30"/>
      <c r="G29" s="123"/>
      <c r="H29" s="123"/>
      <c r="I29" s="159">
        <f t="shared" si="0"/>
      </c>
    </row>
    <row r="30" spans="2:9" ht="12.75" customHeight="1">
      <c r="B30" s="14"/>
      <c r="C30" s="15"/>
      <c r="D30" s="15"/>
      <c r="E30" s="63"/>
      <c r="F30" s="30"/>
      <c r="G30" s="123"/>
      <c r="H30" s="123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123"/>
      <c r="H31" s="123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123"/>
      <c r="H32" s="123"/>
      <c r="I32" s="159">
        <f t="shared" si="0"/>
      </c>
    </row>
    <row r="33" spans="2:9" ht="12.75" customHeight="1">
      <c r="B33" s="14"/>
      <c r="C33" s="15"/>
      <c r="D33" s="15"/>
      <c r="E33" s="9"/>
      <c r="F33" s="12"/>
      <c r="G33" s="123"/>
      <c r="H33" s="123"/>
      <c r="I33" s="159">
        <f t="shared" si="0"/>
      </c>
    </row>
    <row r="34" spans="2:9" ht="12.75" customHeight="1">
      <c r="B34" s="14"/>
      <c r="C34" s="15"/>
      <c r="D34" s="15"/>
      <c r="E34" s="16"/>
      <c r="F34" s="26"/>
      <c r="G34" s="123"/>
      <c r="H34" s="123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SUM(G37:G39)</f>
        <v>10000</v>
      </c>
      <c r="H36" s="114">
        <f>SUM(H37:H39)</f>
        <v>0</v>
      </c>
      <c r="I36" s="158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123">
        <v>10000</v>
      </c>
      <c r="H37" s="123">
        <v>0</v>
      </c>
      <c r="I37" s="159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123">
        <v>0</v>
      </c>
      <c r="H38" s="123">
        <v>0</v>
      </c>
      <c r="I38" s="159">
        <f t="shared" si="0"/>
      </c>
    </row>
    <row r="39" spans="2:9" ht="12.75" customHeight="1">
      <c r="B39" s="14"/>
      <c r="C39" s="15"/>
      <c r="D39" s="15"/>
      <c r="E39" s="16"/>
      <c r="F39" s="26"/>
      <c r="G39" s="123"/>
      <c r="H39" s="123"/>
      <c r="I39" s="159"/>
    </row>
    <row r="40" spans="2:9" ht="12.75" customHeight="1">
      <c r="B40" s="14"/>
      <c r="C40" s="15"/>
      <c r="D40" s="15"/>
      <c r="E40" s="16"/>
      <c r="F40" s="15"/>
      <c r="G40" s="46"/>
      <c r="H40" s="46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5" t="s">
        <v>612</v>
      </c>
      <c r="H41" s="25" t="s">
        <v>763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714680</v>
      </c>
      <c r="H42" s="20">
        <f>H7+H13+H17+H36</f>
        <v>697230</v>
      </c>
      <c r="I42" s="158">
        <f>IF(G42=0,"",H42/G42*100)</f>
        <v>97.55834779201881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/>
      <c r="H43" s="20"/>
      <c r="I43" s="161"/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45"/>
      <c r="I44" s="160"/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7" ht="12.75">
      <c r="B47" s="86"/>
    </row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  <row r="53" ht="12.75">
      <c r="B53" s="86"/>
    </row>
    <row r="54" ht="12.75">
      <c r="B54" s="86"/>
    </row>
    <row r="55" ht="12.75">
      <c r="B55" s="86"/>
    </row>
    <row r="56" ht="12.75">
      <c r="B56" s="86"/>
    </row>
    <row r="57" ht="12.75">
      <c r="B57" s="86"/>
    </row>
  </sheetData>
  <sheetProtection/>
  <mergeCells count="2">
    <mergeCell ref="B2:G2"/>
    <mergeCell ref="F3:G3"/>
  </mergeCells>
  <printOptions/>
  <pageMargins left="0.2755905511811024" right="0.2755905511811024" top="0.5905511811023623" bottom="0.52" header="0.5118110236220472" footer="0.5118110236220472"/>
  <pageSetup fitToHeight="1" fitToWidth="1" horizontalDpi="180" verticalDpi="180" orientation="portrait" paperSize="9" scale="88" r:id="rId1"/>
  <headerFooter alignWithMargins="0">
    <oddFooter>&amp;R34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B2:K52"/>
  <sheetViews>
    <sheetView zoomScalePageLayoutView="0" workbookViewId="0" topLeftCell="C1">
      <selection activeCell="H28" sqref="H28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7" ht="15" customHeight="1">
      <c r="B2" s="441" t="s">
        <v>182</v>
      </c>
      <c r="C2" s="441"/>
      <c r="D2" s="441"/>
      <c r="E2" s="441"/>
      <c r="F2" s="441"/>
      <c r="G2" s="441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154</v>
      </c>
      <c r="C6" s="11" t="s">
        <v>156</v>
      </c>
      <c r="D6" s="11" t="s">
        <v>136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766340</v>
      </c>
      <c r="H7" s="20">
        <f>SUM(H8:H11)</f>
        <v>757850</v>
      </c>
      <c r="I7" s="158">
        <f aca="true" t="shared" si="0" ref="I7:I38">IF(G7=0,"",H7/G7*100)</f>
        <v>98.89213664952892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46">
        <f>630500+3000</f>
        <v>633500</v>
      </c>
      <c r="H8" s="46">
        <v>601200</v>
      </c>
      <c r="I8" s="159">
        <f t="shared" si="0"/>
        <v>94.90134175217048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123">
        <f>127200+2500+420</f>
        <v>130120</v>
      </c>
      <c r="H9" s="123">
        <f>130500+15*1450</f>
        <v>152250</v>
      </c>
      <c r="I9" s="159">
        <f t="shared" si="0"/>
        <v>117.00737780510298</v>
      </c>
    </row>
    <row r="10" spans="2:11" ht="12.75" customHeight="1">
      <c r="B10" s="14"/>
      <c r="C10" s="15"/>
      <c r="D10" s="15"/>
      <c r="E10" s="16">
        <v>611200</v>
      </c>
      <c r="F10" s="26" t="s">
        <v>745</v>
      </c>
      <c r="G10" s="87">
        <v>2720</v>
      </c>
      <c r="H10" s="87">
        <v>4400</v>
      </c>
      <c r="I10" s="159">
        <f t="shared" si="0"/>
        <v>161.76470588235296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66400</v>
      </c>
      <c r="H13" s="20">
        <f>H14+H15</f>
        <v>63500</v>
      </c>
      <c r="I13" s="158">
        <f t="shared" si="0"/>
        <v>95.63253012048193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6">
        <v>66400</v>
      </c>
      <c r="H14" s="46">
        <v>63500</v>
      </c>
      <c r="I14" s="159">
        <f t="shared" si="0"/>
        <v>95.63253012048193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62400</v>
      </c>
      <c r="H17" s="51">
        <f>SUM(H18:H27)</f>
        <v>64150</v>
      </c>
      <c r="I17" s="158">
        <f t="shared" si="0"/>
        <v>102.80448717948718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3100</v>
      </c>
      <c r="H18" s="46">
        <v>3500</v>
      </c>
      <c r="I18" s="159">
        <f t="shared" si="0"/>
        <v>112.90322580645163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28000</v>
      </c>
      <c r="H19" s="46">
        <v>27000</v>
      </c>
      <c r="I19" s="159">
        <f t="shared" si="0"/>
        <v>96.42857142857143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123">
        <v>3050</v>
      </c>
      <c r="H20" s="123">
        <v>3050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123">
        <v>8500</v>
      </c>
      <c r="H21" s="123">
        <v>8500</v>
      </c>
      <c r="I21" s="159">
        <f t="shared" si="0"/>
        <v>100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123">
        <v>0</v>
      </c>
      <c r="H22" s="123">
        <v>0</v>
      </c>
      <c r="I22" s="159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123">
        <v>0</v>
      </c>
      <c r="H23" s="123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123">
        <v>6350</v>
      </c>
      <c r="H24" s="123">
        <v>6500</v>
      </c>
      <c r="I24" s="159">
        <f t="shared" si="0"/>
        <v>102.36220472440945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123">
        <v>0</v>
      </c>
      <c r="H25" s="123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123">
        <v>10000</v>
      </c>
      <c r="H26" s="123">
        <v>9000</v>
      </c>
      <c r="I26" s="159">
        <f t="shared" si="0"/>
        <v>90</v>
      </c>
    </row>
    <row r="27" spans="2:9" ht="12.75" customHeight="1">
      <c r="B27" s="14"/>
      <c r="C27" s="15"/>
      <c r="D27" s="15"/>
      <c r="E27" s="16">
        <v>613900</v>
      </c>
      <c r="F27" s="26" t="s">
        <v>746</v>
      </c>
      <c r="G27" s="123">
        <v>3400</v>
      </c>
      <c r="H27" s="123">
        <v>6600</v>
      </c>
      <c r="I27" s="159">
        <f t="shared" si="0"/>
        <v>194.11764705882354</v>
      </c>
    </row>
    <row r="28" spans="2:9" s="1" customFormat="1" ht="12.75" customHeight="1">
      <c r="B28" s="17"/>
      <c r="C28" s="12"/>
      <c r="D28" s="12"/>
      <c r="E28" s="9"/>
      <c r="F28" s="12"/>
      <c r="G28" s="123"/>
      <c r="H28" s="123"/>
      <c r="I28" s="159">
        <f t="shared" si="0"/>
      </c>
    </row>
    <row r="29" spans="2:9" ht="12.75" customHeight="1">
      <c r="B29" s="14"/>
      <c r="C29" s="15"/>
      <c r="D29" s="31"/>
      <c r="E29" s="16"/>
      <c r="F29" s="30"/>
      <c r="G29" s="123"/>
      <c r="H29" s="123"/>
      <c r="I29" s="159">
        <f t="shared" si="0"/>
      </c>
    </row>
    <row r="30" spans="2:9" ht="12.75" customHeight="1">
      <c r="B30" s="14"/>
      <c r="C30" s="15"/>
      <c r="D30" s="15"/>
      <c r="E30" s="63"/>
      <c r="F30" s="30"/>
      <c r="G30" s="123"/>
      <c r="H30" s="123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123"/>
      <c r="H31" s="123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123"/>
      <c r="H32" s="123"/>
      <c r="I32" s="159">
        <f t="shared" si="0"/>
      </c>
    </row>
    <row r="33" spans="2:9" ht="12.75" customHeight="1">
      <c r="B33" s="14"/>
      <c r="C33" s="15"/>
      <c r="D33" s="15"/>
      <c r="E33" s="9"/>
      <c r="F33" s="12"/>
      <c r="G33" s="123"/>
      <c r="H33" s="123"/>
      <c r="I33" s="159">
        <f t="shared" si="0"/>
      </c>
    </row>
    <row r="34" spans="2:9" ht="12.75" customHeight="1">
      <c r="B34" s="14"/>
      <c r="C34" s="15"/>
      <c r="D34" s="15"/>
      <c r="E34" s="16"/>
      <c r="F34" s="26"/>
      <c r="G34" s="123"/>
      <c r="H34" s="123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SUM(G37:G39)</f>
        <v>12000</v>
      </c>
      <c r="H36" s="114">
        <f>SUM(H37:H39)</f>
        <v>0</v>
      </c>
      <c r="I36" s="158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123">
        <f>1000+2000</f>
        <v>3000</v>
      </c>
      <c r="H37" s="123">
        <v>0</v>
      </c>
      <c r="I37" s="159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123">
        <v>9000</v>
      </c>
      <c r="H38" s="123">
        <v>0</v>
      </c>
      <c r="I38" s="159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123"/>
      <c r="H39" s="123"/>
      <c r="I39" s="159"/>
    </row>
    <row r="40" spans="2:9" ht="12.75" customHeight="1">
      <c r="B40" s="14"/>
      <c r="C40" s="15"/>
      <c r="D40" s="15"/>
      <c r="E40" s="16"/>
      <c r="F40" s="15"/>
      <c r="G40" s="46"/>
      <c r="H40" s="46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5" t="s">
        <v>613</v>
      </c>
      <c r="H41" s="25" t="s">
        <v>764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907140</v>
      </c>
      <c r="H42" s="20">
        <f>H7+H13+H17+H36</f>
        <v>885500</v>
      </c>
      <c r="I42" s="158">
        <f>IF(G42=0,"",H42/G42*100)</f>
        <v>97.61448067552969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/>
      <c r="H43" s="20"/>
      <c r="I43" s="149"/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45"/>
      <c r="I44" s="148"/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</sheetData>
  <sheetProtection/>
  <mergeCells count="2">
    <mergeCell ref="B2:G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88" r:id="rId1"/>
  <headerFooter alignWithMargins="0">
    <oddFooter>&amp;R35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B2:K53"/>
  <sheetViews>
    <sheetView zoomScalePageLayoutView="0" workbookViewId="0" topLeftCell="C4">
      <selection activeCell="L13" sqref="L1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7" ht="15" customHeight="1">
      <c r="B2" s="439" t="s">
        <v>183</v>
      </c>
      <c r="C2" s="439"/>
      <c r="D2" s="439"/>
      <c r="E2" s="439"/>
      <c r="F2" s="439"/>
      <c r="G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154</v>
      </c>
      <c r="C6" s="11" t="s">
        <v>156</v>
      </c>
      <c r="D6" s="11" t="s">
        <v>157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839250</v>
      </c>
      <c r="H7" s="20">
        <f>SUM(H8:H11)</f>
        <v>804860</v>
      </c>
      <c r="I7" s="158">
        <f aca="true" t="shared" si="0" ref="I7:I38">IF(G7=0,"",H7/G7*100)</f>
        <v>95.90229371462615</v>
      </c>
    </row>
    <row r="8" spans="2:11" ht="12.75" customHeight="1">
      <c r="B8" s="14"/>
      <c r="C8" s="15"/>
      <c r="D8" s="15"/>
      <c r="E8" s="16">
        <v>611100</v>
      </c>
      <c r="F8" s="26" t="s">
        <v>218</v>
      </c>
      <c r="G8" s="123">
        <f>681200+2400</f>
        <v>683600</v>
      </c>
      <c r="H8" s="123">
        <v>636500</v>
      </c>
      <c r="I8" s="159">
        <f t="shared" si="0"/>
        <v>93.11000585137508</v>
      </c>
      <c r="J8" s="86"/>
      <c r="K8" s="95"/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123">
        <f>145800+5000+830</f>
        <v>151630</v>
      </c>
      <c r="H9" s="123">
        <f>152100+4*1450+2*830</f>
        <v>159560</v>
      </c>
      <c r="I9" s="159">
        <f t="shared" si="0"/>
        <v>105.22983578447538</v>
      </c>
    </row>
    <row r="10" spans="2:11" ht="12.75" customHeight="1">
      <c r="B10" s="14"/>
      <c r="C10" s="15"/>
      <c r="D10" s="15"/>
      <c r="E10" s="16">
        <v>611200</v>
      </c>
      <c r="F10" s="26" t="s">
        <v>753</v>
      </c>
      <c r="G10" s="87">
        <v>4020</v>
      </c>
      <c r="H10" s="87">
        <v>8800</v>
      </c>
      <c r="I10" s="159">
        <f t="shared" si="0"/>
        <v>218.9054726368159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71300</v>
      </c>
      <c r="H13" s="20">
        <f>H14+H15</f>
        <v>67300</v>
      </c>
      <c r="I13" s="158">
        <f t="shared" si="0"/>
        <v>94.3899018232819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123">
        <v>71300</v>
      </c>
      <c r="H14" s="123">
        <v>67300</v>
      </c>
      <c r="I14" s="159">
        <f t="shared" si="0"/>
        <v>94.3899018232819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99800</v>
      </c>
      <c r="H17" s="51">
        <f>SUM(H18:H27)</f>
        <v>103800</v>
      </c>
      <c r="I17" s="158">
        <f t="shared" si="0"/>
        <v>104.00801603206413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3000</v>
      </c>
      <c r="H18" s="46">
        <v>3000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60850</v>
      </c>
      <c r="H19" s="46">
        <v>55000</v>
      </c>
      <c r="I19" s="159">
        <f t="shared" si="0"/>
        <v>90.3861955628595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6">
        <v>4400</v>
      </c>
      <c r="H20" s="46">
        <v>5500</v>
      </c>
      <c r="I20" s="159">
        <f t="shared" si="0"/>
        <v>125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6">
        <v>8600</v>
      </c>
      <c r="H21" s="46">
        <v>8500</v>
      </c>
      <c r="I21" s="159">
        <f t="shared" si="0"/>
        <v>98.83720930232558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123">
        <v>1150</v>
      </c>
      <c r="H22" s="123">
        <v>1000</v>
      </c>
      <c r="I22" s="159">
        <f t="shared" si="0"/>
        <v>86.95652173913044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123">
        <v>0</v>
      </c>
      <c r="H23" s="123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123">
        <v>6500</v>
      </c>
      <c r="H24" s="123">
        <v>7500</v>
      </c>
      <c r="I24" s="159">
        <f t="shared" si="0"/>
        <v>115.38461538461537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123">
        <v>1100</v>
      </c>
      <c r="H25" s="123">
        <v>1100</v>
      </c>
      <c r="I25" s="159">
        <f t="shared" si="0"/>
        <v>100</v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123">
        <v>9000</v>
      </c>
      <c r="H26" s="123">
        <v>9000</v>
      </c>
      <c r="I26" s="159">
        <f t="shared" si="0"/>
        <v>100</v>
      </c>
    </row>
    <row r="27" spans="2:9" ht="12.75" customHeight="1">
      <c r="B27" s="14"/>
      <c r="C27" s="15"/>
      <c r="D27" s="15"/>
      <c r="E27" s="16">
        <v>613900</v>
      </c>
      <c r="F27" s="26" t="s">
        <v>754</v>
      </c>
      <c r="G27" s="175">
        <v>5200</v>
      </c>
      <c r="H27" s="175">
        <v>13200</v>
      </c>
      <c r="I27" s="159">
        <f t="shared" si="0"/>
        <v>253.84615384615384</v>
      </c>
    </row>
    <row r="28" spans="2:9" s="1" customFormat="1" ht="12.75" customHeight="1">
      <c r="B28" s="17"/>
      <c r="C28" s="12"/>
      <c r="D28" s="12"/>
      <c r="E28" s="9"/>
      <c r="F28" s="12"/>
      <c r="G28" s="123"/>
      <c r="H28" s="123"/>
      <c r="I28" s="159">
        <f t="shared" si="0"/>
      </c>
    </row>
    <row r="29" spans="2:9" ht="12.75" customHeight="1">
      <c r="B29" s="14"/>
      <c r="C29" s="15"/>
      <c r="D29" s="31"/>
      <c r="E29" s="16"/>
      <c r="F29" s="30"/>
      <c r="G29" s="123"/>
      <c r="H29" s="123"/>
      <c r="I29" s="159">
        <f t="shared" si="0"/>
      </c>
    </row>
    <row r="30" spans="2:9" ht="12.75" customHeight="1">
      <c r="B30" s="14"/>
      <c r="C30" s="15"/>
      <c r="D30" s="15"/>
      <c r="E30" s="63"/>
      <c r="F30" s="30"/>
      <c r="G30" s="123"/>
      <c r="H30" s="123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46"/>
      <c r="H31" s="46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46"/>
      <c r="H32" s="46"/>
      <c r="I32" s="159">
        <f t="shared" si="0"/>
      </c>
    </row>
    <row r="33" spans="2:9" ht="12.75" customHeight="1">
      <c r="B33" s="14"/>
      <c r="C33" s="15"/>
      <c r="D33" s="15"/>
      <c r="E33" s="9"/>
      <c r="F33" s="12"/>
      <c r="G33" s="46"/>
      <c r="H33" s="46"/>
      <c r="I33" s="159">
        <f t="shared" si="0"/>
      </c>
    </row>
    <row r="34" spans="2:9" ht="12.75" customHeight="1">
      <c r="B34" s="14"/>
      <c r="C34" s="15"/>
      <c r="D34" s="15"/>
      <c r="E34" s="16"/>
      <c r="F34" s="26"/>
      <c r="G34" s="46"/>
      <c r="H34" s="46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SUM(G37:G39)</f>
        <v>80660</v>
      </c>
      <c r="H36" s="114">
        <f>SUM(H37:H39)</f>
        <v>45000</v>
      </c>
      <c r="I36" s="158">
        <f t="shared" si="0"/>
        <v>55.78973468881726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123">
        <f>35660+35000+10000</f>
        <v>80660</v>
      </c>
      <c r="H37" s="123">
        <v>40000</v>
      </c>
      <c r="I37" s="159">
        <f t="shared" si="0"/>
        <v>49.59087527894867</v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123">
        <v>0</v>
      </c>
      <c r="H38" s="123">
        <v>5000</v>
      </c>
      <c r="I38" s="159">
        <f t="shared" si="0"/>
      </c>
    </row>
    <row r="39" spans="2:9" ht="12.75" customHeight="1">
      <c r="B39" s="14"/>
      <c r="C39" s="15"/>
      <c r="D39" s="15"/>
      <c r="E39" s="16"/>
      <c r="F39" s="26"/>
      <c r="G39" s="46"/>
      <c r="H39" s="46"/>
      <c r="I39" s="159"/>
    </row>
    <row r="40" spans="2:9" ht="12.75" customHeight="1">
      <c r="B40" s="14"/>
      <c r="C40" s="15"/>
      <c r="D40" s="15"/>
      <c r="E40" s="16"/>
      <c r="F40" s="15"/>
      <c r="G40" s="46"/>
      <c r="H40" s="46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140" t="s">
        <v>613</v>
      </c>
      <c r="H41" s="140" t="s">
        <v>614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1091010</v>
      </c>
      <c r="H42" s="20">
        <f>H7+H13+H17+H36</f>
        <v>1020960</v>
      </c>
      <c r="I42" s="158">
        <f>IF(G42=0,"",H42/G42*100)</f>
        <v>93.57934391068827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/>
      <c r="H43" s="20"/>
      <c r="I43" s="161"/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45"/>
      <c r="I44" s="160"/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7" ht="12.75">
      <c r="B47" s="86"/>
    </row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  <row r="53" ht="12.75">
      <c r="B53" s="86"/>
    </row>
  </sheetData>
  <sheetProtection/>
  <mergeCells count="2">
    <mergeCell ref="B2:G2"/>
    <mergeCell ref="F3:G3"/>
  </mergeCells>
  <printOptions/>
  <pageMargins left="0.2755905511811024" right="0.2755905511811024" top="0.5905511811023623" bottom="0.54" header="0.5118110236220472" footer="0.5118110236220472"/>
  <pageSetup fitToHeight="1" fitToWidth="1" horizontalDpi="180" verticalDpi="180" orientation="portrait" paperSize="9" scale="88" r:id="rId1"/>
  <headerFooter alignWithMargins="0">
    <oddFooter>&amp;R36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B2:K54"/>
  <sheetViews>
    <sheetView zoomScalePageLayoutView="0" workbookViewId="0" topLeftCell="C4">
      <selection activeCell="H42" sqref="H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7" ht="15" customHeight="1">
      <c r="B2" s="441" t="s">
        <v>184</v>
      </c>
      <c r="C2" s="441"/>
      <c r="D2" s="441"/>
      <c r="E2" s="441"/>
      <c r="F2" s="441"/>
      <c r="G2" s="441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154</v>
      </c>
      <c r="C6" s="11" t="s">
        <v>156</v>
      </c>
      <c r="D6" s="11" t="s">
        <v>158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354450</v>
      </c>
      <c r="H7" s="20">
        <f>SUM(H8:H11)</f>
        <v>381500</v>
      </c>
      <c r="I7" s="158">
        <f aca="true" t="shared" si="0" ref="I7:I38">IF(G7=0,"",H7/G7*100)</f>
        <v>107.63154182536323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46">
        <v>276000</v>
      </c>
      <c r="H8" s="46">
        <v>297500</v>
      </c>
      <c r="I8" s="159">
        <f t="shared" si="0"/>
        <v>107.78985507246377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123">
        <f>75300+830</f>
        <v>76130</v>
      </c>
      <c r="H9" s="123">
        <f>80300+1500</f>
        <v>81800</v>
      </c>
      <c r="I9" s="159">
        <f t="shared" si="0"/>
        <v>107.44778668067778</v>
      </c>
    </row>
    <row r="10" spans="2:11" ht="12.75" customHeight="1">
      <c r="B10" s="14"/>
      <c r="C10" s="15"/>
      <c r="D10" s="15"/>
      <c r="E10" s="16">
        <v>611200</v>
      </c>
      <c r="F10" s="26" t="s">
        <v>741</v>
      </c>
      <c r="G10" s="87">
        <v>2320</v>
      </c>
      <c r="H10" s="87">
        <v>2200</v>
      </c>
      <c r="I10" s="159">
        <f t="shared" si="0"/>
        <v>94.82758620689656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30200</v>
      </c>
      <c r="H13" s="20">
        <f>H14+H15</f>
        <v>31700</v>
      </c>
      <c r="I13" s="158">
        <f t="shared" si="0"/>
        <v>104.96688741721853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6">
        <v>30200</v>
      </c>
      <c r="H14" s="46">
        <v>31700</v>
      </c>
      <c r="I14" s="159">
        <f t="shared" si="0"/>
        <v>104.96688741721853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52840</v>
      </c>
      <c r="H17" s="51">
        <f>SUM(H18:H27)</f>
        <v>52600</v>
      </c>
      <c r="I17" s="158">
        <f t="shared" si="0"/>
        <v>99.5457986373959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4000</v>
      </c>
      <c r="H18" s="46">
        <v>4000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18000</v>
      </c>
      <c r="H19" s="46">
        <v>18000</v>
      </c>
      <c r="I19" s="159">
        <f t="shared" si="0"/>
        <v>100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6">
        <v>2800</v>
      </c>
      <c r="H20" s="46">
        <v>2800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6">
        <v>9300</v>
      </c>
      <c r="H21" s="46">
        <v>9000</v>
      </c>
      <c r="I21" s="159">
        <f t="shared" si="0"/>
        <v>96.7741935483871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6">
        <v>500</v>
      </c>
      <c r="H22" s="46">
        <v>500</v>
      </c>
      <c r="I22" s="159">
        <f t="shared" si="0"/>
        <v>100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6">
        <v>0</v>
      </c>
      <c r="H23" s="46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46">
        <v>6500</v>
      </c>
      <c r="H24" s="46">
        <v>6000</v>
      </c>
      <c r="I24" s="159">
        <f t="shared" si="0"/>
        <v>92.3076923076923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123">
        <v>0</v>
      </c>
      <c r="H25" s="123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123">
        <v>9000</v>
      </c>
      <c r="H26" s="123">
        <v>9000</v>
      </c>
      <c r="I26" s="159">
        <f t="shared" si="0"/>
        <v>100</v>
      </c>
    </row>
    <row r="27" spans="2:9" ht="12.75" customHeight="1">
      <c r="B27" s="14"/>
      <c r="C27" s="15"/>
      <c r="D27" s="15"/>
      <c r="E27" s="16">
        <v>613900</v>
      </c>
      <c r="F27" s="26" t="s">
        <v>742</v>
      </c>
      <c r="G27" s="123">
        <v>2740</v>
      </c>
      <c r="H27" s="123">
        <v>3300</v>
      </c>
      <c r="I27" s="159">
        <f t="shared" si="0"/>
        <v>120.43795620437956</v>
      </c>
    </row>
    <row r="28" spans="2:9" s="1" customFormat="1" ht="12.75" customHeight="1">
      <c r="B28" s="17"/>
      <c r="C28" s="12"/>
      <c r="D28" s="12"/>
      <c r="E28" s="9"/>
      <c r="F28" s="12"/>
      <c r="G28" s="123"/>
      <c r="H28" s="123"/>
      <c r="I28" s="159">
        <f t="shared" si="0"/>
      </c>
    </row>
    <row r="29" spans="2:9" ht="12.75" customHeight="1">
      <c r="B29" s="14"/>
      <c r="C29" s="15"/>
      <c r="D29" s="31"/>
      <c r="E29" s="16"/>
      <c r="F29" s="30"/>
      <c r="G29" s="123"/>
      <c r="H29" s="123"/>
      <c r="I29" s="159">
        <f t="shared" si="0"/>
      </c>
    </row>
    <row r="30" spans="2:9" ht="12.75" customHeight="1">
      <c r="B30" s="14"/>
      <c r="C30" s="15"/>
      <c r="D30" s="15"/>
      <c r="E30" s="63"/>
      <c r="F30" s="30"/>
      <c r="G30" s="123"/>
      <c r="H30" s="123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123"/>
      <c r="H31" s="123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123"/>
      <c r="H32" s="123"/>
      <c r="I32" s="159">
        <f t="shared" si="0"/>
      </c>
    </row>
    <row r="33" spans="2:9" ht="12.75" customHeight="1">
      <c r="B33" s="14"/>
      <c r="C33" s="15"/>
      <c r="D33" s="15"/>
      <c r="E33" s="9"/>
      <c r="F33" s="12"/>
      <c r="G33" s="123"/>
      <c r="H33" s="123"/>
      <c r="I33" s="159">
        <f t="shared" si="0"/>
      </c>
    </row>
    <row r="34" spans="2:9" ht="12.75" customHeight="1">
      <c r="B34" s="14"/>
      <c r="C34" s="15"/>
      <c r="D34" s="15"/>
      <c r="E34" s="16"/>
      <c r="F34" s="26"/>
      <c r="G34" s="123"/>
      <c r="H34" s="123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SUM(G37:G39)</f>
        <v>54370</v>
      </c>
      <c r="H36" s="114">
        <f>SUM(H37:H39)</f>
        <v>10000</v>
      </c>
      <c r="I36" s="158">
        <f t="shared" si="0"/>
        <v>18.39249586168843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123">
        <v>40000</v>
      </c>
      <c r="H37" s="123">
        <v>0</v>
      </c>
      <c r="I37" s="159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123">
        <v>14370</v>
      </c>
      <c r="H38" s="123">
        <v>10000</v>
      </c>
      <c r="I38" s="159">
        <f t="shared" si="0"/>
        <v>69.589422407794</v>
      </c>
    </row>
    <row r="39" spans="2:9" ht="12.75" customHeight="1">
      <c r="B39" s="14"/>
      <c r="C39" s="15"/>
      <c r="D39" s="15"/>
      <c r="E39" s="16"/>
      <c r="F39" s="26"/>
      <c r="G39" s="123"/>
      <c r="H39" s="123"/>
      <c r="I39" s="159"/>
    </row>
    <row r="40" spans="2:9" ht="12.75" customHeight="1">
      <c r="B40" s="14"/>
      <c r="C40" s="15"/>
      <c r="D40" s="15"/>
      <c r="E40" s="16"/>
      <c r="F40" s="15"/>
      <c r="G40" s="46"/>
      <c r="H40" s="46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5" t="s">
        <v>538</v>
      </c>
      <c r="H41" s="25" t="s">
        <v>765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491860</v>
      </c>
      <c r="H42" s="20">
        <f>H7+H13+H17+H36</f>
        <v>475800</v>
      </c>
      <c r="I42" s="158">
        <f>IF(G42=0,"",H42/G42*100)</f>
        <v>96.73484324807872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/>
      <c r="H43" s="20"/>
      <c r="I43" s="161"/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/>
      <c r="H44" s="45"/>
      <c r="I44" s="160"/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  <row r="53" ht="12.75">
      <c r="B53" s="86"/>
    </row>
    <row r="54" ht="12.75">
      <c r="B54" s="86"/>
    </row>
  </sheetData>
  <sheetProtection/>
  <mergeCells count="2">
    <mergeCell ref="B2:G2"/>
    <mergeCell ref="F3:G3"/>
  </mergeCells>
  <printOptions/>
  <pageMargins left="0.2755905511811024" right="0.2755905511811024" top="0.5905511811023623" bottom="0.53" header="0.5118110236220472" footer="0.5118110236220472"/>
  <pageSetup fitToHeight="1" fitToWidth="1" horizontalDpi="180" verticalDpi="180" orientation="portrait" paperSize="9" scale="88" r:id="rId1"/>
  <headerFooter alignWithMargins="0">
    <oddFooter>&amp;R37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2:K55"/>
  <sheetViews>
    <sheetView zoomScalePageLayoutView="0" workbookViewId="0" topLeftCell="B31">
      <selection activeCell="H16" sqref="H16"/>
    </sheetView>
  </sheetViews>
  <sheetFormatPr defaultColWidth="9.140625" defaultRowHeight="12.75"/>
  <cols>
    <col min="1" max="1" width="0.42578125" style="0" hidden="1" customWidth="1"/>
    <col min="2" max="2" width="13.28125" style="58" customWidth="1"/>
    <col min="3" max="3" width="55.421875" style="0" customWidth="1"/>
    <col min="4" max="5" width="15.28125" style="0" customWidth="1"/>
    <col min="6" max="6" width="8.57421875" style="0" customWidth="1"/>
    <col min="7" max="7" width="11.00390625" style="0" customWidth="1"/>
    <col min="8" max="8" width="15.7109375" style="0" customWidth="1"/>
    <col min="9" max="9" width="17.28125" style="0" customWidth="1"/>
    <col min="10" max="10" width="15.28125" style="0" customWidth="1"/>
    <col min="11" max="11" width="13.140625" style="0" bestFit="1" customWidth="1"/>
  </cols>
  <sheetData>
    <row r="2" spans="2:6" ht="18.75" thickBot="1">
      <c r="B2" s="427" t="s">
        <v>83</v>
      </c>
      <c r="C2" s="427"/>
      <c r="D2" s="427"/>
      <c r="E2" s="428"/>
      <c r="F2" s="428"/>
    </row>
    <row r="3" spans="2:7" ht="76.5" customHeight="1">
      <c r="B3" s="88" t="s">
        <v>196</v>
      </c>
      <c r="C3" s="89" t="s">
        <v>88</v>
      </c>
      <c r="D3" s="145" t="s">
        <v>360</v>
      </c>
      <c r="E3" s="145" t="s">
        <v>628</v>
      </c>
      <c r="F3" s="44" t="s">
        <v>343</v>
      </c>
      <c r="G3" s="351"/>
    </row>
    <row r="4" spans="2:6" ht="12.75" customHeight="1">
      <c r="B4" s="302">
        <v>1</v>
      </c>
      <c r="C4" s="303">
        <v>2</v>
      </c>
      <c r="D4" s="303">
        <v>3</v>
      </c>
      <c r="E4" s="304">
        <v>4</v>
      </c>
      <c r="F4" s="305">
        <v>5</v>
      </c>
    </row>
    <row r="5" spans="2:11" s="54" customFormat="1" ht="17.25" customHeight="1">
      <c r="B5" s="249">
        <v>710000</v>
      </c>
      <c r="C5" s="250" t="s">
        <v>195</v>
      </c>
      <c r="D5" s="251">
        <f>D6+D14+D18+D26+D36+D45+D49</f>
        <v>27864990</v>
      </c>
      <c r="E5" s="251">
        <f>E6+E14+E18+E26+E36+E45+E49</f>
        <v>29907530</v>
      </c>
      <c r="F5" s="252">
        <f>IF(D5=0,,E5/D5*100)</f>
        <v>107.33013003055088</v>
      </c>
      <c r="G5" s="253"/>
      <c r="H5" s="449"/>
      <c r="I5" s="450"/>
      <c r="J5" s="450"/>
      <c r="K5" s="450"/>
    </row>
    <row r="6" spans="2:11" s="217" customFormat="1" ht="15" customHeight="1">
      <c r="B6" s="213">
        <v>711000</v>
      </c>
      <c r="C6" s="224" t="s">
        <v>200</v>
      </c>
      <c r="D6" s="222">
        <f>D7+D11</f>
        <v>1485350</v>
      </c>
      <c r="E6" s="222">
        <f>E7+E11</f>
        <v>1741730</v>
      </c>
      <c r="F6" s="223">
        <f aca="true" t="shared" si="0" ref="F6:F51">IF(D6=0,,E6/D6*100)</f>
        <v>117.26057831487529</v>
      </c>
      <c r="G6" s="216"/>
      <c r="H6" s="451"/>
      <c r="I6" s="451"/>
      <c r="J6" s="452"/>
      <c r="K6" s="453"/>
    </row>
    <row r="7" spans="2:11" s="217" customFormat="1" ht="15" customHeight="1">
      <c r="B7" s="218">
        <v>711100</v>
      </c>
      <c r="C7" s="219" t="s">
        <v>366</v>
      </c>
      <c r="D7" s="214">
        <f>SUM(D8:D10)</f>
        <v>8650</v>
      </c>
      <c r="E7" s="214">
        <f>SUM(E8:E10)</f>
        <v>9520</v>
      </c>
      <c r="F7" s="215">
        <f t="shared" si="0"/>
        <v>110.05780346820808</v>
      </c>
      <c r="G7" s="216"/>
      <c r="H7" s="451"/>
      <c r="I7" s="453"/>
      <c r="J7" s="453"/>
      <c r="K7" s="453"/>
    </row>
    <row r="8" spans="2:8" ht="15" customHeight="1">
      <c r="B8" s="212">
        <v>711111</v>
      </c>
      <c r="C8" s="234" t="s">
        <v>367</v>
      </c>
      <c r="D8" s="98">
        <v>8200</v>
      </c>
      <c r="E8" s="98">
        <v>7430</v>
      </c>
      <c r="F8" s="79">
        <f t="shared" si="0"/>
        <v>90.60975609756098</v>
      </c>
      <c r="G8" s="107"/>
      <c r="H8" s="110"/>
    </row>
    <row r="9" spans="2:8" ht="15" customHeight="1">
      <c r="B9" s="212">
        <v>711114</v>
      </c>
      <c r="C9" s="234" t="s">
        <v>711</v>
      </c>
      <c r="D9" s="98">
        <v>0</v>
      </c>
      <c r="E9" s="98">
        <v>50</v>
      </c>
      <c r="F9" s="79">
        <f>IF(D9=0,,E9/D9*100)</f>
        <v>0</v>
      </c>
      <c r="G9" s="107"/>
      <c r="H9" s="110"/>
    </row>
    <row r="10" spans="2:8" ht="15" customHeight="1">
      <c r="B10" s="212">
        <v>711115</v>
      </c>
      <c r="C10" s="234" t="s">
        <v>368</v>
      </c>
      <c r="D10" s="98">
        <v>450</v>
      </c>
      <c r="E10" s="318">
        <v>2040</v>
      </c>
      <c r="F10" s="79">
        <f t="shared" si="0"/>
        <v>453.3333333333333</v>
      </c>
      <c r="G10" s="107"/>
      <c r="H10" s="110"/>
    </row>
    <row r="11" spans="2:8" s="217" customFormat="1" ht="15" customHeight="1">
      <c r="B11" s="218">
        <v>711200</v>
      </c>
      <c r="C11" s="219" t="s">
        <v>371</v>
      </c>
      <c r="D11" s="214">
        <f>SUM(D12:D13)</f>
        <v>1476700</v>
      </c>
      <c r="E11" s="214">
        <f>SUM(E12:E13)</f>
        <v>1732210</v>
      </c>
      <c r="F11" s="215">
        <f t="shared" si="0"/>
        <v>117.3027696891718</v>
      </c>
      <c r="G11" s="216"/>
      <c r="H11" s="220"/>
    </row>
    <row r="12" spans="2:8" ht="15" customHeight="1">
      <c r="B12" s="212">
        <v>711211</v>
      </c>
      <c r="C12" s="234" t="s">
        <v>369</v>
      </c>
      <c r="D12" s="98">
        <v>1430500</v>
      </c>
      <c r="E12" s="98">
        <v>1688900</v>
      </c>
      <c r="F12" s="79">
        <f t="shared" si="0"/>
        <v>118.06361412093673</v>
      </c>
      <c r="G12" s="107"/>
      <c r="H12" s="110"/>
    </row>
    <row r="13" spans="2:8" ht="15" customHeight="1">
      <c r="B13" s="212">
        <v>711212</v>
      </c>
      <c r="C13" s="234" t="s">
        <v>370</v>
      </c>
      <c r="D13" s="98">
        <v>46200</v>
      </c>
      <c r="E13" s="318">
        <v>43310</v>
      </c>
      <c r="F13" s="79">
        <f t="shared" si="0"/>
        <v>93.74458874458874</v>
      </c>
      <c r="G13" s="107"/>
      <c r="H13" s="110"/>
    </row>
    <row r="14" spans="2:8" s="217" customFormat="1" ht="15" customHeight="1">
      <c r="B14" s="213">
        <v>713000</v>
      </c>
      <c r="C14" s="221" t="s">
        <v>372</v>
      </c>
      <c r="D14" s="222">
        <f>D15</f>
        <v>7750</v>
      </c>
      <c r="E14" s="222">
        <f>E15</f>
        <v>7100</v>
      </c>
      <c r="F14" s="223">
        <f t="shared" si="0"/>
        <v>91.61290322580645</v>
      </c>
      <c r="G14" s="216"/>
      <c r="H14" s="220"/>
    </row>
    <row r="15" spans="2:7" s="217" customFormat="1" ht="15" customHeight="1">
      <c r="B15" s="218">
        <v>713100</v>
      </c>
      <c r="C15" s="247" t="s">
        <v>482</v>
      </c>
      <c r="D15" s="248">
        <f>SUM(D16:D17)</f>
        <v>7750</v>
      </c>
      <c r="E15" s="248">
        <f>SUM(E16:E17)</f>
        <v>7100</v>
      </c>
      <c r="F15" s="244">
        <f t="shared" si="0"/>
        <v>91.61290322580645</v>
      </c>
      <c r="G15" s="216"/>
    </row>
    <row r="16" spans="2:7" ht="15" customHeight="1">
      <c r="B16" s="212">
        <v>713111</v>
      </c>
      <c r="C16" s="234" t="s">
        <v>373</v>
      </c>
      <c r="D16" s="98">
        <v>7300</v>
      </c>
      <c r="E16" s="98">
        <v>7000</v>
      </c>
      <c r="F16" s="79">
        <f t="shared" si="0"/>
        <v>95.8904109589041</v>
      </c>
      <c r="G16" s="107"/>
    </row>
    <row r="17" spans="2:7" ht="15" customHeight="1">
      <c r="B17" s="212">
        <v>713113</v>
      </c>
      <c r="C17" s="234" t="s">
        <v>374</v>
      </c>
      <c r="D17" s="98">
        <v>450</v>
      </c>
      <c r="E17" s="98">
        <v>100</v>
      </c>
      <c r="F17" s="79">
        <f t="shared" si="0"/>
        <v>22.22222222222222</v>
      </c>
      <c r="G17" s="107"/>
    </row>
    <row r="18" spans="2:8" s="217" customFormat="1" ht="15" customHeight="1">
      <c r="B18" s="213">
        <v>714000</v>
      </c>
      <c r="C18" s="221" t="s">
        <v>201</v>
      </c>
      <c r="D18" s="222">
        <f>D19</f>
        <v>214400</v>
      </c>
      <c r="E18" s="222">
        <f>E19</f>
        <v>215190</v>
      </c>
      <c r="F18" s="223">
        <f t="shared" si="0"/>
        <v>100.36847014925374</v>
      </c>
      <c r="G18" s="216"/>
      <c r="H18" s="216"/>
    </row>
    <row r="19" spans="2:7" s="217" customFormat="1" ht="15" customHeight="1">
      <c r="B19" s="218">
        <v>714100</v>
      </c>
      <c r="C19" s="247" t="s">
        <v>481</v>
      </c>
      <c r="D19" s="248">
        <f>SUM(D20:D25)</f>
        <v>214400</v>
      </c>
      <c r="E19" s="248">
        <f>SUM(E20:E25)</f>
        <v>215190</v>
      </c>
      <c r="F19" s="244">
        <f t="shared" si="0"/>
        <v>100.36847014925374</v>
      </c>
      <c r="G19" s="216"/>
    </row>
    <row r="20" spans="2:8" ht="15" customHeight="1">
      <c r="B20" s="212">
        <v>714111</v>
      </c>
      <c r="C20" s="234" t="s">
        <v>375</v>
      </c>
      <c r="D20" s="98">
        <v>48250</v>
      </c>
      <c r="E20" s="98">
        <v>42860</v>
      </c>
      <c r="F20" s="79">
        <f t="shared" si="0"/>
        <v>88.82901554404144</v>
      </c>
      <c r="G20" s="107"/>
      <c r="H20" s="107"/>
    </row>
    <row r="21" spans="2:7" ht="15" customHeight="1">
      <c r="B21" s="212">
        <v>714112</v>
      </c>
      <c r="C21" s="234" t="s">
        <v>376</v>
      </c>
      <c r="D21" s="98">
        <v>12500</v>
      </c>
      <c r="E21" s="318">
        <v>3520</v>
      </c>
      <c r="F21" s="190">
        <f t="shared" si="0"/>
        <v>28.16</v>
      </c>
      <c r="G21" s="107"/>
    </row>
    <row r="22" spans="2:7" ht="15" customHeight="1">
      <c r="B22" s="212">
        <v>714113</v>
      </c>
      <c r="C22" s="234" t="s">
        <v>377</v>
      </c>
      <c r="D22" s="98">
        <v>750</v>
      </c>
      <c r="E22" s="98">
        <v>50</v>
      </c>
      <c r="F22" s="79">
        <f t="shared" si="0"/>
        <v>6.666666666666667</v>
      </c>
      <c r="G22" s="107"/>
    </row>
    <row r="23" spans="2:7" ht="15" customHeight="1">
      <c r="B23" s="212">
        <v>714121</v>
      </c>
      <c r="C23" s="234" t="s">
        <v>378</v>
      </c>
      <c r="D23" s="98">
        <v>15900</v>
      </c>
      <c r="E23" s="318">
        <v>8100</v>
      </c>
      <c r="F23" s="79">
        <f t="shared" si="0"/>
        <v>50.943396226415096</v>
      </c>
      <c r="G23" s="107"/>
    </row>
    <row r="24" spans="2:7" ht="15" customHeight="1">
      <c r="B24" s="212">
        <v>714131</v>
      </c>
      <c r="C24" s="234" t="s">
        <v>379</v>
      </c>
      <c r="D24" s="98">
        <v>92300</v>
      </c>
      <c r="E24" s="318">
        <v>125470</v>
      </c>
      <c r="F24" s="79">
        <f t="shared" si="0"/>
        <v>135.93716143011918</v>
      </c>
      <c r="G24" s="107"/>
    </row>
    <row r="25" spans="2:7" ht="15" customHeight="1">
      <c r="B25" s="212">
        <v>714132</v>
      </c>
      <c r="C25" s="234" t="s">
        <v>380</v>
      </c>
      <c r="D25" s="98">
        <v>44700</v>
      </c>
      <c r="E25" s="98">
        <v>35190</v>
      </c>
      <c r="F25" s="79">
        <f t="shared" si="0"/>
        <v>78.7248322147651</v>
      </c>
      <c r="G25" s="107"/>
    </row>
    <row r="26" spans="2:8" s="217" customFormat="1" ht="25.5" customHeight="1">
      <c r="B26" s="213">
        <v>715000</v>
      </c>
      <c r="C26" s="224" t="s">
        <v>381</v>
      </c>
      <c r="D26" s="222">
        <f>D27+D32+D34</f>
        <v>5600</v>
      </c>
      <c r="E26" s="222">
        <f>E27+E32+E34</f>
        <v>2950</v>
      </c>
      <c r="F26" s="223">
        <f t="shared" si="0"/>
        <v>52.67857142857143</v>
      </c>
      <c r="G26" s="216"/>
      <c r="H26" s="220"/>
    </row>
    <row r="27" spans="2:7" s="217" customFormat="1" ht="26.25" customHeight="1">
      <c r="B27" s="218">
        <v>715100</v>
      </c>
      <c r="C27" s="392" t="s">
        <v>385</v>
      </c>
      <c r="D27" s="214">
        <f>SUM(D28:D31)</f>
        <v>4050</v>
      </c>
      <c r="E27" s="214">
        <f>SUM(E28:E31)</f>
        <v>1350</v>
      </c>
      <c r="F27" s="215">
        <f t="shared" si="0"/>
        <v>33.33333333333333</v>
      </c>
      <c r="G27" s="216"/>
    </row>
    <row r="28" spans="2:7" ht="15" customHeight="1">
      <c r="B28" s="212">
        <v>715131</v>
      </c>
      <c r="C28" s="234" t="s">
        <v>382</v>
      </c>
      <c r="D28" s="98">
        <v>250</v>
      </c>
      <c r="E28" s="98">
        <v>200</v>
      </c>
      <c r="F28" s="79">
        <f t="shared" si="0"/>
        <v>80</v>
      </c>
      <c r="G28" s="107"/>
    </row>
    <row r="29" spans="2:7" ht="15" customHeight="1">
      <c r="B29" s="212">
        <v>715132</v>
      </c>
      <c r="C29" s="234" t="s">
        <v>712</v>
      </c>
      <c r="D29" s="98">
        <v>0</v>
      </c>
      <c r="E29" s="98">
        <v>100</v>
      </c>
      <c r="F29" s="79">
        <f>IF(D29=0,,E29/D29*100)</f>
        <v>0</v>
      </c>
      <c r="G29" s="107"/>
    </row>
    <row r="30" spans="2:7" ht="15" customHeight="1">
      <c r="B30" s="212">
        <v>715137</v>
      </c>
      <c r="C30" s="234" t="s">
        <v>383</v>
      </c>
      <c r="D30" s="98">
        <v>100</v>
      </c>
      <c r="E30" s="98">
        <v>50</v>
      </c>
      <c r="F30" s="79">
        <f t="shared" si="0"/>
        <v>50</v>
      </c>
      <c r="G30" s="107"/>
    </row>
    <row r="31" spans="2:7" ht="15" customHeight="1">
      <c r="B31" s="212">
        <v>715141</v>
      </c>
      <c r="C31" s="234" t="s">
        <v>384</v>
      </c>
      <c r="D31" s="98">
        <v>3700</v>
      </c>
      <c r="E31" s="98">
        <v>1000</v>
      </c>
      <c r="F31" s="79">
        <f t="shared" si="0"/>
        <v>27.027027027027028</v>
      </c>
      <c r="G31" s="107"/>
    </row>
    <row r="32" spans="2:7" s="217" customFormat="1" ht="15" customHeight="1">
      <c r="B32" s="218">
        <v>715200</v>
      </c>
      <c r="C32" s="235" t="s">
        <v>386</v>
      </c>
      <c r="D32" s="214">
        <f>D33</f>
        <v>1500</v>
      </c>
      <c r="E32" s="214">
        <f>E33</f>
        <v>1600</v>
      </c>
      <c r="F32" s="215">
        <f t="shared" si="0"/>
        <v>106.66666666666667</v>
      </c>
      <c r="G32" s="216"/>
    </row>
    <row r="33" spans="2:7" ht="15" customHeight="1">
      <c r="B33" s="212">
        <v>715211</v>
      </c>
      <c r="C33" s="234" t="s">
        <v>387</v>
      </c>
      <c r="D33" s="98">
        <v>1500</v>
      </c>
      <c r="E33" s="98">
        <v>1600</v>
      </c>
      <c r="F33" s="79">
        <f t="shared" si="0"/>
        <v>106.66666666666667</v>
      </c>
      <c r="G33" s="107"/>
    </row>
    <row r="34" spans="2:9" s="217" customFormat="1" ht="15" customHeight="1">
      <c r="B34" s="218">
        <v>715900</v>
      </c>
      <c r="C34" s="235" t="s">
        <v>388</v>
      </c>
      <c r="D34" s="214">
        <f>SUM(D35:D35)</f>
        <v>50</v>
      </c>
      <c r="E34" s="214">
        <f>SUM(E35:E35)</f>
        <v>0</v>
      </c>
      <c r="F34" s="215">
        <f t="shared" si="0"/>
        <v>0</v>
      </c>
      <c r="G34" s="216"/>
      <c r="H34" s="453"/>
      <c r="I34" s="453"/>
    </row>
    <row r="35" spans="2:9" ht="27" customHeight="1">
      <c r="B35" s="212">
        <v>715914</v>
      </c>
      <c r="C35" s="236" t="s">
        <v>389</v>
      </c>
      <c r="D35" s="98">
        <v>50</v>
      </c>
      <c r="E35" s="318">
        <v>0</v>
      </c>
      <c r="F35" s="79">
        <f t="shared" si="0"/>
        <v>0</v>
      </c>
      <c r="G35" s="107"/>
      <c r="H35" s="393"/>
      <c r="I35" s="393"/>
    </row>
    <row r="36" spans="2:11" s="217" customFormat="1" ht="15" customHeight="1">
      <c r="B36" s="213">
        <v>716000</v>
      </c>
      <c r="C36" s="221" t="s">
        <v>202</v>
      </c>
      <c r="D36" s="222">
        <f>D37</f>
        <v>1950150</v>
      </c>
      <c r="E36" s="222">
        <f>E37</f>
        <v>2104200</v>
      </c>
      <c r="F36" s="223">
        <f t="shared" si="0"/>
        <v>107.89939235443427</v>
      </c>
      <c r="G36" s="216"/>
      <c r="H36" s="454"/>
      <c r="I36" s="455"/>
      <c r="J36" s="402"/>
      <c r="K36" s="402"/>
    </row>
    <row r="37" spans="2:11" s="217" customFormat="1" ht="15" customHeight="1">
      <c r="B37" s="218">
        <v>716100</v>
      </c>
      <c r="C37" s="235" t="s">
        <v>390</v>
      </c>
      <c r="D37" s="214">
        <f>SUM(D38:D44)</f>
        <v>1950150</v>
      </c>
      <c r="E37" s="248">
        <f>SUM(E38:E44)</f>
        <v>2104200</v>
      </c>
      <c r="F37" s="215">
        <f t="shared" si="0"/>
        <v>107.89939235443427</v>
      </c>
      <c r="G37" s="216"/>
      <c r="H37" s="454"/>
      <c r="I37" s="455"/>
      <c r="J37" s="403"/>
      <c r="K37" s="403"/>
    </row>
    <row r="38" spans="2:11" ht="15" customHeight="1">
      <c r="B38" s="212">
        <v>716111</v>
      </c>
      <c r="C38" s="234" t="s">
        <v>392</v>
      </c>
      <c r="D38" s="98">
        <v>1425300</v>
      </c>
      <c r="E38" s="98">
        <v>1636960</v>
      </c>
      <c r="F38" s="79">
        <f t="shared" si="0"/>
        <v>114.85020697397039</v>
      </c>
      <c r="G38" s="107"/>
      <c r="H38" s="107"/>
      <c r="I38" s="403"/>
      <c r="J38" s="403"/>
      <c r="K38" s="403"/>
    </row>
    <row r="39" spans="2:11" ht="15" customHeight="1">
      <c r="B39" s="212">
        <v>716112</v>
      </c>
      <c r="C39" s="234" t="s">
        <v>393</v>
      </c>
      <c r="D39" s="98">
        <v>46200</v>
      </c>
      <c r="E39" s="98">
        <v>47630</v>
      </c>
      <c r="F39" s="79">
        <f t="shared" si="0"/>
        <v>103.09523809523809</v>
      </c>
      <c r="G39" s="107"/>
      <c r="H39" s="107"/>
      <c r="I39" s="403"/>
      <c r="J39" s="403"/>
      <c r="K39" s="403"/>
    </row>
    <row r="40" spans="2:11" ht="15" customHeight="1">
      <c r="B40" s="212">
        <v>716113</v>
      </c>
      <c r="C40" s="234" t="s">
        <v>394</v>
      </c>
      <c r="D40" s="98">
        <v>26010</v>
      </c>
      <c r="E40" s="98">
        <v>29540</v>
      </c>
      <c r="F40" s="79">
        <f t="shared" si="0"/>
        <v>113.57170319108036</v>
      </c>
      <c r="G40" s="107"/>
      <c r="H40" s="107"/>
      <c r="I40" s="403"/>
      <c r="J40" s="403"/>
      <c r="K40" s="403"/>
    </row>
    <row r="41" spans="2:8" ht="15" customHeight="1">
      <c r="B41" s="212">
        <v>716114</v>
      </c>
      <c r="C41" s="234" t="s">
        <v>395</v>
      </c>
      <c r="D41" s="98">
        <v>340</v>
      </c>
      <c r="E41" s="98">
        <v>350</v>
      </c>
      <c r="F41" s="79">
        <f t="shared" si="0"/>
        <v>102.94117647058823</v>
      </c>
      <c r="G41" s="107"/>
      <c r="H41" s="107"/>
    </row>
    <row r="42" spans="2:8" ht="25.5" customHeight="1">
      <c r="B42" s="212">
        <v>716115</v>
      </c>
      <c r="C42" s="236" t="s">
        <v>396</v>
      </c>
      <c r="D42" s="98">
        <v>47500</v>
      </c>
      <c r="E42" s="98">
        <v>29020</v>
      </c>
      <c r="F42" s="79">
        <f t="shared" si="0"/>
        <v>61.09473684210527</v>
      </c>
      <c r="G42" s="107"/>
      <c r="H42" s="107"/>
    </row>
    <row r="43" spans="2:8" ht="15" customHeight="1">
      <c r="B43" s="212">
        <v>716116</v>
      </c>
      <c r="C43" s="234" t="s">
        <v>397</v>
      </c>
      <c r="D43" s="98">
        <v>235900</v>
      </c>
      <c r="E43" s="318">
        <v>285140</v>
      </c>
      <c r="F43" s="79">
        <f t="shared" si="0"/>
        <v>120.87325137770242</v>
      </c>
      <c r="G43" s="107"/>
      <c r="H43" s="107"/>
    </row>
    <row r="44" spans="2:9" ht="15" customHeight="1">
      <c r="B44" s="212">
        <v>716117</v>
      </c>
      <c r="C44" s="234" t="s">
        <v>391</v>
      </c>
      <c r="D44" s="98">
        <v>168900</v>
      </c>
      <c r="E44" s="98">
        <v>75560</v>
      </c>
      <c r="F44" s="79">
        <f t="shared" si="0"/>
        <v>44.73653049141504</v>
      </c>
      <c r="G44" s="107"/>
      <c r="H44" s="319"/>
      <c r="I44" s="393"/>
    </row>
    <row r="45" spans="2:9" s="217" customFormat="1" ht="15" customHeight="1">
      <c r="B45" s="213">
        <v>717000</v>
      </c>
      <c r="C45" s="221" t="s">
        <v>203</v>
      </c>
      <c r="D45" s="222">
        <f>D46</f>
        <v>24197460</v>
      </c>
      <c r="E45" s="222">
        <f>E46</f>
        <v>25835660</v>
      </c>
      <c r="F45" s="223">
        <f t="shared" si="0"/>
        <v>106.7701320717133</v>
      </c>
      <c r="G45" s="216"/>
      <c r="H45" s="454"/>
      <c r="I45" s="454"/>
    </row>
    <row r="46" spans="2:9" s="217" customFormat="1" ht="15" customHeight="1">
      <c r="B46" s="218">
        <v>717100</v>
      </c>
      <c r="C46" s="235" t="s">
        <v>398</v>
      </c>
      <c r="D46" s="214">
        <f>SUM(D47:D48)</f>
        <v>24197460</v>
      </c>
      <c r="E46" s="214">
        <f>SUM(E47:E48)</f>
        <v>25835660</v>
      </c>
      <c r="F46" s="215">
        <f t="shared" si="0"/>
        <v>106.7701320717133</v>
      </c>
      <c r="G46" s="216"/>
      <c r="H46" s="454"/>
      <c r="I46" s="454"/>
    </row>
    <row r="47" spans="2:9" ht="15" customHeight="1">
      <c r="B47" s="212">
        <v>717121</v>
      </c>
      <c r="C47" s="234" t="s">
        <v>399</v>
      </c>
      <c r="D47" s="98">
        <v>23510700</v>
      </c>
      <c r="E47" s="98">
        <f>25124760</f>
        <v>25124760</v>
      </c>
      <c r="F47" s="79">
        <f t="shared" si="0"/>
        <v>106.86521456188034</v>
      </c>
      <c r="G47" s="107"/>
      <c r="H47" s="454"/>
      <c r="I47" s="454"/>
    </row>
    <row r="48" spans="2:9" ht="15" customHeight="1">
      <c r="B48" s="212">
        <v>717131</v>
      </c>
      <c r="C48" s="234" t="s">
        <v>400</v>
      </c>
      <c r="D48" s="98">
        <v>686760</v>
      </c>
      <c r="E48" s="98">
        <v>710900</v>
      </c>
      <c r="F48" s="79">
        <f t="shared" si="0"/>
        <v>103.51505620595259</v>
      </c>
      <c r="G48" s="107"/>
      <c r="H48" s="454"/>
      <c r="I48" s="454"/>
    </row>
    <row r="49" spans="2:9" s="217" customFormat="1" ht="15" customHeight="1">
      <c r="B49" s="213">
        <v>719000</v>
      </c>
      <c r="C49" s="221" t="s">
        <v>204</v>
      </c>
      <c r="D49" s="222">
        <f>D50</f>
        <v>4280</v>
      </c>
      <c r="E49" s="222">
        <f>E50</f>
        <v>700</v>
      </c>
      <c r="F49" s="223">
        <f t="shared" si="0"/>
        <v>16.355140186915886</v>
      </c>
      <c r="G49" s="216"/>
      <c r="H49" s="453"/>
      <c r="I49" s="453"/>
    </row>
    <row r="50" spans="2:7" s="217" customFormat="1" ht="15" customHeight="1">
      <c r="B50" s="218">
        <v>719100</v>
      </c>
      <c r="C50" s="235" t="s">
        <v>401</v>
      </c>
      <c r="D50" s="214">
        <f>D51+'prihodi-2'!D3+'prihodi-2'!D4</f>
        <v>4280</v>
      </c>
      <c r="E50" s="214">
        <f>E51+'prihodi-2'!E3+'prihodi-2'!E4</f>
        <v>700</v>
      </c>
      <c r="F50" s="215">
        <f t="shared" si="0"/>
        <v>16.355140186915886</v>
      </c>
      <c r="G50" s="216"/>
    </row>
    <row r="51" spans="1:7" ht="15" customHeight="1" thickBot="1">
      <c r="A51" s="338"/>
      <c r="B51" s="339">
        <v>719111</v>
      </c>
      <c r="C51" s="340" t="s">
        <v>401</v>
      </c>
      <c r="D51" s="341">
        <v>4100</v>
      </c>
      <c r="E51" s="341">
        <v>500</v>
      </c>
      <c r="F51" s="342">
        <f t="shared" si="0"/>
        <v>12.195121951219512</v>
      </c>
      <c r="G51" s="107"/>
    </row>
    <row r="52" ht="12.75">
      <c r="E52" s="337"/>
    </row>
    <row r="53" spans="2:7" ht="12.75">
      <c r="B53"/>
      <c r="E53" s="107"/>
      <c r="F53" s="187"/>
      <c r="G53" s="188"/>
    </row>
    <row r="54" spans="5:7" ht="12.75">
      <c r="E54" s="107"/>
      <c r="F54" s="187"/>
      <c r="G54" s="188"/>
    </row>
    <row r="55" spans="6:7" ht="12.75">
      <c r="F55" s="187"/>
      <c r="G55" s="189"/>
    </row>
  </sheetData>
  <sheetProtection/>
  <mergeCells count="1">
    <mergeCell ref="B2:F2"/>
  </mergeCells>
  <printOptions/>
  <pageMargins left="0.44" right="0.16" top="0.36" bottom="0.45" header="0.41" footer="0.5"/>
  <pageSetup horizontalDpi="600" verticalDpi="600" orientation="portrait" paperSize="9" scale="91" r:id="rId1"/>
  <headerFooter alignWithMargins="0">
    <oddFooter>&amp;R2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B2:K53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7" ht="15" customHeight="1">
      <c r="B2" s="439" t="s">
        <v>185</v>
      </c>
      <c r="C2" s="439"/>
      <c r="D2" s="439"/>
      <c r="E2" s="439"/>
      <c r="F2" s="439"/>
      <c r="G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154</v>
      </c>
      <c r="C6" s="11" t="s">
        <v>156</v>
      </c>
      <c r="D6" s="11" t="s">
        <v>159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763110</v>
      </c>
      <c r="H7" s="20">
        <f>SUM(H8:H11)</f>
        <v>689600</v>
      </c>
      <c r="I7" s="158">
        <f aca="true" t="shared" si="0" ref="I7:I38">IF(G7=0,"",H7/G7*100)</f>
        <v>90.36705062179765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46">
        <f>606100+3800</f>
        <v>609900</v>
      </c>
      <c r="H8" s="46">
        <f>514700+3500+8000+8000</f>
        <v>534200</v>
      </c>
      <c r="I8" s="159">
        <f t="shared" si="0"/>
        <v>87.58812920150845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46">
        <f>138900+7500+3*830+2000</f>
        <v>150890</v>
      </c>
      <c r="H9" s="46">
        <f>130700+2500+7*1500+1000+2700</f>
        <v>147400</v>
      </c>
      <c r="I9" s="159">
        <f t="shared" si="0"/>
        <v>97.68705679634171</v>
      </c>
    </row>
    <row r="10" spans="2:11" ht="12.75" customHeight="1">
      <c r="B10" s="14"/>
      <c r="C10" s="15"/>
      <c r="D10" s="15"/>
      <c r="E10" s="16">
        <v>611200</v>
      </c>
      <c r="F10" s="26" t="s">
        <v>747</v>
      </c>
      <c r="G10" s="87">
        <v>2320</v>
      </c>
      <c r="H10" s="87">
        <v>8000</v>
      </c>
      <c r="I10" s="159">
        <f t="shared" si="0"/>
        <v>344.8275862068965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63600</v>
      </c>
      <c r="H13" s="20">
        <f>H14+H15</f>
        <v>56340</v>
      </c>
      <c r="I13" s="158">
        <f t="shared" si="0"/>
        <v>88.58490566037736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6">
        <v>63600</v>
      </c>
      <c r="H14" s="46">
        <f>54600+840+900</f>
        <v>56340</v>
      </c>
      <c r="I14" s="159">
        <f t="shared" si="0"/>
        <v>88.58490566037736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66140</v>
      </c>
      <c r="H17" s="51">
        <f>SUM(H18:H27)</f>
        <v>72300</v>
      </c>
      <c r="I17" s="158">
        <f t="shared" si="0"/>
        <v>109.31357726035682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3000</v>
      </c>
      <c r="H18" s="46">
        <v>3500</v>
      </c>
      <c r="I18" s="159">
        <f t="shared" si="0"/>
        <v>116.66666666666667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30500</v>
      </c>
      <c r="H19" s="46">
        <v>30500</v>
      </c>
      <c r="I19" s="159">
        <f t="shared" si="0"/>
        <v>100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6">
        <v>3400</v>
      </c>
      <c r="H20" s="46">
        <v>3400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123">
        <v>8500</v>
      </c>
      <c r="H21" s="123">
        <v>8000</v>
      </c>
      <c r="I21" s="159">
        <f t="shared" si="0"/>
        <v>94.11764705882352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123">
        <v>1500</v>
      </c>
      <c r="H22" s="123">
        <v>1000</v>
      </c>
      <c r="I22" s="159">
        <f t="shared" si="0"/>
        <v>66.66666666666666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123">
        <v>0</v>
      </c>
      <c r="H23" s="123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123">
        <v>8000</v>
      </c>
      <c r="H24" s="123">
        <v>8000</v>
      </c>
      <c r="I24" s="159">
        <f t="shared" si="0"/>
        <v>100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123">
        <v>0</v>
      </c>
      <c r="H25" s="123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123">
        <v>8500</v>
      </c>
      <c r="H26" s="123">
        <v>8000</v>
      </c>
      <c r="I26" s="159">
        <f t="shared" si="0"/>
        <v>94.11764705882352</v>
      </c>
    </row>
    <row r="27" spans="2:9" ht="12.75" customHeight="1">
      <c r="B27" s="14"/>
      <c r="C27" s="15"/>
      <c r="D27" s="15"/>
      <c r="E27" s="16">
        <v>613900</v>
      </c>
      <c r="F27" s="26" t="s">
        <v>748</v>
      </c>
      <c r="G27" s="123">
        <v>2740</v>
      </c>
      <c r="H27" s="123">
        <v>9900</v>
      </c>
      <c r="I27" s="159">
        <f t="shared" si="0"/>
        <v>361.3138686131387</v>
      </c>
    </row>
    <row r="28" spans="2:9" s="1" customFormat="1" ht="12.75" customHeight="1">
      <c r="B28" s="17"/>
      <c r="C28" s="12"/>
      <c r="D28" s="12"/>
      <c r="E28" s="9"/>
      <c r="F28" s="12"/>
      <c r="G28" s="123"/>
      <c r="H28" s="123"/>
      <c r="I28" s="159">
        <f t="shared" si="0"/>
      </c>
    </row>
    <row r="29" spans="2:9" ht="12.75" customHeight="1">
      <c r="B29" s="14"/>
      <c r="C29" s="15"/>
      <c r="D29" s="31"/>
      <c r="E29" s="16"/>
      <c r="F29" s="30"/>
      <c r="G29" s="123"/>
      <c r="H29" s="123"/>
      <c r="I29" s="159">
        <f t="shared" si="0"/>
      </c>
    </row>
    <row r="30" spans="2:9" ht="12.75" customHeight="1">
      <c r="B30" s="14"/>
      <c r="C30" s="15"/>
      <c r="D30" s="15"/>
      <c r="E30" s="63"/>
      <c r="F30" s="30"/>
      <c r="G30" s="123"/>
      <c r="H30" s="123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123"/>
      <c r="H31" s="123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123"/>
      <c r="H32" s="123"/>
      <c r="I32" s="159">
        <f t="shared" si="0"/>
      </c>
    </row>
    <row r="33" spans="2:9" ht="12.75" customHeight="1">
      <c r="B33" s="14"/>
      <c r="C33" s="15"/>
      <c r="D33" s="15"/>
      <c r="E33" s="9"/>
      <c r="F33" s="12"/>
      <c r="G33" s="123"/>
      <c r="H33" s="123"/>
      <c r="I33" s="159">
        <f t="shared" si="0"/>
      </c>
    </row>
    <row r="34" spans="2:9" ht="12.75" customHeight="1">
      <c r="B34" s="14"/>
      <c r="C34" s="15"/>
      <c r="D34" s="15"/>
      <c r="E34" s="16"/>
      <c r="F34" s="26"/>
      <c r="G34" s="123"/>
      <c r="H34" s="123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SUM(G37:G39)</f>
        <v>114120</v>
      </c>
      <c r="H36" s="114">
        <f>SUM(H37:H39)</f>
        <v>12630</v>
      </c>
      <c r="I36" s="158">
        <f t="shared" si="0"/>
        <v>11.067297581493166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123">
        <v>103120</v>
      </c>
      <c r="H37" s="123">
        <v>10000</v>
      </c>
      <c r="I37" s="159">
        <f t="shared" si="0"/>
        <v>9.69743987587277</v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123">
        <v>11000</v>
      </c>
      <c r="H38" s="123">
        <v>2630</v>
      </c>
      <c r="I38" s="159">
        <f t="shared" si="0"/>
        <v>23.90909090909091</v>
      </c>
    </row>
    <row r="39" spans="2:9" ht="12.75" customHeight="1">
      <c r="B39" s="14"/>
      <c r="C39" s="15"/>
      <c r="D39" s="15"/>
      <c r="E39" s="16"/>
      <c r="F39" s="26"/>
      <c r="G39" s="123"/>
      <c r="H39" s="123"/>
      <c r="I39" s="159"/>
    </row>
    <row r="40" spans="2:9" ht="12.75" customHeight="1">
      <c r="B40" s="14"/>
      <c r="C40" s="15"/>
      <c r="D40" s="15"/>
      <c r="E40" s="16"/>
      <c r="F40" s="15"/>
      <c r="G40" s="46"/>
      <c r="H40" s="46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5" t="s">
        <v>614</v>
      </c>
      <c r="H41" s="25" t="s">
        <v>766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1006970</v>
      </c>
      <c r="H42" s="20">
        <f>H7+H13+H17+H36</f>
        <v>830870</v>
      </c>
      <c r="I42" s="158">
        <f>IF(G42=0,"",H42/G42*100)</f>
        <v>82.5118921119795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G42+'29'!G42+'28'!G42+'27'!G42+'26'!G42+'25'!G42+'24'!G42</f>
        <v>7933080</v>
      </c>
      <c r="H43" s="20">
        <f>H42+'29'!H42+'28'!H42+'27'!H42+'26'!H42+'25'!H42+'24'!H42</f>
        <v>7579550</v>
      </c>
      <c r="I43" s="158">
        <f>IF(G43=0,"",H43/G43*100)</f>
        <v>95.54359719049852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>
        <f>G43+'23'!G43+'20'!G55</f>
        <v>13198980</v>
      </c>
      <c r="H44" s="20">
        <f>H43+'23'!H43+'20'!H55</f>
        <v>12947210</v>
      </c>
      <c r="I44" s="158">
        <f>IF(G44=0,"",H44/G44*100)</f>
        <v>98.09250411774244</v>
      </c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7" ht="12.75">
      <c r="B47" s="86"/>
    </row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  <row r="53" ht="12.75">
      <c r="B53" s="86"/>
    </row>
  </sheetData>
  <sheetProtection/>
  <mergeCells count="2">
    <mergeCell ref="B2:G2"/>
    <mergeCell ref="F3:G3"/>
  </mergeCells>
  <printOptions/>
  <pageMargins left="0.2755905511811024" right="0.2755905511811024" top="0.5905511811023623" bottom="0.56" header="0.5118110236220472" footer="0.5118110236220472"/>
  <pageSetup fitToHeight="1" fitToWidth="1" horizontalDpi="180" verticalDpi="180" orientation="portrait" paperSize="9" scale="88" r:id="rId1"/>
  <headerFooter alignWithMargins="0">
    <oddFooter>&amp;R38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6"/>
  <dimension ref="B2:K4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7" ht="15" customHeight="1">
      <c r="B2" s="439" t="s">
        <v>190</v>
      </c>
      <c r="C2" s="439"/>
      <c r="D2" s="439"/>
      <c r="E2" s="439"/>
      <c r="F2" s="439"/>
      <c r="G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160</v>
      </c>
      <c r="C6" s="11" t="s">
        <v>89</v>
      </c>
      <c r="D6" s="11" t="s">
        <v>90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243520</v>
      </c>
      <c r="H7" s="20">
        <f>SUM(H8:H11)</f>
        <v>229350</v>
      </c>
      <c r="I7" s="158">
        <f aca="true" t="shared" si="0" ref="I7:I35">IF(G7=0,"",H7/G7*100)</f>
        <v>94.18117608409987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123">
        <v>190800</v>
      </c>
      <c r="H8" s="123">
        <f>169700+7150</f>
        <v>176850</v>
      </c>
      <c r="I8" s="159">
        <f t="shared" si="0"/>
        <v>92.68867924528303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123">
        <v>45600</v>
      </c>
      <c r="H9" s="123">
        <f>42900+2300</f>
        <v>45200</v>
      </c>
      <c r="I9" s="159">
        <f t="shared" si="0"/>
        <v>99.12280701754386</v>
      </c>
    </row>
    <row r="10" spans="2:11" ht="12.75" customHeight="1">
      <c r="B10" s="14"/>
      <c r="C10" s="15"/>
      <c r="D10" s="15"/>
      <c r="E10" s="16">
        <v>611200</v>
      </c>
      <c r="F10" s="26" t="s">
        <v>745</v>
      </c>
      <c r="G10" s="87">
        <v>7120</v>
      </c>
      <c r="H10" s="87">
        <v>7300</v>
      </c>
      <c r="I10" s="159">
        <f t="shared" si="0"/>
        <v>102.52808988764043</v>
      </c>
      <c r="K10" s="94"/>
    </row>
    <row r="11" spans="2:9" ht="12.75" customHeight="1">
      <c r="B11" s="14"/>
      <c r="C11" s="15"/>
      <c r="D11" s="15"/>
      <c r="E11" s="16"/>
      <c r="F11" s="26"/>
      <c r="G11" s="123"/>
      <c r="H11" s="123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114"/>
      <c r="H12" s="114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114">
        <f>G14+G15</f>
        <v>20200</v>
      </c>
      <c r="H13" s="114">
        <f>H14+H15</f>
        <v>19160</v>
      </c>
      <c r="I13" s="158">
        <f t="shared" si="0"/>
        <v>94.85148514851485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123">
        <v>20200</v>
      </c>
      <c r="H14" s="123">
        <f>18400+760</f>
        <v>19160</v>
      </c>
      <c r="I14" s="159">
        <f t="shared" si="0"/>
        <v>94.85148514851485</v>
      </c>
    </row>
    <row r="15" spans="2:9" ht="12.75" customHeight="1">
      <c r="B15" s="14"/>
      <c r="C15" s="15"/>
      <c r="D15" s="15"/>
      <c r="E15" s="16"/>
      <c r="F15" s="15"/>
      <c r="G15" s="123"/>
      <c r="H15" s="123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114"/>
      <c r="H16" s="114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114">
        <f>SUM(G18:G27)</f>
        <v>39950</v>
      </c>
      <c r="H17" s="114">
        <f>SUM(H18:H27)</f>
        <v>36700</v>
      </c>
      <c r="I17" s="158">
        <f t="shared" si="0"/>
        <v>91.8648310387985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123">
        <v>2400</v>
      </c>
      <c r="H18" s="123">
        <v>2400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123">
        <v>0</v>
      </c>
      <c r="H19" s="123">
        <v>0</v>
      </c>
      <c r="I19" s="159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123">
        <v>3300</v>
      </c>
      <c r="H20" s="123">
        <v>3300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123">
        <v>1400</v>
      </c>
      <c r="H21" s="123">
        <v>2500</v>
      </c>
      <c r="I21" s="159">
        <f t="shared" si="0"/>
        <v>178.57142857142858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123">
        <v>2400</v>
      </c>
      <c r="H22" s="123">
        <v>0</v>
      </c>
      <c r="I22" s="159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123">
        <v>0</v>
      </c>
      <c r="H23" s="123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123">
        <v>3300</v>
      </c>
      <c r="H24" s="123">
        <v>1500</v>
      </c>
      <c r="I24" s="159">
        <f t="shared" si="0"/>
        <v>45.45454545454545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123">
        <v>250</v>
      </c>
      <c r="H25" s="123">
        <v>0</v>
      </c>
      <c r="I25" s="159">
        <f t="shared" si="0"/>
        <v>0</v>
      </c>
    </row>
    <row r="26" spans="2:10" ht="12.75" customHeight="1">
      <c r="B26" s="14"/>
      <c r="C26" s="15"/>
      <c r="D26" s="15"/>
      <c r="E26" s="16">
        <v>613900</v>
      </c>
      <c r="F26" s="15" t="s">
        <v>178</v>
      </c>
      <c r="G26" s="123">
        <v>20200</v>
      </c>
      <c r="H26" s="123">
        <f>22000-1600</f>
        <v>20400</v>
      </c>
      <c r="I26" s="159">
        <f t="shared" si="0"/>
        <v>100.99009900990099</v>
      </c>
      <c r="J26" s="113"/>
    </row>
    <row r="27" spans="2:9" ht="12.75" customHeight="1">
      <c r="B27" s="14"/>
      <c r="C27" s="15"/>
      <c r="D27" s="15"/>
      <c r="E27" s="16">
        <v>613900</v>
      </c>
      <c r="F27" s="26" t="s">
        <v>746</v>
      </c>
      <c r="G27" s="123">
        <v>6700</v>
      </c>
      <c r="H27" s="123">
        <v>6600</v>
      </c>
      <c r="I27" s="159">
        <f t="shared" si="0"/>
        <v>98.50746268656717</v>
      </c>
    </row>
    <row r="28" spans="2:9" ht="12.75" customHeight="1">
      <c r="B28" s="14"/>
      <c r="C28" s="15"/>
      <c r="D28" s="15"/>
      <c r="E28" s="16"/>
      <c r="F28" s="15"/>
      <c r="G28" s="114"/>
      <c r="H28" s="114"/>
      <c r="I28" s="159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222</v>
      </c>
      <c r="G29" s="114">
        <f>SUM(G30:G30)</f>
        <v>700000</v>
      </c>
      <c r="H29" s="114">
        <f>SUM(H30:H30)</f>
        <v>800000</v>
      </c>
      <c r="I29" s="158">
        <f t="shared" si="0"/>
        <v>114.28571428571428</v>
      </c>
    </row>
    <row r="30" spans="2:9" ht="12.75" customHeight="1">
      <c r="B30" s="14"/>
      <c r="C30" s="15"/>
      <c r="D30" s="15"/>
      <c r="E30" s="16">
        <v>614200</v>
      </c>
      <c r="F30" s="30" t="s">
        <v>124</v>
      </c>
      <c r="G30" s="123">
        <v>700000</v>
      </c>
      <c r="H30" s="123">
        <v>800000</v>
      </c>
      <c r="I30" s="159">
        <f t="shared" si="0"/>
        <v>114.28571428571428</v>
      </c>
    </row>
    <row r="31" spans="2:9" ht="12.75" customHeight="1">
      <c r="B31" s="14"/>
      <c r="C31" s="15"/>
      <c r="D31" s="15"/>
      <c r="E31" s="16"/>
      <c r="F31" s="26"/>
      <c r="G31" s="123"/>
      <c r="H31" s="123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123"/>
      <c r="H32" s="123"/>
      <c r="I32" s="159">
        <f t="shared" si="0"/>
      </c>
    </row>
    <row r="33" spans="2:9" s="1" customFormat="1" ht="12.75" customHeight="1">
      <c r="B33" s="17"/>
      <c r="C33" s="12"/>
      <c r="D33" s="12"/>
      <c r="E33" s="9">
        <v>821000</v>
      </c>
      <c r="F33" s="12" t="s">
        <v>98</v>
      </c>
      <c r="G33" s="114">
        <f>SUM(G34:G36)</f>
        <v>500</v>
      </c>
      <c r="H33" s="114">
        <f>SUM(H34:H36)</f>
        <v>1000</v>
      </c>
      <c r="I33" s="158">
        <f t="shared" si="0"/>
        <v>200</v>
      </c>
    </row>
    <row r="34" spans="2:9" ht="12.75" customHeight="1">
      <c r="B34" s="14"/>
      <c r="C34" s="15"/>
      <c r="D34" s="15"/>
      <c r="E34" s="16">
        <v>821200</v>
      </c>
      <c r="F34" s="15" t="s">
        <v>99</v>
      </c>
      <c r="G34" s="123">
        <v>0</v>
      </c>
      <c r="H34" s="123">
        <v>0</v>
      </c>
      <c r="I34" s="159">
        <f t="shared" si="0"/>
      </c>
    </row>
    <row r="35" spans="2:9" ht="12.75" customHeight="1">
      <c r="B35" s="14"/>
      <c r="C35" s="15"/>
      <c r="D35" s="15"/>
      <c r="E35" s="16">
        <v>821300</v>
      </c>
      <c r="F35" s="15" t="s">
        <v>100</v>
      </c>
      <c r="G35" s="123">
        <v>500</v>
      </c>
      <c r="H35" s="123">
        <v>1000</v>
      </c>
      <c r="I35" s="159">
        <f t="shared" si="0"/>
        <v>200</v>
      </c>
    </row>
    <row r="36" spans="2:9" ht="12.75" customHeight="1">
      <c r="B36" s="14"/>
      <c r="C36" s="15"/>
      <c r="D36" s="15"/>
      <c r="E36" s="16"/>
      <c r="F36" s="26"/>
      <c r="G36" s="123"/>
      <c r="H36" s="123"/>
      <c r="I36" s="159"/>
    </row>
    <row r="37" spans="2:9" ht="12.75" customHeight="1">
      <c r="B37" s="14"/>
      <c r="C37" s="15"/>
      <c r="D37" s="15"/>
      <c r="E37" s="16"/>
      <c r="F37" s="15"/>
      <c r="G37" s="123"/>
      <c r="H37" s="123"/>
      <c r="I37" s="159"/>
    </row>
    <row r="38" spans="2:9" s="1" customFormat="1" ht="12.75" customHeight="1">
      <c r="B38" s="17"/>
      <c r="C38" s="12"/>
      <c r="D38" s="12"/>
      <c r="E38" s="9"/>
      <c r="F38" s="12" t="s">
        <v>101</v>
      </c>
      <c r="G38" s="20">
        <v>12</v>
      </c>
      <c r="H38" s="20">
        <v>11</v>
      </c>
      <c r="I38" s="159"/>
    </row>
    <row r="39" spans="2:9" s="1" customFormat="1" ht="12.75" customHeight="1">
      <c r="B39" s="17"/>
      <c r="C39" s="12"/>
      <c r="D39" s="12"/>
      <c r="E39" s="9"/>
      <c r="F39" s="12" t="s">
        <v>122</v>
      </c>
      <c r="G39" s="20">
        <f>G7+G13+G17+G29+G33</f>
        <v>1004170</v>
      </c>
      <c r="H39" s="20">
        <f>H7+H13+H17+H29+H33</f>
        <v>1086210</v>
      </c>
      <c r="I39" s="158">
        <f>IF(G39=0,"",H39/G39*100)</f>
        <v>108.16993138611988</v>
      </c>
    </row>
    <row r="40" spans="2:9" s="1" customFormat="1" ht="12.75" customHeight="1">
      <c r="B40" s="17"/>
      <c r="C40" s="12"/>
      <c r="D40" s="12"/>
      <c r="E40" s="9"/>
      <c r="F40" s="12" t="s">
        <v>102</v>
      </c>
      <c r="G40" s="20">
        <f>G39</f>
        <v>1004170</v>
      </c>
      <c r="H40" s="20">
        <f>H39</f>
        <v>1086210</v>
      </c>
      <c r="I40" s="158">
        <f>IF(G40=0,"",H40/G40*100)</f>
        <v>108.16993138611988</v>
      </c>
    </row>
    <row r="41" spans="2:9" s="1" customFormat="1" ht="12.75" customHeight="1">
      <c r="B41" s="17"/>
      <c r="C41" s="12"/>
      <c r="D41" s="12"/>
      <c r="E41" s="9"/>
      <c r="F41" s="12" t="s">
        <v>103</v>
      </c>
      <c r="G41" s="20">
        <f>G40</f>
        <v>1004170</v>
      </c>
      <c r="H41" s="20">
        <f>H40</f>
        <v>1086210</v>
      </c>
      <c r="I41" s="158">
        <f>IF(G41=0,"",H41/G41*100)</f>
        <v>108.16993138611988</v>
      </c>
    </row>
    <row r="42" spans="2:9" ht="12.75" customHeight="1" thickBot="1">
      <c r="B42" s="21"/>
      <c r="C42" s="22"/>
      <c r="D42" s="22"/>
      <c r="E42" s="23"/>
      <c r="F42" s="22"/>
      <c r="G42" s="50"/>
      <c r="H42" s="47"/>
      <c r="I42" s="162"/>
    </row>
    <row r="43" ht="12.75">
      <c r="H43" s="99"/>
    </row>
  </sheetData>
  <sheetProtection/>
  <mergeCells count="2">
    <mergeCell ref="B2:G2"/>
    <mergeCell ref="F3:G3"/>
  </mergeCells>
  <printOptions/>
  <pageMargins left="0.24" right="0.2" top="0.5905511811023623" bottom="0.55" header="0.5118110236220472" footer="0.5118110236220472"/>
  <pageSetup horizontalDpi="180" verticalDpi="180" orientation="portrait" paperSize="9" scale="88" r:id="rId1"/>
  <headerFooter alignWithMargins="0">
    <oddFooter>&amp;R39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B2:K49"/>
  <sheetViews>
    <sheetView zoomScalePageLayoutView="0" workbookViewId="0" topLeftCell="A4">
      <selection activeCell="L44" sqref="L4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42187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9" s="118" customFormat="1" ht="15" customHeight="1">
      <c r="B2" s="439" t="s">
        <v>162</v>
      </c>
      <c r="C2" s="439"/>
      <c r="D2" s="439"/>
      <c r="E2" s="439"/>
      <c r="F2" s="439"/>
      <c r="G2" s="439"/>
      <c r="H2" s="439"/>
      <c r="I2" s="153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161</v>
      </c>
      <c r="C6" s="11" t="s">
        <v>89</v>
      </c>
      <c r="D6" s="11" t="s">
        <v>90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SUM(G8:G10)</f>
        <v>117000</v>
      </c>
      <c r="H7" s="20">
        <f>SUM(H8:H10)</f>
        <v>126600</v>
      </c>
      <c r="I7" s="158">
        <f aca="true" t="shared" si="0" ref="I7:I37">IF(G7=0,"",H7/G7*100)</f>
        <v>108.2051282051282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87">
        <v>91800</v>
      </c>
      <c r="H8" s="87">
        <f>85100+1000+11700</f>
        <v>97800</v>
      </c>
      <c r="I8" s="159">
        <f t="shared" si="0"/>
        <v>106.5359477124183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87">
        <v>20400</v>
      </c>
      <c r="H9" s="87">
        <f>20400+2500+3700</f>
        <v>26600</v>
      </c>
      <c r="I9" s="159">
        <f t="shared" si="0"/>
        <v>130.3921568627451</v>
      </c>
    </row>
    <row r="10" spans="2:11" ht="12.75" customHeight="1">
      <c r="B10" s="14"/>
      <c r="C10" s="15"/>
      <c r="D10" s="15"/>
      <c r="E10" s="16">
        <v>611200</v>
      </c>
      <c r="F10" s="26" t="s">
        <v>741</v>
      </c>
      <c r="G10" s="87">
        <v>4800</v>
      </c>
      <c r="H10" s="87">
        <v>2200</v>
      </c>
      <c r="I10" s="159">
        <f t="shared" si="0"/>
        <v>45.83333333333333</v>
      </c>
      <c r="K10" s="94"/>
    </row>
    <row r="11" spans="2:9" ht="12.75" customHeight="1">
      <c r="B11" s="14"/>
      <c r="C11" s="15"/>
      <c r="D11" s="15"/>
      <c r="E11" s="16"/>
      <c r="F11" s="15"/>
      <c r="G11" s="45"/>
      <c r="H11" s="45"/>
      <c r="I11" s="159">
        <f t="shared" si="0"/>
      </c>
    </row>
    <row r="12" spans="2:9" ht="12.75" customHeight="1">
      <c r="B12" s="17"/>
      <c r="C12" s="12"/>
      <c r="D12" s="12"/>
      <c r="E12" s="9">
        <v>612000</v>
      </c>
      <c r="F12" s="12" t="s">
        <v>173</v>
      </c>
      <c r="G12" s="20">
        <f>G13+G14</f>
        <v>9900</v>
      </c>
      <c r="H12" s="20">
        <f>H13+H14</f>
        <v>10700</v>
      </c>
      <c r="I12" s="158">
        <f t="shared" si="0"/>
        <v>108.08080808080808</v>
      </c>
    </row>
    <row r="13" spans="2:9" s="1" customFormat="1" ht="12.75" customHeight="1">
      <c r="B13" s="14"/>
      <c r="C13" s="15"/>
      <c r="D13" s="15"/>
      <c r="E13" s="16">
        <v>612100</v>
      </c>
      <c r="F13" s="18" t="s">
        <v>91</v>
      </c>
      <c r="G13" s="87">
        <v>9900</v>
      </c>
      <c r="H13" s="87">
        <f>9400+1300</f>
        <v>10700</v>
      </c>
      <c r="I13" s="159">
        <f t="shared" si="0"/>
        <v>108.08080808080808</v>
      </c>
    </row>
    <row r="14" spans="2:9" ht="12.75" customHeight="1">
      <c r="B14" s="14"/>
      <c r="C14" s="15"/>
      <c r="D14" s="15"/>
      <c r="E14" s="16"/>
      <c r="F14" s="15"/>
      <c r="G14" s="45"/>
      <c r="H14" s="45"/>
      <c r="I14" s="159">
        <f t="shared" si="0"/>
      </c>
    </row>
    <row r="15" spans="2:9" ht="12.75" customHeight="1">
      <c r="B15" s="14"/>
      <c r="C15" s="15"/>
      <c r="D15" s="15"/>
      <c r="E15" s="16"/>
      <c r="F15" s="15"/>
      <c r="G15" s="45"/>
      <c r="H15" s="45"/>
      <c r="I15" s="159">
        <f t="shared" si="0"/>
      </c>
    </row>
    <row r="16" spans="2:9" ht="12.75" customHeight="1">
      <c r="B16" s="17"/>
      <c r="C16" s="12"/>
      <c r="D16" s="12"/>
      <c r="E16" s="9">
        <v>613000</v>
      </c>
      <c r="F16" s="12" t="s">
        <v>175</v>
      </c>
      <c r="G16" s="51">
        <f>SUM(G17:G26)</f>
        <v>55400</v>
      </c>
      <c r="H16" s="51">
        <f>SUM(H17:H26)</f>
        <v>49800</v>
      </c>
      <c r="I16" s="158">
        <f t="shared" si="0"/>
        <v>89.89169675090253</v>
      </c>
    </row>
    <row r="17" spans="2:9" s="1" customFormat="1" ht="12.75" customHeight="1">
      <c r="B17" s="14"/>
      <c r="C17" s="15"/>
      <c r="D17" s="15"/>
      <c r="E17" s="16">
        <v>613100</v>
      </c>
      <c r="F17" s="15" t="s">
        <v>92</v>
      </c>
      <c r="G17" s="87">
        <v>400</v>
      </c>
      <c r="H17" s="87">
        <v>400</v>
      </c>
      <c r="I17" s="159">
        <f t="shared" si="0"/>
        <v>100</v>
      </c>
    </row>
    <row r="18" spans="2:9" ht="12.75" customHeight="1">
      <c r="B18" s="14"/>
      <c r="C18" s="15"/>
      <c r="D18" s="15"/>
      <c r="E18" s="16">
        <v>613200</v>
      </c>
      <c r="F18" s="15" t="s">
        <v>93</v>
      </c>
      <c r="G18" s="87">
        <v>5500</v>
      </c>
      <c r="H18" s="87">
        <v>5500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613300</v>
      </c>
      <c r="F19" s="26" t="s">
        <v>220</v>
      </c>
      <c r="G19" s="87">
        <v>3600</v>
      </c>
      <c r="H19" s="87">
        <v>3600</v>
      </c>
      <c r="I19" s="159">
        <f t="shared" si="0"/>
        <v>100</v>
      </c>
    </row>
    <row r="20" spans="2:9" ht="12.75" customHeight="1">
      <c r="B20" s="14"/>
      <c r="C20" s="15"/>
      <c r="D20" s="15"/>
      <c r="E20" s="16">
        <v>613400</v>
      </c>
      <c r="F20" s="15" t="s">
        <v>176</v>
      </c>
      <c r="G20" s="87">
        <v>1500</v>
      </c>
      <c r="H20" s="87">
        <v>1500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613500</v>
      </c>
      <c r="F21" s="15" t="s">
        <v>94</v>
      </c>
      <c r="G21" s="87">
        <v>0</v>
      </c>
      <c r="H21" s="87">
        <v>0</v>
      </c>
      <c r="I21" s="159">
        <f t="shared" si="0"/>
      </c>
    </row>
    <row r="22" spans="2:9" ht="12.75" customHeight="1">
      <c r="B22" s="14"/>
      <c r="C22" s="15"/>
      <c r="D22" s="15"/>
      <c r="E22" s="16">
        <v>613600</v>
      </c>
      <c r="F22" s="26" t="s">
        <v>221</v>
      </c>
      <c r="G22" s="87">
        <v>0</v>
      </c>
      <c r="H22" s="87">
        <v>0</v>
      </c>
      <c r="I22" s="159">
        <f t="shared" si="0"/>
      </c>
    </row>
    <row r="23" spans="2:9" ht="12.75" customHeight="1">
      <c r="B23" s="14"/>
      <c r="C23" s="15"/>
      <c r="D23" s="15"/>
      <c r="E23" s="16">
        <v>613700</v>
      </c>
      <c r="F23" s="15" t="s">
        <v>95</v>
      </c>
      <c r="G23" s="87">
        <v>500</v>
      </c>
      <c r="H23" s="87">
        <v>500</v>
      </c>
      <c r="I23" s="159">
        <f t="shared" si="0"/>
        <v>100</v>
      </c>
    </row>
    <row r="24" spans="2:9" ht="12.75" customHeight="1">
      <c r="B24" s="14"/>
      <c r="C24" s="15"/>
      <c r="D24" s="15"/>
      <c r="E24" s="16">
        <v>613800</v>
      </c>
      <c r="F24" s="15" t="s">
        <v>177</v>
      </c>
      <c r="G24" s="87">
        <v>0</v>
      </c>
      <c r="H24" s="87">
        <v>0</v>
      </c>
      <c r="I24" s="159">
        <f t="shared" si="0"/>
      </c>
    </row>
    <row r="25" spans="2:9" ht="12.75" customHeight="1">
      <c r="B25" s="14"/>
      <c r="C25" s="15"/>
      <c r="D25" s="15"/>
      <c r="E25" s="16">
        <v>613900</v>
      </c>
      <c r="F25" s="15" t="s">
        <v>178</v>
      </c>
      <c r="G25" s="87">
        <v>39600</v>
      </c>
      <c r="H25" s="87">
        <v>35000</v>
      </c>
      <c r="I25" s="159">
        <f t="shared" si="0"/>
        <v>88.38383838383838</v>
      </c>
    </row>
    <row r="26" spans="2:9" ht="12.75" customHeight="1">
      <c r="B26" s="14"/>
      <c r="C26" s="15"/>
      <c r="D26" s="15"/>
      <c r="E26" s="16">
        <v>613900</v>
      </c>
      <c r="F26" s="26" t="s">
        <v>742</v>
      </c>
      <c r="G26" s="87">
        <v>4300</v>
      </c>
      <c r="H26" s="87">
        <v>3300</v>
      </c>
      <c r="I26" s="159">
        <f t="shared" si="0"/>
        <v>76.74418604651163</v>
      </c>
    </row>
    <row r="27" spans="2:9" ht="12.75" customHeight="1">
      <c r="B27" s="17"/>
      <c r="C27" s="12"/>
      <c r="D27" s="12"/>
      <c r="E27" s="9"/>
      <c r="F27" s="12"/>
      <c r="G27" s="114"/>
      <c r="H27" s="114"/>
      <c r="I27" s="159">
        <f t="shared" si="0"/>
      </c>
    </row>
    <row r="28" spans="2:9" s="1" customFormat="1" ht="12.75" customHeight="1">
      <c r="B28" s="14"/>
      <c r="C28" s="15"/>
      <c r="D28" s="31"/>
      <c r="E28" s="16"/>
      <c r="F28" s="30"/>
      <c r="G28" s="87"/>
      <c r="H28" s="87"/>
      <c r="I28" s="159">
        <f t="shared" si="0"/>
      </c>
    </row>
    <row r="29" spans="2:9" ht="12.75" customHeight="1">
      <c r="B29" s="14"/>
      <c r="C29" s="15"/>
      <c r="D29" s="15"/>
      <c r="E29" s="63"/>
      <c r="F29" s="30"/>
      <c r="G29" s="87"/>
      <c r="H29" s="87"/>
      <c r="I29" s="159">
        <f t="shared" si="0"/>
      </c>
    </row>
    <row r="30" spans="2:9" ht="12.75" customHeight="1">
      <c r="B30" s="14"/>
      <c r="C30" s="15"/>
      <c r="D30" s="15"/>
      <c r="E30" s="16"/>
      <c r="F30" s="15"/>
      <c r="G30" s="87"/>
      <c r="H30" s="87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87"/>
      <c r="H31" s="87"/>
      <c r="I31" s="159">
        <f t="shared" si="0"/>
      </c>
    </row>
    <row r="32" spans="2:9" ht="12.75" customHeight="1">
      <c r="B32" s="14"/>
      <c r="C32" s="15"/>
      <c r="D32" s="15"/>
      <c r="E32" s="9"/>
      <c r="F32" s="12"/>
      <c r="G32" s="87"/>
      <c r="H32" s="87"/>
      <c r="I32" s="159">
        <f t="shared" si="0"/>
      </c>
    </row>
    <row r="33" spans="2:9" ht="12.75" customHeight="1">
      <c r="B33" s="14"/>
      <c r="C33" s="15"/>
      <c r="D33" s="15"/>
      <c r="E33" s="16"/>
      <c r="F33" s="26"/>
      <c r="G33" s="87"/>
      <c r="H33" s="87"/>
      <c r="I33" s="159">
        <f t="shared" si="0"/>
      </c>
    </row>
    <row r="34" spans="2:9" ht="12.75" customHeight="1">
      <c r="B34" s="14"/>
      <c r="C34" s="15"/>
      <c r="D34" s="15"/>
      <c r="E34" s="16"/>
      <c r="F34" s="15"/>
      <c r="G34" s="87"/>
      <c r="H34" s="87"/>
      <c r="I34" s="159">
        <f t="shared" si="0"/>
      </c>
    </row>
    <row r="35" spans="2:9" ht="12.75" customHeight="1">
      <c r="B35" s="17"/>
      <c r="C35" s="12"/>
      <c r="D35" s="12"/>
      <c r="E35" s="9">
        <v>821000</v>
      </c>
      <c r="F35" s="12" t="s">
        <v>98</v>
      </c>
      <c r="G35" s="114">
        <f>SUM(G36:G37)</f>
        <v>0</v>
      </c>
      <c r="H35" s="114">
        <f>SUM(H36:H37)</f>
        <v>0</v>
      </c>
      <c r="I35" s="158">
        <f t="shared" si="0"/>
      </c>
    </row>
    <row r="36" spans="2:9" s="1" customFormat="1" ht="12.75" customHeight="1">
      <c r="B36" s="14"/>
      <c r="C36" s="15"/>
      <c r="D36" s="15"/>
      <c r="E36" s="16">
        <v>821200</v>
      </c>
      <c r="F36" s="15" t="s">
        <v>99</v>
      </c>
      <c r="G36" s="87">
        <v>0</v>
      </c>
      <c r="H36" s="87">
        <v>0</v>
      </c>
      <c r="I36" s="159">
        <f t="shared" si="0"/>
      </c>
    </row>
    <row r="37" spans="2:9" ht="12.75" customHeight="1">
      <c r="B37" s="14"/>
      <c r="C37" s="15"/>
      <c r="D37" s="15"/>
      <c r="E37" s="16">
        <v>821300</v>
      </c>
      <c r="F37" s="15" t="s">
        <v>100</v>
      </c>
      <c r="G37" s="87">
        <v>0</v>
      </c>
      <c r="H37" s="87">
        <v>0</v>
      </c>
      <c r="I37" s="159">
        <f t="shared" si="0"/>
      </c>
    </row>
    <row r="38" spans="2:9" ht="12.75" customHeight="1">
      <c r="B38" s="14"/>
      <c r="C38" s="15"/>
      <c r="D38" s="15"/>
      <c r="E38" s="16"/>
      <c r="F38" s="26"/>
      <c r="G38" s="87"/>
      <c r="H38" s="87"/>
      <c r="I38" s="159"/>
    </row>
    <row r="39" spans="2:9" ht="12.75" customHeight="1">
      <c r="B39" s="14"/>
      <c r="C39" s="15"/>
      <c r="D39" s="15"/>
      <c r="E39" s="16"/>
      <c r="F39" s="15"/>
      <c r="G39" s="87"/>
      <c r="H39" s="87"/>
      <c r="I39" s="159"/>
    </row>
    <row r="40" spans="2:9" ht="12.75" customHeight="1">
      <c r="B40" s="17"/>
      <c r="C40" s="12"/>
      <c r="D40" s="12"/>
      <c r="E40" s="9"/>
      <c r="F40" s="12" t="s">
        <v>101</v>
      </c>
      <c r="G40" s="114">
        <v>5</v>
      </c>
      <c r="H40" s="114">
        <v>6</v>
      </c>
      <c r="I40" s="159"/>
    </row>
    <row r="41" spans="2:9" s="1" customFormat="1" ht="12.75" customHeight="1">
      <c r="B41" s="17"/>
      <c r="C41" s="12"/>
      <c r="D41" s="12"/>
      <c r="E41" s="9"/>
      <c r="F41" s="12" t="s">
        <v>122</v>
      </c>
      <c r="G41" s="20">
        <f>G7+G12+G16+G35</f>
        <v>182300</v>
      </c>
      <c r="H41" s="20">
        <f>H7+H12+H16+H35</f>
        <v>187100</v>
      </c>
      <c r="I41" s="158">
        <f>IF(G41=0,"",H41/G41*100)</f>
        <v>102.63302249040045</v>
      </c>
    </row>
    <row r="42" spans="2:9" s="1" customFormat="1" ht="12.75" customHeight="1">
      <c r="B42" s="17"/>
      <c r="C42" s="12"/>
      <c r="D42" s="12"/>
      <c r="E42" s="9"/>
      <c r="F42" s="12" t="s">
        <v>102</v>
      </c>
      <c r="G42" s="20">
        <f>G41</f>
        <v>182300</v>
      </c>
      <c r="H42" s="20">
        <f>H41</f>
        <v>187100</v>
      </c>
      <c r="I42" s="158">
        <f>IF(G42=0,"",H42/G42*100)</f>
        <v>102.63302249040045</v>
      </c>
    </row>
    <row r="43" spans="2:9" s="1" customFormat="1" ht="12.75" customHeight="1">
      <c r="B43" s="17"/>
      <c r="C43" s="12"/>
      <c r="D43" s="12"/>
      <c r="E43" s="9"/>
      <c r="F43" s="12" t="s">
        <v>103</v>
      </c>
      <c r="G43" s="20">
        <f>G42</f>
        <v>182300</v>
      </c>
      <c r="H43" s="20">
        <f>H42</f>
        <v>187100</v>
      </c>
      <c r="I43" s="158">
        <f>IF(G43=0,"",H43/G43*100)</f>
        <v>102.63302249040045</v>
      </c>
    </row>
    <row r="44" spans="2:9" s="1" customFormat="1" ht="12.75" customHeight="1" thickBot="1">
      <c r="B44" s="21"/>
      <c r="C44" s="22"/>
      <c r="D44" s="22"/>
      <c r="E44" s="23"/>
      <c r="F44" s="22"/>
      <c r="G44" s="50"/>
      <c r="H44" s="47"/>
      <c r="I44" s="162"/>
    </row>
    <row r="45" ht="12.75" customHeight="1"/>
    <row r="46" ht="12.75">
      <c r="B46" s="86"/>
    </row>
    <row r="47" ht="12.75">
      <c r="B47" s="86"/>
    </row>
    <row r="48" ht="12.75">
      <c r="B48" s="86"/>
    </row>
    <row r="49" ht="12.75">
      <c r="B49" s="86"/>
    </row>
  </sheetData>
  <sheetProtection/>
  <mergeCells count="2">
    <mergeCell ref="B2:H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88" r:id="rId1"/>
  <headerFooter alignWithMargins="0">
    <oddFooter>&amp;R40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B2:K5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9" s="118" customFormat="1" ht="15" customHeight="1">
      <c r="B2" s="439" t="s">
        <v>163</v>
      </c>
      <c r="C2" s="439"/>
      <c r="D2" s="439"/>
      <c r="E2" s="439"/>
      <c r="F2" s="439"/>
      <c r="G2" s="439"/>
      <c r="H2" s="439"/>
      <c r="I2" s="153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164</v>
      </c>
      <c r="C6" s="11" t="s">
        <v>89</v>
      </c>
      <c r="D6" s="11" t="s">
        <v>90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213450</v>
      </c>
      <c r="H7" s="20">
        <f>SUM(H8:H11)</f>
        <v>221750</v>
      </c>
      <c r="I7" s="158">
        <f aca="true" t="shared" si="0" ref="I7:I36">IF(G7=0,"",H7/G7*100)</f>
        <v>103.88849847739516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87">
        <v>161000</v>
      </c>
      <c r="H8" s="87">
        <f>164600+7150</f>
        <v>171750</v>
      </c>
      <c r="I8" s="159">
        <f t="shared" si="0"/>
        <v>106.67701863354037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87">
        <f>42300+2400+830</f>
        <v>45530</v>
      </c>
      <c r="H9" s="87">
        <f>41800+2300</f>
        <v>44100</v>
      </c>
      <c r="I9" s="159">
        <f t="shared" si="0"/>
        <v>96.85921370524927</v>
      </c>
    </row>
    <row r="10" spans="2:11" ht="12.75" customHeight="1">
      <c r="B10" s="14"/>
      <c r="C10" s="15"/>
      <c r="D10" s="15"/>
      <c r="E10" s="16">
        <v>611200</v>
      </c>
      <c r="F10" s="26" t="s">
        <v>745</v>
      </c>
      <c r="G10" s="87">
        <v>6920</v>
      </c>
      <c r="H10" s="87">
        <v>5900</v>
      </c>
      <c r="I10" s="159">
        <f t="shared" si="0"/>
        <v>85.26011560693641</v>
      </c>
      <c r="K10" s="94"/>
    </row>
    <row r="11" spans="2:9" ht="12.75" customHeight="1">
      <c r="B11" s="14"/>
      <c r="C11" s="15"/>
      <c r="D11" s="15"/>
      <c r="E11" s="16"/>
      <c r="F11" s="26"/>
      <c r="G11" s="45"/>
      <c r="H11" s="45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17200</v>
      </c>
      <c r="H13" s="20">
        <f>H14+H15</f>
        <v>18460</v>
      </c>
      <c r="I13" s="158">
        <f t="shared" si="0"/>
        <v>107.32558139534885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5">
        <v>17200</v>
      </c>
      <c r="H14" s="45">
        <f>17700+760</f>
        <v>18460</v>
      </c>
      <c r="I14" s="159">
        <f t="shared" si="0"/>
        <v>107.32558139534885</v>
      </c>
    </row>
    <row r="15" spans="2:9" ht="12.75" customHeight="1">
      <c r="B15" s="14"/>
      <c r="C15" s="15"/>
      <c r="D15" s="15"/>
      <c r="E15" s="16"/>
      <c r="F15" s="15"/>
      <c r="G15" s="45"/>
      <c r="H15" s="45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51"/>
      <c r="H16" s="51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49800</v>
      </c>
      <c r="H17" s="51">
        <f>SUM(H18:H27)</f>
        <v>48900</v>
      </c>
      <c r="I17" s="158">
        <f t="shared" si="0"/>
        <v>98.19277108433735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5">
        <v>1400</v>
      </c>
      <c r="H18" s="45">
        <v>1400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5">
        <v>7800</v>
      </c>
      <c r="H19" s="45">
        <v>8000</v>
      </c>
      <c r="I19" s="159">
        <f t="shared" si="0"/>
        <v>102.56410256410255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87">
        <v>3600</v>
      </c>
      <c r="H20" s="87">
        <v>3800</v>
      </c>
      <c r="I20" s="159">
        <f t="shared" si="0"/>
        <v>105.55555555555556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87">
        <v>900</v>
      </c>
      <c r="H21" s="87">
        <v>1000</v>
      </c>
      <c r="I21" s="159">
        <f t="shared" si="0"/>
        <v>111.11111111111111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87">
        <v>3500</v>
      </c>
      <c r="H22" s="87">
        <v>3700</v>
      </c>
      <c r="I22" s="159">
        <f t="shared" si="0"/>
        <v>105.71428571428572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87">
        <v>0</v>
      </c>
      <c r="H23" s="87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87">
        <v>7000</v>
      </c>
      <c r="H24" s="87">
        <v>4000</v>
      </c>
      <c r="I24" s="159">
        <f t="shared" si="0"/>
        <v>57.14285714285714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87">
        <v>400</v>
      </c>
      <c r="H25" s="87">
        <v>400</v>
      </c>
      <c r="I25" s="159">
        <f t="shared" si="0"/>
        <v>100</v>
      </c>
    </row>
    <row r="26" spans="2:10" ht="12.75" customHeight="1">
      <c r="B26" s="14"/>
      <c r="C26" s="15"/>
      <c r="D26" s="15"/>
      <c r="E26" s="16">
        <v>613900</v>
      </c>
      <c r="F26" s="15" t="s">
        <v>178</v>
      </c>
      <c r="G26" s="87">
        <v>18500</v>
      </c>
      <c r="H26" s="87">
        <v>20000</v>
      </c>
      <c r="I26" s="159">
        <f t="shared" si="0"/>
        <v>108.10810810810811</v>
      </c>
      <c r="J26" s="86"/>
    </row>
    <row r="27" spans="2:9" ht="12.75" customHeight="1">
      <c r="B27" s="14"/>
      <c r="C27" s="15"/>
      <c r="D27" s="15"/>
      <c r="E27" s="16">
        <v>613900</v>
      </c>
      <c r="F27" s="26" t="s">
        <v>746</v>
      </c>
      <c r="G27" s="87">
        <v>6700</v>
      </c>
      <c r="H27" s="87">
        <v>6600</v>
      </c>
      <c r="I27" s="159">
        <f t="shared" si="0"/>
        <v>98.50746268656717</v>
      </c>
    </row>
    <row r="28" spans="2:9" ht="12.75" customHeight="1">
      <c r="B28" s="14"/>
      <c r="C28" s="15"/>
      <c r="D28" s="15"/>
      <c r="E28" s="16"/>
      <c r="F28" s="15"/>
      <c r="G28" s="114"/>
      <c r="H28" s="114"/>
      <c r="I28" s="159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222</v>
      </c>
      <c r="G29" s="114">
        <f>G30</f>
        <v>56300</v>
      </c>
      <c r="H29" s="114">
        <f>H30</f>
        <v>40000</v>
      </c>
      <c r="I29" s="158">
        <f t="shared" si="0"/>
        <v>71.04795737122558</v>
      </c>
    </row>
    <row r="30" spans="2:9" ht="12.75" customHeight="1">
      <c r="B30" s="14"/>
      <c r="C30" s="15"/>
      <c r="D30" s="15"/>
      <c r="E30" s="16">
        <v>614200</v>
      </c>
      <c r="F30" s="26" t="s">
        <v>125</v>
      </c>
      <c r="G30" s="87">
        <v>56300</v>
      </c>
      <c r="H30" s="87">
        <v>40000</v>
      </c>
      <c r="I30" s="159">
        <f t="shared" si="0"/>
        <v>71.04795737122558</v>
      </c>
    </row>
    <row r="31" spans="2:9" ht="12.75" customHeight="1">
      <c r="B31" s="14"/>
      <c r="C31" s="15"/>
      <c r="D31" s="15"/>
      <c r="E31" s="9"/>
      <c r="F31" s="12"/>
      <c r="G31" s="87"/>
      <c r="H31" s="87"/>
      <c r="I31" s="159">
        <f t="shared" si="0"/>
      </c>
    </row>
    <row r="32" spans="2:9" ht="12.75" customHeight="1">
      <c r="B32" s="14"/>
      <c r="C32" s="15"/>
      <c r="D32" s="15"/>
      <c r="E32" s="16"/>
      <c r="F32" s="26"/>
      <c r="G32" s="87"/>
      <c r="H32" s="87"/>
      <c r="I32" s="159">
        <f t="shared" si="0"/>
      </c>
    </row>
    <row r="33" spans="2:9" ht="12.75" customHeight="1">
      <c r="B33" s="14"/>
      <c r="C33" s="15"/>
      <c r="D33" s="15"/>
      <c r="E33" s="16"/>
      <c r="F33" s="15"/>
      <c r="G33" s="87"/>
      <c r="H33" s="87"/>
      <c r="I33" s="159">
        <f t="shared" si="0"/>
      </c>
    </row>
    <row r="34" spans="2:9" ht="12.75" customHeight="1">
      <c r="B34" s="17"/>
      <c r="C34" s="12"/>
      <c r="D34" s="12"/>
      <c r="E34" s="9">
        <v>821000</v>
      </c>
      <c r="F34" s="12" t="s">
        <v>98</v>
      </c>
      <c r="G34" s="114">
        <f>SUM(G35:G37)</f>
        <v>5000</v>
      </c>
      <c r="H34" s="114">
        <f>SUM(H35:H37)</f>
        <v>3000</v>
      </c>
      <c r="I34" s="158">
        <f t="shared" si="0"/>
        <v>60</v>
      </c>
    </row>
    <row r="35" spans="2:9" ht="12.75" customHeight="1">
      <c r="B35" s="14"/>
      <c r="C35" s="15"/>
      <c r="D35" s="15"/>
      <c r="E35" s="16">
        <v>821200</v>
      </c>
      <c r="F35" s="15" t="s">
        <v>99</v>
      </c>
      <c r="G35" s="123">
        <v>0</v>
      </c>
      <c r="H35" s="123">
        <v>0</v>
      </c>
      <c r="I35" s="159">
        <f t="shared" si="0"/>
      </c>
    </row>
    <row r="36" spans="2:9" s="1" customFormat="1" ht="12.75" customHeight="1">
      <c r="B36" s="14"/>
      <c r="C36" s="15"/>
      <c r="D36" s="15"/>
      <c r="E36" s="16">
        <v>821300</v>
      </c>
      <c r="F36" s="15" t="s">
        <v>100</v>
      </c>
      <c r="G36" s="87">
        <v>5000</v>
      </c>
      <c r="H36" s="87">
        <v>3000</v>
      </c>
      <c r="I36" s="159">
        <f t="shared" si="0"/>
        <v>60</v>
      </c>
    </row>
    <row r="37" spans="2:9" ht="12.75" customHeight="1">
      <c r="B37" s="14"/>
      <c r="C37" s="15"/>
      <c r="D37" s="15"/>
      <c r="E37" s="16"/>
      <c r="F37" s="26"/>
      <c r="G37" s="87"/>
      <c r="H37" s="87"/>
      <c r="I37" s="159"/>
    </row>
    <row r="38" spans="2:9" ht="12.75" customHeight="1">
      <c r="B38" s="14"/>
      <c r="C38" s="15"/>
      <c r="D38" s="15"/>
      <c r="E38" s="16"/>
      <c r="F38" s="15"/>
      <c r="G38" s="45"/>
      <c r="H38" s="45"/>
      <c r="I38" s="159"/>
    </row>
    <row r="39" spans="2:9" ht="12.75" customHeight="1">
      <c r="B39" s="17"/>
      <c r="C39" s="12"/>
      <c r="D39" s="12"/>
      <c r="E39" s="9"/>
      <c r="F39" s="12" t="s">
        <v>101</v>
      </c>
      <c r="G39" s="20">
        <v>12</v>
      </c>
      <c r="H39" s="20">
        <v>11</v>
      </c>
      <c r="I39" s="159"/>
    </row>
    <row r="40" spans="2:9" ht="12.75" customHeight="1">
      <c r="B40" s="17"/>
      <c r="C40" s="12"/>
      <c r="D40" s="12"/>
      <c r="E40" s="9"/>
      <c r="F40" s="12" t="s">
        <v>122</v>
      </c>
      <c r="G40" s="20">
        <f>G7+G13+G17+G29+G34</f>
        <v>341750</v>
      </c>
      <c r="H40" s="20">
        <f>H7+H13+H17+H29+H34</f>
        <v>332110</v>
      </c>
      <c r="I40" s="158">
        <f>IF(G40=0,"",H40/G40*100)</f>
        <v>97.17922457937088</v>
      </c>
    </row>
    <row r="41" spans="2:9" s="1" customFormat="1" ht="12.75" customHeight="1">
      <c r="B41" s="17"/>
      <c r="C41" s="12"/>
      <c r="D41" s="12"/>
      <c r="E41" s="9"/>
      <c r="F41" s="12" t="s">
        <v>102</v>
      </c>
      <c r="G41" s="20">
        <f>G40</f>
        <v>341750</v>
      </c>
      <c r="H41" s="20">
        <f>H40</f>
        <v>332110</v>
      </c>
      <c r="I41" s="158">
        <f>IF(G41=0,"",H41/G41*100)</f>
        <v>97.17922457937088</v>
      </c>
    </row>
    <row r="42" spans="2:9" s="1" customFormat="1" ht="12.75" customHeight="1">
      <c r="B42" s="17"/>
      <c r="C42" s="12"/>
      <c r="D42" s="12"/>
      <c r="E42" s="9"/>
      <c r="F42" s="12" t="s">
        <v>103</v>
      </c>
      <c r="G42" s="20">
        <f>G41</f>
        <v>341750</v>
      </c>
      <c r="H42" s="20">
        <f>H41</f>
        <v>332110</v>
      </c>
      <c r="I42" s="158">
        <f>IF(G42=0,"",H42/G42*100)</f>
        <v>97.17922457937088</v>
      </c>
    </row>
    <row r="43" spans="2:9" s="1" customFormat="1" ht="12.75" customHeight="1" thickBot="1">
      <c r="B43" s="21"/>
      <c r="C43" s="22"/>
      <c r="D43" s="22"/>
      <c r="E43" s="23"/>
      <c r="F43" s="22"/>
      <c r="G43" s="50"/>
      <c r="H43" s="178"/>
      <c r="I43" s="177"/>
    </row>
    <row r="44" spans="2:9" s="1" customFormat="1" ht="12.75" customHeight="1">
      <c r="B44" s="13"/>
      <c r="C44" s="13"/>
      <c r="D44" s="13"/>
      <c r="E44" s="24"/>
      <c r="F44" s="13"/>
      <c r="G44" s="84"/>
      <c r="H44" s="93"/>
      <c r="I44" s="154"/>
    </row>
    <row r="45" spans="2:7" ht="12.75" customHeight="1">
      <c r="B45" s="86"/>
      <c r="G45" s="84"/>
    </row>
    <row r="46" ht="12.75">
      <c r="B46" s="86"/>
    </row>
    <row r="47" ht="12.75">
      <c r="B47" s="86"/>
    </row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  <row r="53" ht="12.75">
      <c r="B53" s="86"/>
    </row>
    <row r="54" ht="12.75">
      <c r="B54" s="86"/>
    </row>
  </sheetData>
  <sheetProtection/>
  <mergeCells count="2">
    <mergeCell ref="B2:H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88" r:id="rId1"/>
  <headerFooter alignWithMargins="0">
    <oddFooter>&amp;R41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B2:K5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9" s="118" customFormat="1" ht="15" customHeight="1">
      <c r="B2" s="439" t="s">
        <v>165</v>
      </c>
      <c r="C2" s="439"/>
      <c r="D2" s="439"/>
      <c r="E2" s="439"/>
      <c r="F2" s="439"/>
      <c r="G2" s="439"/>
      <c r="H2" s="354"/>
      <c r="I2" s="355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166</v>
      </c>
      <c r="C6" s="11" t="s">
        <v>89</v>
      </c>
      <c r="D6" s="11" t="s">
        <v>90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514500</v>
      </c>
      <c r="H7" s="20">
        <f>SUM(H8:H11)</f>
        <v>475330</v>
      </c>
      <c r="I7" s="158">
        <f aca="true" t="shared" si="0" ref="I7:I38">IF(G7=0,"",H7/G7*100)</f>
        <v>92.38678328474246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46">
        <f>431200+2100</f>
        <v>433300</v>
      </c>
      <c r="H8" s="46">
        <f>351500+2000+8130+30600</f>
        <v>392230</v>
      </c>
      <c r="I8" s="159">
        <f t="shared" si="0"/>
        <v>90.52157858296792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46">
        <f>68200+600</f>
        <v>68800</v>
      </c>
      <c r="H9" s="46">
        <f>64500+2500+1470+830+400+2300+4700</f>
        <v>76700</v>
      </c>
      <c r="I9" s="159">
        <f t="shared" si="0"/>
        <v>111.48255813953489</v>
      </c>
    </row>
    <row r="10" spans="2:11" ht="12.75" customHeight="1">
      <c r="B10" s="14"/>
      <c r="C10" s="15"/>
      <c r="D10" s="15"/>
      <c r="E10" s="16">
        <v>611200</v>
      </c>
      <c r="F10" s="26" t="s">
        <v>735</v>
      </c>
      <c r="G10" s="87">
        <v>12400</v>
      </c>
      <c r="H10" s="87">
        <v>6400</v>
      </c>
      <c r="I10" s="159">
        <f t="shared" si="0"/>
        <v>51.61290322580645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45750</v>
      </c>
      <c r="H13" s="20">
        <f>H14+H15</f>
        <v>41650</v>
      </c>
      <c r="I13" s="158">
        <f t="shared" si="0"/>
        <v>91.03825136612022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6">
        <f>45500+250</f>
        <v>45750</v>
      </c>
      <c r="H14" s="46">
        <f>38400+3250</f>
        <v>41650</v>
      </c>
      <c r="I14" s="159">
        <f t="shared" si="0"/>
        <v>91.03825136612022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165000</v>
      </c>
      <c r="H17" s="51">
        <f>SUM(H18:H27)</f>
        <v>137800</v>
      </c>
      <c r="I17" s="158">
        <f t="shared" si="0"/>
        <v>83.51515151515152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4000</v>
      </c>
      <c r="H18" s="46">
        <v>4000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31000</v>
      </c>
      <c r="H19" s="46">
        <v>31000</v>
      </c>
      <c r="I19" s="159">
        <f t="shared" si="0"/>
        <v>100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6">
        <v>17000</v>
      </c>
      <c r="H20" s="46">
        <v>17000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6">
        <v>6500</v>
      </c>
      <c r="H21" s="46">
        <v>6500</v>
      </c>
      <c r="I21" s="159">
        <f t="shared" si="0"/>
        <v>100</v>
      </c>
    </row>
    <row r="22" spans="2:10" ht="12.75" customHeight="1">
      <c r="B22" s="14"/>
      <c r="C22" s="15"/>
      <c r="D22" s="15"/>
      <c r="E22" s="16">
        <v>613500</v>
      </c>
      <c r="F22" s="15" t="s">
        <v>94</v>
      </c>
      <c r="G22" s="123">
        <v>4600</v>
      </c>
      <c r="H22" s="123">
        <v>4600</v>
      </c>
      <c r="I22" s="159">
        <f t="shared" si="0"/>
        <v>100</v>
      </c>
      <c r="J22" s="86"/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6">
        <v>0</v>
      </c>
      <c r="H23" s="46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123">
        <v>5000</v>
      </c>
      <c r="H24" s="123">
        <v>5000</v>
      </c>
      <c r="I24" s="159">
        <f t="shared" si="0"/>
        <v>100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123">
        <v>1900</v>
      </c>
      <c r="H25" s="123">
        <v>1900</v>
      </c>
      <c r="I25" s="159">
        <f t="shared" si="0"/>
        <v>100</v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123">
        <v>80500</v>
      </c>
      <c r="H26" s="123">
        <v>60000</v>
      </c>
      <c r="I26" s="159">
        <f t="shared" si="0"/>
        <v>74.53416149068323</v>
      </c>
    </row>
    <row r="27" spans="2:9" ht="12.75" customHeight="1">
      <c r="B27" s="14"/>
      <c r="C27" s="15"/>
      <c r="D27" s="15"/>
      <c r="E27" s="16">
        <v>613900</v>
      </c>
      <c r="F27" s="26" t="s">
        <v>736</v>
      </c>
      <c r="G27" s="123">
        <v>14500</v>
      </c>
      <c r="H27" s="123">
        <v>7800</v>
      </c>
      <c r="I27" s="159">
        <f t="shared" si="0"/>
        <v>53.79310344827586</v>
      </c>
    </row>
    <row r="28" spans="2:9" s="1" customFormat="1" ht="12.75" customHeight="1">
      <c r="B28" s="17"/>
      <c r="C28" s="12"/>
      <c r="D28" s="12"/>
      <c r="E28" s="9"/>
      <c r="F28" s="12"/>
      <c r="G28" s="123"/>
      <c r="H28" s="123"/>
      <c r="I28" s="159">
        <f t="shared" si="0"/>
      </c>
    </row>
    <row r="29" spans="2:9" ht="12.75" customHeight="1">
      <c r="B29" s="14"/>
      <c r="C29" s="15"/>
      <c r="D29" s="31"/>
      <c r="E29" s="16"/>
      <c r="F29" s="30"/>
      <c r="G29" s="123"/>
      <c r="H29" s="123"/>
      <c r="I29" s="159">
        <f t="shared" si="0"/>
      </c>
    </row>
    <row r="30" spans="2:9" ht="12.75" customHeight="1">
      <c r="B30" s="14"/>
      <c r="C30" s="15"/>
      <c r="D30" s="15"/>
      <c r="E30" s="63"/>
      <c r="F30" s="30"/>
      <c r="G30" s="123"/>
      <c r="H30" s="123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123"/>
      <c r="H31" s="123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123"/>
      <c r="H32" s="123"/>
      <c r="I32" s="159">
        <f t="shared" si="0"/>
      </c>
    </row>
    <row r="33" spans="2:9" ht="12.75" customHeight="1">
      <c r="B33" s="14"/>
      <c r="C33" s="15"/>
      <c r="D33" s="15"/>
      <c r="E33" s="9"/>
      <c r="F33" s="12"/>
      <c r="G33" s="123"/>
      <c r="H33" s="123"/>
      <c r="I33" s="159">
        <f t="shared" si="0"/>
      </c>
    </row>
    <row r="34" spans="2:9" ht="12.75" customHeight="1">
      <c r="B34" s="14"/>
      <c r="C34" s="15"/>
      <c r="D34" s="15"/>
      <c r="E34" s="16"/>
      <c r="F34" s="26"/>
      <c r="G34" s="123"/>
      <c r="H34" s="123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SUM(G37:G39)</f>
        <v>3000</v>
      </c>
      <c r="H36" s="114">
        <f>SUM(H37:H39)</f>
        <v>3000</v>
      </c>
      <c r="I36" s="158">
        <f t="shared" si="0"/>
        <v>100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123">
        <v>0</v>
      </c>
      <c r="H37" s="123">
        <v>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123">
        <v>3000</v>
      </c>
      <c r="H38" s="123">
        <v>3000</v>
      </c>
      <c r="I38" s="159">
        <f t="shared" si="0"/>
        <v>100</v>
      </c>
    </row>
    <row r="39" spans="2:9" ht="12.75" customHeight="1">
      <c r="B39" s="14"/>
      <c r="C39" s="15"/>
      <c r="D39" s="15"/>
      <c r="E39" s="16"/>
      <c r="F39" s="26"/>
      <c r="G39" s="123"/>
      <c r="H39" s="123"/>
      <c r="I39" s="159"/>
    </row>
    <row r="40" spans="2:9" ht="12.75" customHeight="1">
      <c r="B40" s="14"/>
      <c r="C40" s="15"/>
      <c r="D40" s="15"/>
      <c r="E40" s="16"/>
      <c r="F40" s="15"/>
      <c r="G40" s="46"/>
      <c r="H40" s="46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0">
        <v>16</v>
      </c>
      <c r="H41" s="20">
        <v>16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728250</v>
      </c>
      <c r="H42" s="20">
        <f>H7+H13+H17+H36</f>
        <v>657780</v>
      </c>
      <c r="I42" s="158">
        <f>IF(G42=0,"",H42/G42*100)</f>
        <v>90.32337796086509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</f>
        <v>728250</v>
      </c>
      <c r="H43" s="20">
        <f>H42</f>
        <v>657780</v>
      </c>
      <c r="I43" s="158">
        <f>IF(G43=0,"",H43/G43*100)</f>
        <v>90.32337796086509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>
        <f>G43</f>
        <v>728250</v>
      </c>
      <c r="H44" s="20">
        <f>H43</f>
        <v>657780</v>
      </c>
      <c r="I44" s="158">
        <f>IF(G44=0,"",H44/G44*100)</f>
        <v>90.32337796086509</v>
      </c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</sheetData>
  <sheetProtection/>
  <mergeCells count="2">
    <mergeCell ref="B2:G2"/>
    <mergeCell ref="F3:G3"/>
  </mergeCells>
  <printOptions/>
  <pageMargins left="0.2755905511811024" right="0.2755905511811024" top="0.5905511811023623" bottom="0.52" header="0.5118110236220472" footer="0.5118110236220472"/>
  <pageSetup fitToHeight="1" fitToWidth="1" horizontalDpi="180" verticalDpi="180" orientation="portrait" paperSize="9" scale="88" r:id="rId1"/>
  <headerFooter alignWithMargins="0">
    <oddFooter>&amp;R42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B2:K48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8" width="15.7109375" style="13" customWidth="1"/>
    <col min="9" max="9" width="8.7109375" style="146" customWidth="1"/>
    <col min="10" max="16384" width="9.140625" style="13" customWidth="1"/>
  </cols>
  <sheetData>
    <row r="2" spans="2:9" s="118" customFormat="1" ht="15" customHeight="1">
      <c r="B2" s="439" t="s">
        <v>248</v>
      </c>
      <c r="C2" s="439"/>
      <c r="D2" s="439"/>
      <c r="E2" s="439"/>
      <c r="F2" s="439"/>
      <c r="G2" s="439"/>
      <c r="H2" s="439"/>
      <c r="I2" s="153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167</v>
      </c>
      <c r="C6" s="11" t="s">
        <v>89</v>
      </c>
      <c r="D6" s="11" t="s">
        <v>90</v>
      </c>
      <c r="E6" s="9"/>
      <c r="F6" s="9"/>
      <c r="G6" s="35"/>
      <c r="H6" s="9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40920</v>
      </c>
      <c r="H7" s="20">
        <f>SUM(H8:H11)</f>
        <v>58500</v>
      </c>
      <c r="I7" s="158">
        <f aca="true" t="shared" si="0" ref="I7:I38">IF(G7=0,"",H7/G7*100)</f>
        <v>142.96187683284458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87">
        <v>31500</v>
      </c>
      <c r="H8" s="87">
        <f>28900+11700+6000</f>
        <v>46600</v>
      </c>
      <c r="I8" s="159">
        <f t="shared" si="0"/>
        <v>147.93650793650795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87">
        <v>5900</v>
      </c>
      <c r="H9" s="87">
        <f>6400+400+2900</f>
        <v>9700</v>
      </c>
      <c r="I9" s="159">
        <f t="shared" si="0"/>
        <v>164.40677966101697</v>
      </c>
    </row>
    <row r="10" spans="2:11" ht="12.75" customHeight="1">
      <c r="B10" s="14"/>
      <c r="C10" s="15"/>
      <c r="D10" s="15"/>
      <c r="E10" s="16">
        <v>611200</v>
      </c>
      <c r="F10" s="26" t="s">
        <v>741</v>
      </c>
      <c r="G10" s="87">
        <f>2720+800</f>
        <v>3520</v>
      </c>
      <c r="H10" s="87">
        <v>2200</v>
      </c>
      <c r="I10" s="159">
        <f t="shared" si="0"/>
        <v>62.5</v>
      </c>
      <c r="K10" s="94"/>
    </row>
    <row r="11" spans="2:9" ht="12.75" customHeight="1">
      <c r="B11" s="14"/>
      <c r="C11" s="15"/>
      <c r="D11" s="15"/>
      <c r="E11" s="16"/>
      <c r="F11" s="26"/>
      <c r="G11" s="45"/>
      <c r="H11" s="45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3100</v>
      </c>
      <c r="H13" s="20">
        <f>H14+H15</f>
        <v>5400</v>
      </c>
      <c r="I13" s="158">
        <f t="shared" si="0"/>
        <v>174.19354838709677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5">
        <v>3100</v>
      </c>
      <c r="H14" s="45">
        <f>4700+700</f>
        <v>5400</v>
      </c>
      <c r="I14" s="159">
        <f t="shared" si="0"/>
        <v>174.19354838709677</v>
      </c>
    </row>
    <row r="15" spans="2:9" ht="12.75" customHeight="1">
      <c r="B15" s="14"/>
      <c r="C15" s="15"/>
      <c r="D15" s="15"/>
      <c r="E15" s="16"/>
      <c r="F15" s="15"/>
      <c r="G15" s="45"/>
      <c r="H15" s="45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51"/>
      <c r="H16" s="51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21050</v>
      </c>
      <c r="H17" s="51">
        <f>SUM(H18:H27)</f>
        <v>9550</v>
      </c>
      <c r="I17" s="158">
        <f t="shared" si="0"/>
        <v>45.36817102137768</v>
      </c>
    </row>
    <row r="18" spans="2:9" ht="12.75" customHeight="1">
      <c r="B18" s="14"/>
      <c r="C18" s="15"/>
      <c r="D18" s="15"/>
      <c r="E18" s="16">
        <v>613100</v>
      </c>
      <c r="F18" s="26" t="s">
        <v>92</v>
      </c>
      <c r="G18" s="45">
        <v>500</v>
      </c>
      <c r="H18" s="45">
        <v>500</v>
      </c>
      <c r="I18" s="159">
        <f t="shared" si="0"/>
        <v>100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5">
        <v>0</v>
      </c>
      <c r="H19" s="45">
        <v>0</v>
      </c>
      <c r="I19" s="159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220</v>
      </c>
      <c r="G20" s="87">
        <v>2500</v>
      </c>
      <c r="H20" s="87">
        <v>2500</v>
      </c>
      <c r="I20" s="159">
        <f t="shared" si="0"/>
        <v>100</v>
      </c>
      <c r="J20" s="86"/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5">
        <v>1200</v>
      </c>
      <c r="H21" s="45">
        <v>1200</v>
      </c>
      <c r="I21" s="159">
        <f t="shared" si="0"/>
        <v>100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5">
        <v>0</v>
      </c>
      <c r="H22" s="45">
        <v>0</v>
      </c>
      <c r="I22" s="159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5">
        <v>0</v>
      </c>
      <c r="H23" s="45">
        <v>0</v>
      </c>
      <c r="I23" s="159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95</v>
      </c>
      <c r="G24" s="87">
        <v>250</v>
      </c>
      <c r="H24" s="87">
        <v>250</v>
      </c>
      <c r="I24" s="159">
        <f t="shared" si="0"/>
        <v>100</v>
      </c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87">
        <v>0</v>
      </c>
      <c r="H25" s="87">
        <v>0</v>
      </c>
      <c r="I25" s="159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87">
        <v>12000</v>
      </c>
      <c r="H26" s="87">
        <v>1800</v>
      </c>
      <c r="I26" s="159">
        <f t="shared" si="0"/>
        <v>15</v>
      </c>
    </row>
    <row r="27" spans="2:9" ht="12.75" customHeight="1">
      <c r="B27" s="14"/>
      <c r="C27" s="15"/>
      <c r="D27" s="15"/>
      <c r="E27" s="16">
        <v>613900</v>
      </c>
      <c r="F27" s="26" t="s">
        <v>742</v>
      </c>
      <c r="G27" s="123">
        <f>3400+1200</f>
        <v>4600</v>
      </c>
      <c r="H27" s="123">
        <v>3300</v>
      </c>
      <c r="I27" s="159">
        <f t="shared" si="0"/>
        <v>71.73913043478261</v>
      </c>
    </row>
    <row r="28" spans="2:9" s="1" customFormat="1" ht="12.75" customHeight="1">
      <c r="B28" s="17"/>
      <c r="C28" s="12"/>
      <c r="D28" s="12"/>
      <c r="E28" s="9"/>
      <c r="F28" s="12"/>
      <c r="G28" s="87"/>
      <c r="H28" s="87"/>
      <c r="I28" s="159">
        <f t="shared" si="0"/>
      </c>
    </row>
    <row r="29" spans="2:9" ht="12.75" customHeight="1">
      <c r="B29" s="14"/>
      <c r="C29" s="15"/>
      <c r="D29" s="31"/>
      <c r="E29" s="16"/>
      <c r="F29" s="30"/>
      <c r="G29" s="87"/>
      <c r="H29" s="87"/>
      <c r="I29" s="159">
        <f t="shared" si="0"/>
      </c>
    </row>
    <row r="30" spans="2:9" ht="12.75" customHeight="1">
      <c r="B30" s="14"/>
      <c r="C30" s="15"/>
      <c r="D30" s="15"/>
      <c r="E30" s="63"/>
      <c r="F30" s="30"/>
      <c r="G30" s="87"/>
      <c r="H30" s="87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87"/>
      <c r="H31" s="87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87"/>
      <c r="H32" s="87"/>
      <c r="I32" s="159">
        <f t="shared" si="0"/>
      </c>
    </row>
    <row r="33" spans="2:9" ht="12.75" customHeight="1">
      <c r="B33" s="14"/>
      <c r="C33" s="15"/>
      <c r="D33" s="15"/>
      <c r="E33" s="9"/>
      <c r="F33" s="12"/>
      <c r="G33" s="87"/>
      <c r="H33" s="87"/>
      <c r="I33" s="159">
        <f t="shared" si="0"/>
      </c>
    </row>
    <row r="34" spans="2:9" ht="12.75" customHeight="1">
      <c r="B34" s="14"/>
      <c r="C34" s="15"/>
      <c r="D34" s="15"/>
      <c r="E34" s="16"/>
      <c r="F34" s="26"/>
      <c r="G34" s="87"/>
      <c r="H34" s="87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G37+G38</f>
        <v>1000</v>
      </c>
      <c r="H36" s="114">
        <f>H37+H38</f>
        <v>1000</v>
      </c>
      <c r="I36" s="158">
        <f t="shared" si="0"/>
        <v>100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87">
        <v>0</v>
      </c>
      <c r="H37" s="87">
        <v>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87">
        <v>1000</v>
      </c>
      <c r="H38" s="87">
        <v>1000</v>
      </c>
      <c r="I38" s="159">
        <f t="shared" si="0"/>
        <v>100</v>
      </c>
    </row>
    <row r="39" spans="2:9" ht="12.75" customHeight="1">
      <c r="B39" s="14"/>
      <c r="C39" s="15"/>
      <c r="D39" s="15"/>
      <c r="E39" s="16"/>
      <c r="F39" s="26"/>
      <c r="G39" s="87"/>
      <c r="H39" s="87"/>
      <c r="I39" s="159"/>
    </row>
    <row r="40" spans="2:9" ht="12.75" customHeight="1">
      <c r="B40" s="14"/>
      <c r="C40" s="15"/>
      <c r="D40" s="15"/>
      <c r="E40" s="16"/>
      <c r="F40" s="15"/>
      <c r="G40" s="20"/>
      <c r="H40" s="20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0">
        <v>2</v>
      </c>
      <c r="H41" s="20">
        <v>3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66070</v>
      </c>
      <c r="H42" s="20">
        <f>H7+H13+H17+H36</f>
        <v>74450</v>
      </c>
      <c r="I42" s="158">
        <f>IF(G42=0,"",H42/G42*100)</f>
        <v>112.68351748145906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</f>
        <v>66070</v>
      </c>
      <c r="H43" s="20">
        <f>H42</f>
        <v>74450</v>
      </c>
      <c r="I43" s="158">
        <f>IF(G43=0,"",H43/G43*100)</f>
        <v>112.68351748145906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>
        <f>G43</f>
        <v>66070</v>
      </c>
      <c r="H44" s="20">
        <f>H43</f>
        <v>74450</v>
      </c>
      <c r="I44" s="158">
        <f>IF(G44=0,"",H44/G44*100)</f>
        <v>112.68351748145906</v>
      </c>
    </row>
    <row r="45" spans="2:9" ht="12.75" customHeight="1" thickBot="1">
      <c r="B45" s="21"/>
      <c r="C45" s="22"/>
      <c r="D45" s="22"/>
      <c r="E45" s="23"/>
      <c r="F45" s="22"/>
      <c r="G45" s="50"/>
      <c r="H45" s="22"/>
      <c r="I45" s="162"/>
    </row>
    <row r="47" ht="12.75">
      <c r="B47" s="86"/>
    </row>
    <row r="48" ht="12.75">
      <c r="B48" s="86"/>
    </row>
  </sheetData>
  <sheetProtection/>
  <mergeCells count="2">
    <mergeCell ref="B2:H2"/>
    <mergeCell ref="F3:G3"/>
  </mergeCells>
  <printOptions/>
  <pageMargins left="0.2755905511811024" right="0.2755905511811024" top="0.5905511811023623" bottom="0.54" header="0.5118110236220472" footer="0.5118110236220472"/>
  <pageSetup fitToHeight="1" fitToWidth="1" horizontalDpi="180" verticalDpi="180" orientation="portrait" paperSize="9" scale="88" r:id="rId1"/>
  <headerFooter alignWithMargins="0">
    <oddFooter>&amp;R43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B2:K49"/>
  <sheetViews>
    <sheetView zoomScalePageLayoutView="0" workbookViewId="0" topLeftCell="A4">
      <selection activeCell="H11" sqref="H1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2812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7" ht="15" customHeight="1">
      <c r="B2" s="439" t="s">
        <v>169</v>
      </c>
      <c r="C2" s="439"/>
      <c r="D2" s="439"/>
      <c r="E2" s="439"/>
      <c r="F2" s="439"/>
      <c r="G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168</v>
      </c>
      <c r="C6" s="11" t="s">
        <v>89</v>
      </c>
      <c r="D6" s="11" t="s">
        <v>90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462540</v>
      </c>
      <c r="H7" s="20">
        <f>SUM(H8:H11)</f>
        <v>488130</v>
      </c>
      <c r="I7" s="158">
        <f aca="true" t="shared" si="0" ref="I7:I38">IF(G7=0,"",H7/G7*100)</f>
        <v>105.53249448696329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123">
        <v>401100</v>
      </c>
      <c r="H8" s="123">
        <v>408500</v>
      </c>
      <c r="I8" s="159">
        <f t="shared" si="0"/>
        <v>101.84492645225629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123">
        <v>55300</v>
      </c>
      <c r="H9" s="123">
        <f>62500+4*1450+830</f>
        <v>69130</v>
      </c>
      <c r="I9" s="159">
        <f t="shared" si="0"/>
        <v>125.00904159132007</v>
      </c>
    </row>
    <row r="10" spans="2:11" ht="12.75" customHeight="1">
      <c r="B10" s="14"/>
      <c r="C10" s="15"/>
      <c r="D10" s="15"/>
      <c r="E10" s="16">
        <v>611200</v>
      </c>
      <c r="F10" s="26" t="s">
        <v>737</v>
      </c>
      <c r="G10" s="87">
        <v>6140</v>
      </c>
      <c r="H10" s="87">
        <v>10500</v>
      </c>
      <c r="I10" s="159">
        <f t="shared" si="0"/>
        <v>171.0097719869707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11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  <c r="K12" s="86"/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42800</v>
      </c>
      <c r="H13" s="20">
        <f>H14+H15</f>
        <v>43600</v>
      </c>
      <c r="I13" s="158">
        <f t="shared" si="0"/>
        <v>101.86915887850468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123">
        <v>42800</v>
      </c>
      <c r="H14" s="123">
        <v>43600</v>
      </c>
      <c r="I14" s="159">
        <f t="shared" si="0"/>
        <v>101.86915887850468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115200</v>
      </c>
      <c r="H17" s="51">
        <f>SUM(H18:H27)</f>
        <v>100500</v>
      </c>
      <c r="I17" s="158">
        <f t="shared" si="0"/>
        <v>87.23958333333334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2500</v>
      </c>
      <c r="H18" s="46">
        <v>3000</v>
      </c>
      <c r="I18" s="159">
        <f t="shared" si="0"/>
        <v>120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5500</v>
      </c>
      <c r="H19" s="46">
        <v>4500</v>
      </c>
      <c r="I19" s="159">
        <f t="shared" si="0"/>
        <v>81.81818181818183</v>
      </c>
    </row>
    <row r="20" spans="2:10" ht="12.75" customHeight="1">
      <c r="B20" s="14"/>
      <c r="C20" s="15"/>
      <c r="D20" s="15"/>
      <c r="E20" s="16">
        <v>613300</v>
      </c>
      <c r="F20" s="26" t="s">
        <v>220</v>
      </c>
      <c r="G20" s="123">
        <v>10500</v>
      </c>
      <c r="H20" s="123">
        <v>14000</v>
      </c>
      <c r="I20" s="159">
        <f t="shared" si="0"/>
        <v>133.33333333333331</v>
      </c>
      <c r="J20" s="86"/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6">
        <v>13900</v>
      </c>
      <c r="H21" s="46">
        <v>9000</v>
      </c>
      <c r="I21" s="159">
        <f t="shared" si="0"/>
        <v>64.74820143884892</v>
      </c>
    </row>
    <row r="22" spans="2:10" ht="12.75" customHeight="1">
      <c r="B22" s="14"/>
      <c r="C22" s="15"/>
      <c r="D22" s="15"/>
      <c r="E22" s="16">
        <v>613500</v>
      </c>
      <c r="F22" s="15" t="s">
        <v>94</v>
      </c>
      <c r="G22" s="123">
        <v>10900</v>
      </c>
      <c r="H22" s="123">
        <v>2500</v>
      </c>
      <c r="I22" s="159">
        <f t="shared" si="0"/>
        <v>22.93577981651376</v>
      </c>
      <c r="J22" s="86"/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46">
        <v>0</v>
      </c>
      <c r="H23" s="46">
        <v>0</v>
      </c>
      <c r="I23" s="159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95</v>
      </c>
      <c r="G24" s="123">
        <v>2500</v>
      </c>
      <c r="H24" s="123">
        <v>5000</v>
      </c>
      <c r="I24" s="159">
        <f t="shared" si="0"/>
        <v>200</v>
      </c>
      <c r="J24" s="86"/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123">
        <v>1100</v>
      </c>
      <c r="H25" s="123">
        <v>1100</v>
      </c>
      <c r="I25" s="159">
        <f t="shared" si="0"/>
        <v>100</v>
      </c>
    </row>
    <row r="26" spans="2:9" ht="12.75" customHeight="1">
      <c r="B26" s="14"/>
      <c r="C26" s="15"/>
      <c r="D26" s="15"/>
      <c r="E26" s="16">
        <v>613900</v>
      </c>
      <c r="F26" s="15" t="s">
        <v>178</v>
      </c>
      <c r="G26" s="123">
        <v>60000</v>
      </c>
      <c r="H26" s="123">
        <v>50000</v>
      </c>
      <c r="I26" s="159">
        <f t="shared" si="0"/>
        <v>83.33333333333334</v>
      </c>
    </row>
    <row r="27" spans="2:9" ht="12.75" customHeight="1">
      <c r="B27" s="14"/>
      <c r="C27" s="15"/>
      <c r="D27" s="15"/>
      <c r="E27" s="16">
        <v>613900</v>
      </c>
      <c r="F27" s="26" t="s">
        <v>738</v>
      </c>
      <c r="G27" s="123">
        <v>8300</v>
      </c>
      <c r="H27" s="123">
        <f>4200+7200</f>
        <v>11400</v>
      </c>
      <c r="I27" s="159">
        <f t="shared" si="0"/>
        <v>137.34939759036143</v>
      </c>
    </row>
    <row r="28" spans="2:9" s="1" customFormat="1" ht="12.75" customHeight="1">
      <c r="B28" s="17"/>
      <c r="C28" s="12"/>
      <c r="D28" s="12"/>
      <c r="E28" s="9"/>
      <c r="F28" s="12"/>
      <c r="G28" s="123"/>
      <c r="H28" s="123"/>
      <c r="I28" s="159">
        <f t="shared" si="0"/>
      </c>
    </row>
    <row r="29" spans="2:9" ht="12.75" customHeight="1">
      <c r="B29" s="14"/>
      <c r="C29" s="15"/>
      <c r="D29" s="31"/>
      <c r="E29" s="16"/>
      <c r="F29" s="30"/>
      <c r="G29" s="123"/>
      <c r="H29" s="123"/>
      <c r="I29" s="159">
        <f t="shared" si="0"/>
      </c>
    </row>
    <row r="30" spans="2:9" ht="12.75" customHeight="1">
      <c r="B30" s="14"/>
      <c r="C30" s="15"/>
      <c r="D30" s="15"/>
      <c r="E30" s="63"/>
      <c r="F30" s="30"/>
      <c r="G30" s="123"/>
      <c r="H30" s="123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123"/>
      <c r="H31" s="123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123"/>
      <c r="H32" s="123"/>
      <c r="I32" s="159">
        <f t="shared" si="0"/>
      </c>
    </row>
    <row r="33" spans="2:9" ht="12.75" customHeight="1">
      <c r="B33" s="14"/>
      <c r="C33" s="15"/>
      <c r="D33" s="15"/>
      <c r="E33" s="9"/>
      <c r="F33" s="12"/>
      <c r="G33" s="123"/>
      <c r="H33" s="123"/>
      <c r="I33" s="159">
        <f t="shared" si="0"/>
      </c>
    </row>
    <row r="34" spans="2:9" ht="12.75" customHeight="1">
      <c r="B34" s="14"/>
      <c r="C34" s="15"/>
      <c r="D34" s="15"/>
      <c r="E34" s="16"/>
      <c r="F34" s="26"/>
      <c r="G34" s="123"/>
      <c r="H34" s="123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G37+G38</f>
        <v>10000</v>
      </c>
      <c r="H36" s="114">
        <f>H37+H38</f>
        <v>5000</v>
      </c>
      <c r="I36" s="158">
        <f t="shared" si="0"/>
        <v>50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123">
        <v>0</v>
      </c>
      <c r="H37" s="123">
        <v>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123">
        <v>10000</v>
      </c>
      <c r="H38" s="123">
        <v>5000</v>
      </c>
      <c r="I38" s="159">
        <f t="shared" si="0"/>
        <v>50</v>
      </c>
    </row>
    <row r="39" spans="2:9" ht="12.75" customHeight="1">
      <c r="B39" s="14"/>
      <c r="C39" s="15"/>
      <c r="D39" s="15"/>
      <c r="E39" s="16"/>
      <c r="F39" s="26"/>
      <c r="G39" s="123"/>
      <c r="H39" s="123"/>
      <c r="I39" s="159"/>
    </row>
    <row r="40" spans="2:9" ht="12.75" customHeight="1">
      <c r="B40" s="14"/>
      <c r="C40" s="15"/>
      <c r="D40" s="15"/>
      <c r="E40" s="16"/>
      <c r="F40" s="15"/>
      <c r="G40" s="46"/>
      <c r="H40" s="46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114">
        <v>14</v>
      </c>
      <c r="H41" s="114">
        <v>14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630540</v>
      </c>
      <c r="H42" s="20">
        <f>H7+H13+H17+H36</f>
        <v>637230</v>
      </c>
      <c r="I42" s="158">
        <f>IF(G42=0,"",H42/G42*100)</f>
        <v>101.0609953373299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</f>
        <v>630540</v>
      </c>
      <c r="H43" s="20">
        <f>H42</f>
        <v>637230</v>
      </c>
      <c r="I43" s="158">
        <f>IF(G43=0,"",H43/G43*100)</f>
        <v>101.0609953373299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>
        <f>G43</f>
        <v>630540</v>
      </c>
      <c r="H44" s="20">
        <f>H43</f>
        <v>637230</v>
      </c>
      <c r="I44" s="158">
        <f>IF(G44=0,"",H44/G44*100)</f>
        <v>101.0609953373299</v>
      </c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7" ht="12.75">
      <c r="B47" s="86"/>
    </row>
    <row r="48" ht="12.75">
      <c r="B48" s="86"/>
    </row>
    <row r="49" ht="12.75">
      <c r="B49" s="86"/>
    </row>
  </sheetData>
  <sheetProtection/>
  <mergeCells count="2">
    <mergeCell ref="B2:G2"/>
    <mergeCell ref="F3:G3"/>
  </mergeCells>
  <printOptions/>
  <pageMargins left="0.2755905511811024" right="0.2755905511811024" top="0.5905511811023623" bottom="0.54" header="0.5118110236220472" footer="0.5118110236220472"/>
  <pageSetup fitToHeight="1" fitToWidth="1" horizontalDpi="180" verticalDpi="180" orientation="portrait" paperSize="9" scale="88" r:id="rId1"/>
  <headerFooter alignWithMargins="0">
    <oddFooter>&amp;R44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B2:K47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95" customWidth="1"/>
    <col min="9" max="9" width="8.7109375" style="146" customWidth="1"/>
    <col min="10" max="16384" width="9.140625" style="13" customWidth="1"/>
  </cols>
  <sheetData>
    <row r="2" spans="2:7" ht="15" customHeight="1">
      <c r="B2" s="439" t="s">
        <v>194</v>
      </c>
      <c r="C2" s="439"/>
      <c r="D2" s="439"/>
      <c r="E2" s="439"/>
      <c r="F2" s="439"/>
      <c r="G2" s="439"/>
    </row>
    <row r="3" spans="5:9" s="1" customFormat="1" ht="16.5" thickBot="1">
      <c r="E3" s="2"/>
      <c r="F3" s="440"/>
      <c r="G3" s="440"/>
      <c r="H3" s="191"/>
      <c r="I3" s="192"/>
    </row>
    <row r="4" spans="2:9" s="1" customFormat="1" ht="76.5" customHeight="1">
      <c r="B4" s="3" t="s">
        <v>85</v>
      </c>
      <c r="C4" s="4" t="s">
        <v>86</v>
      </c>
      <c r="D4" s="5" t="s">
        <v>119</v>
      </c>
      <c r="E4" s="6" t="s">
        <v>87</v>
      </c>
      <c r="F4" s="7" t="s">
        <v>88</v>
      </c>
      <c r="G4" s="70" t="s">
        <v>361</v>
      </c>
      <c r="H4" s="70" t="s">
        <v>629</v>
      </c>
      <c r="I4" s="155" t="s">
        <v>531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9">
        <v>7</v>
      </c>
      <c r="I5" s="156">
        <v>8</v>
      </c>
    </row>
    <row r="6" spans="2:9" s="2" customFormat="1" ht="12.75" customHeight="1">
      <c r="B6" s="10" t="s">
        <v>193</v>
      </c>
      <c r="C6" s="11" t="s">
        <v>89</v>
      </c>
      <c r="D6" s="11" t="s">
        <v>90</v>
      </c>
      <c r="E6" s="9"/>
      <c r="F6" s="9"/>
      <c r="G6" s="35"/>
      <c r="H6" s="171"/>
      <c r="I6" s="157"/>
    </row>
    <row r="7" spans="2:9" s="1" customFormat="1" ht="12.75" customHeight="1">
      <c r="B7" s="17"/>
      <c r="C7" s="12"/>
      <c r="D7" s="12"/>
      <c r="E7" s="9">
        <v>611000</v>
      </c>
      <c r="F7" s="12" t="s">
        <v>174</v>
      </c>
      <c r="G7" s="20">
        <f>SUM(G8:G11)</f>
        <v>315520</v>
      </c>
      <c r="H7" s="20">
        <f>SUM(H8:H11)</f>
        <v>338470</v>
      </c>
      <c r="I7" s="158">
        <f aca="true" t="shared" si="0" ref="I7:I38">IF(G7=0,"",H7/G7*100)</f>
        <v>107.27370689655173</v>
      </c>
    </row>
    <row r="8" spans="2:9" ht="12.75" customHeight="1">
      <c r="B8" s="14"/>
      <c r="C8" s="15"/>
      <c r="D8" s="15"/>
      <c r="E8" s="16">
        <v>611100</v>
      </c>
      <c r="F8" s="26" t="s">
        <v>218</v>
      </c>
      <c r="G8" s="46">
        <v>264400</v>
      </c>
      <c r="H8" s="46">
        <f>269900+15570</f>
        <v>285470</v>
      </c>
      <c r="I8" s="159">
        <f t="shared" si="0"/>
        <v>107.96898638426626</v>
      </c>
    </row>
    <row r="9" spans="2:9" ht="12.75" customHeight="1">
      <c r="B9" s="14"/>
      <c r="C9" s="15"/>
      <c r="D9" s="15"/>
      <c r="E9" s="16">
        <v>611200</v>
      </c>
      <c r="F9" s="15" t="s">
        <v>219</v>
      </c>
      <c r="G9" s="46">
        <v>45800</v>
      </c>
      <c r="H9" s="46">
        <f>48500+2300</f>
        <v>50800</v>
      </c>
      <c r="I9" s="159">
        <f t="shared" si="0"/>
        <v>110.91703056768559</v>
      </c>
    </row>
    <row r="10" spans="2:11" ht="12.75" customHeight="1">
      <c r="B10" s="14"/>
      <c r="C10" s="15"/>
      <c r="D10" s="15"/>
      <c r="E10" s="16">
        <v>611200</v>
      </c>
      <c r="F10" s="26" t="s">
        <v>741</v>
      </c>
      <c r="G10" s="87">
        <v>5320</v>
      </c>
      <c r="H10" s="87">
        <v>2200</v>
      </c>
      <c r="I10" s="159">
        <f t="shared" si="0"/>
        <v>41.35338345864661</v>
      </c>
      <c r="K10" s="94"/>
    </row>
    <row r="11" spans="2:9" ht="12.75" customHeight="1">
      <c r="B11" s="14"/>
      <c r="C11" s="15"/>
      <c r="D11" s="15"/>
      <c r="E11" s="16"/>
      <c r="F11" s="26"/>
      <c r="G11" s="46"/>
      <c r="H11" s="46"/>
      <c r="I11" s="159">
        <f t="shared" si="0"/>
      </c>
    </row>
    <row r="12" spans="2:9" ht="12.75" customHeight="1">
      <c r="B12" s="14"/>
      <c r="C12" s="15"/>
      <c r="D12" s="15"/>
      <c r="E12" s="16"/>
      <c r="F12" s="15"/>
      <c r="G12" s="20"/>
      <c r="H12" s="20"/>
      <c r="I12" s="15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173</v>
      </c>
      <c r="G13" s="20">
        <f>G14+G15</f>
        <v>28000</v>
      </c>
      <c r="H13" s="20">
        <f>H14+H15</f>
        <v>30440</v>
      </c>
      <c r="I13" s="158">
        <f t="shared" si="0"/>
        <v>108.71428571428572</v>
      </c>
    </row>
    <row r="14" spans="2:9" ht="12.75" customHeight="1">
      <c r="B14" s="14"/>
      <c r="C14" s="15"/>
      <c r="D14" s="15"/>
      <c r="E14" s="16">
        <v>612100</v>
      </c>
      <c r="F14" s="18" t="s">
        <v>91</v>
      </c>
      <c r="G14" s="46">
        <v>28000</v>
      </c>
      <c r="H14" s="46">
        <f>28800+1640</f>
        <v>30440</v>
      </c>
      <c r="I14" s="159">
        <f t="shared" si="0"/>
        <v>108.71428571428572</v>
      </c>
    </row>
    <row r="15" spans="2:9" ht="12.75" customHeight="1">
      <c r="B15" s="14"/>
      <c r="C15" s="15"/>
      <c r="D15" s="15"/>
      <c r="E15" s="16"/>
      <c r="F15" s="15"/>
      <c r="G15" s="46"/>
      <c r="H15" s="46"/>
      <c r="I15" s="159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15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175</v>
      </c>
      <c r="G17" s="51">
        <f>SUM(G18:G27)</f>
        <v>36100</v>
      </c>
      <c r="H17" s="51">
        <f>SUM(H18:H27)</f>
        <v>32600</v>
      </c>
      <c r="I17" s="158">
        <f t="shared" si="0"/>
        <v>90.30470914127424</v>
      </c>
    </row>
    <row r="18" spans="2:9" ht="12.75" customHeight="1">
      <c r="B18" s="14"/>
      <c r="C18" s="15"/>
      <c r="D18" s="15"/>
      <c r="E18" s="16">
        <v>613100</v>
      </c>
      <c r="F18" s="15" t="s">
        <v>92</v>
      </c>
      <c r="G18" s="46">
        <v>1800</v>
      </c>
      <c r="H18" s="46">
        <v>2500</v>
      </c>
      <c r="I18" s="159">
        <f t="shared" si="0"/>
        <v>138.88888888888889</v>
      </c>
    </row>
    <row r="19" spans="2:9" ht="12.75" customHeight="1">
      <c r="B19" s="14"/>
      <c r="C19" s="15"/>
      <c r="D19" s="15"/>
      <c r="E19" s="16">
        <v>613200</v>
      </c>
      <c r="F19" s="15" t="s">
        <v>93</v>
      </c>
      <c r="G19" s="46">
        <v>6000</v>
      </c>
      <c r="H19" s="46">
        <v>6000</v>
      </c>
      <c r="I19" s="159">
        <f t="shared" si="0"/>
        <v>100</v>
      </c>
    </row>
    <row r="20" spans="2:9" ht="12.75" customHeight="1">
      <c r="B20" s="14"/>
      <c r="C20" s="15"/>
      <c r="D20" s="15"/>
      <c r="E20" s="16">
        <v>613300</v>
      </c>
      <c r="F20" s="26" t="s">
        <v>220</v>
      </c>
      <c r="G20" s="46">
        <v>6000</v>
      </c>
      <c r="H20" s="46">
        <v>6000</v>
      </c>
      <c r="I20" s="159">
        <f t="shared" si="0"/>
        <v>100</v>
      </c>
    </row>
    <row r="21" spans="2:9" ht="12.75" customHeight="1">
      <c r="B21" s="14"/>
      <c r="C21" s="15"/>
      <c r="D21" s="15"/>
      <c r="E21" s="16">
        <v>613400</v>
      </c>
      <c r="F21" s="15" t="s">
        <v>176</v>
      </c>
      <c r="G21" s="46">
        <v>1500</v>
      </c>
      <c r="H21" s="46">
        <v>1500</v>
      </c>
      <c r="I21" s="159">
        <f t="shared" si="0"/>
        <v>100</v>
      </c>
    </row>
    <row r="22" spans="2:9" ht="12.75" customHeight="1">
      <c r="B22" s="14"/>
      <c r="C22" s="15"/>
      <c r="D22" s="15"/>
      <c r="E22" s="16">
        <v>613500</v>
      </c>
      <c r="F22" s="15" t="s">
        <v>94</v>
      </c>
      <c r="G22" s="46">
        <v>5500</v>
      </c>
      <c r="H22" s="46">
        <v>5500</v>
      </c>
      <c r="I22" s="159">
        <f t="shared" si="0"/>
        <v>100</v>
      </c>
    </row>
    <row r="23" spans="2:9" ht="12.75" customHeight="1">
      <c r="B23" s="14"/>
      <c r="C23" s="15"/>
      <c r="D23" s="15"/>
      <c r="E23" s="16">
        <v>613600</v>
      </c>
      <c r="F23" s="26" t="s">
        <v>221</v>
      </c>
      <c r="G23" s="123">
        <v>0</v>
      </c>
      <c r="H23" s="123">
        <v>0</v>
      </c>
      <c r="I23" s="159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95</v>
      </c>
      <c r="G24" s="123">
        <v>2000</v>
      </c>
      <c r="H24" s="123">
        <v>2000</v>
      </c>
      <c r="I24" s="159">
        <f t="shared" si="0"/>
        <v>100</v>
      </c>
      <c r="J24" s="86"/>
    </row>
    <row r="25" spans="2:9" ht="12.75" customHeight="1">
      <c r="B25" s="14"/>
      <c r="C25" s="15"/>
      <c r="D25" s="15"/>
      <c r="E25" s="16">
        <v>613800</v>
      </c>
      <c r="F25" s="15" t="s">
        <v>177</v>
      </c>
      <c r="G25" s="123">
        <v>800</v>
      </c>
      <c r="H25" s="123">
        <v>800</v>
      </c>
      <c r="I25" s="159">
        <f t="shared" si="0"/>
        <v>100</v>
      </c>
    </row>
    <row r="26" spans="2:10" ht="12.75" customHeight="1">
      <c r="B26" s="14"/>
      <c r="C26" s="15"/>
      <c r="D26" s="15"/>
      <c r="E26" s="16">
        <v>613900</v>
      </c>
      <c r="F26" s="15" t="s">
        <v>178</v>
      </c>
      <c r="G26" s="123">
        <v>7000</v>
      </c>
      <c r="H26" s="123">
        <v>5000</v>
      </c>
      <c r="I26" s="159">
        <f t="shared" si="0"/>
        <v>71.42857142857143</v>
      </c>
      <c r="J26" s="86"/>
    </row>
    <row r="27" spans="2:9" ht="12.75" customHeight="1">
      <c r="B27" s="14"/>
      <c r="C27" s="15"/>
      <c r="D27" s="15"/>
      <c r="E27" s="16">
        <v>613900</v>
      </c>
      <c r="F27" s="26" t="s">
        <v>742</v>
      </c>
      <c r="G27" s="123">
        <v>5500</v>
      </c>
      <c r="H27" s="123">
        <v>3300</v>
      </c>
      <c r="I27" s="159">
        <f t="shared" si="0"/>
        <v>60</v>
      </c>
    </row>
    <row r="28" spans="2:9" s="1" customFormat="1" ht="12.75" customHeight="1">
      <c r="B28" s="17"/>
      <c r="C28" s="12"/>
      <c r="D28" s="12"/>
      <c r="E28" s="9"/>
      <c r="F28" s="12"/>
      <c r="G28" s="123"/>
      <c r="H28" s="123"/>
      <c r="I28" s="159">
        <f t="shared" si="0"/>
      </c>
    </row>
    <row r="29" spans="2:9" ht="12.75" customHeight="1">
      <c r="B29" s="14"/>
      <c r="C29" s="15"/>
      <c r="D29" s="31"/>
      <c r="E29" s="16"/>
      <c r="F29" s="30"/>
      <c r="G29" s="123"/>
      <c r="H29" s="123"/>
      <c r="I29" s="159">
        <f t="shared" si="0"/>
      </c>
    </row>
    <row r="30" spans="2:9" ht="12.75" customHeight="1">
      <c r="B30" s="14"/>
      <c r="C30" s="15"/>
      <c r="D30" s="15"/>
      <c r="E30" s="63"/>
      <c r="F30" s="30"/>
      <c r="G30" s="123"/>
      <c r="H30" s="123"/>
      <c r="I30" s="159">
        <f t="shared" si="0"/>
      </c>
    </row>
    <row r="31" spans="2:9" ht="12.75" customHeight="1">
      <c r="B31" s="14"/>
      <c r="C31" s="15"/>
      <c r="D31" s="15"/>
      <c r="E31" s="16"/>
      <c r="F31" s="15"/>
      <c r="G31" s="123"/>
      <c r="H31" s="123"/>
      <c r="I31" s="159">
        <f t="shared" si="0"/>
      </c>
    </row>
    <row r="32" spans="2:9" ht="12.75" customHeight="1">
      <c r="B32" s="14"/>
      <c r="C32" s="15"/>
      <c r="D32" s="15"/>
      <c r="E32" s="16"/>
      <c r="F32" s="15"/>
      <c r="G32" s="123"/>
      <c r="H32" s="123"/>
      <c r="I32" s="159">
        <f t="shared" si="0"/>
      </c>
    </row>
    <row r="33" spans="2:9" ht="12.75" customHeight="1">
      <c r="B33" s="14"/>
      <c r="C33" s="15"/>
      <c r="D33" s="15"/>
      <c r="E33" s="9"/>
      <c r="F33" s="12"/>
      <c r="G33" s="123"/>
      <c r="H33" s="123"/>
      <c r="I33" s="159">
        <f t="shared" si="0"/>
      </c>
    </row>
    <row r="34" spans="2:9" ht="12.75" customHeight="1">
      <c r="B34" s="14"/>
      <c r="C34" s="15"/>
      <c r="D34" s="15"/>
      <c r="E34" s="16"/>
      <c r="F34" s="26"/>
      <c r="G34" s="123"/>
      <c r="H34" s="123"/>
      <c r="I34" s="159">
        <f t="shared" si="0"/>
      </c>
    </row>
    <row r="35" spans="2:9" ht="12.75" customHeight="1">
      <c r="B35" s="14"/>
      <c r="C35" s="15"/>
      <c r="D35" s="15"/>
      <c r="E35" s="16"/>
      <c r="F35" s="15"/>
      <c r="G35" s="114"/>
      <c r="H35" s="114"/>
      <c r="I35" s="15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98</v>
      </c>
      <c r="G36" s="114">
        <f>SUM(G37:G39)</f>
        <v>1000</v>
      </c>
      <c r="H36" s="114">
        <f>SUM(H37:H39)</f>
        <v>17000</v>
      </c>
      <c r="I36" s="158">
        <f t="shared" si="0"/>
        <v>1700</v>
      </c>
    </row>
    <row r="37" spans="2:9" ht="12.75" customHeight="1">
      <c r="B37" s="14"/>
      <c r="C37" s="15"/>
      <c r="D37" s="15"/>
      <c r="E37" s="16">
        <v>821200</v>
      </c>
      <c r="F37" s="15" t="s">
        <v>99</v>
      </c>
      <c r="G37" s="123">
        <v>0</v>
      </c>
      <c r="H37" s="123">
        <v>0</v>
      </c>
      <c r="I37" s="159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100</v>
      </c>
      <c r="G38" s="123">
        <v>1000</v>
      </c>
      <c r="H38" s="123">
        <v>17000</v>
      </c>
      <c r="I38" s="159">
        <f t="shared" si="0"/>
        <v>1700</v>
      </c>
    </row>
    <row r="39" spans="2:9" ht="12.75" customHeight="1">
      <c r="B39" s="14"/>
      <c r="C39" s="15"/>
      <c r="D39" s="15"/>
      <c r="E39" s="16"/>
      <c r="F39" s="26"/>
      <c r="G39" s="123"/>
      <c r="H39" s="123"/>
      <c r="I39" s="159"/>
    </row>
    <row r="40" spans="2:9" ht="12.75" customHeight="1">
      <c r="B40" s="14"/>
      <c r="C40" s="15"/>
      <c r="D40" s="15"/>
      <c r="E40" s="16"/>
      <c r="F40" s="15"/>
      <c r="G40" s="123"/>
      <c r="H40" s="123"/>
      <c r="I40" s="159"/>
    </row>
    <row r="41" spans="2:9" s="1" customFormat="1" ht="12.75" customHeight="1">
      <c r="B41" s="17"/>
      <c r="C41" s="12"/>
      <c r="D41" s="12"/>
      <c r="E41" s="9"/>
      <c r="F41" s="12" t="s">
        <v>101</v>
      </c>
      <c r="G41" s="20">
        <v>12</v>
      </c>
      <c r="H41" s="20">
        <v>12</v>
      </c>
      <c r="I41" s="159"/>
    </row>
    <row r="42" spans="2:9" s="1" customFormat="1" ht="12.75" customHeight="1">
      <c r="B42" s="17"/>
      <c r="C42" s="12"/>
      <c r="D42" s="12"/>
      <c r="E42" s="9"/>
      <c r="F42" s="12" t="s">
        <v>122</v>
      </c>
      <c r="G42" s="20">
        <f>G7+G13+G17+G36</f>
        <v>380620</v>
      </c>
      <c r="H42" s="20">
        <f>H7+H13+H17+H36</f>
        <v>418510</v>
      </c>
      <c r="I42" s="158">
        <f>IF(G42=0,"",H42/G42*100)</f>
        <v>109.95481057222428</v>
      </c>
    </row>
    <row r="43" spans="2:9" s="1" customFormat="1" ht="12.75" customHeight="1">
      <c r="B43" s="17"/>
      <c r="C43" s="12"/>
      <c r="D43" s="12"/>
      <c r="E43" s="9"/>
      <c r="F43" s="12" t="s">
        <v>102</v>
      </c>
      <c r="G43" s="20">
        <f>G42</f>
        <v>380620</v>
      </c>
      <c r="H43" s="20">
        <f>H42</f>
        <v>418510</v>
      </c>
      <c r="I43" s="158">
        <f>IF(G43=0,"",H43/G43*100)</f>
        <v>109.95481057222428</v>
      </c>
    </row>
    <row r="44" spans="2:9" s="1" customFormat="1" ht="12.75" customHeight="1">
      <c r="B44" s="17"/>
      <c r="C44" s="12"/>
      <c r="D44" s="12"/>
      <c r="E44" s="9"/>
      <c r="F44" s="12" t="s">
        <v>103</v>
      </c>
      <c r="G44" s="20">
        <f>G43</f>
        <v>380620</v>
      </c>
      <c r="H44" s="20">
        <f>H43</f>
        <v>418510</v>
      </c>
      <c r="I44" s="158">
        <f>IF(G44=0,"",H44/G44*100)</f>
        <v>109.95481057222428</v>
      </c>
    </row>
    <row r="45" spans="2:9" ht="12.75" customHeight="1" thickBot="1">
      <c r="B45" s="21"/>
      <c r="C45" s="22"/>
      <c r="D45" s="22"/>
      <c r="E45" s="23"/>
      <c r="F45" s="22"/>
      <c r="G45" s="50"/>
      <c r="H45" s="47"/>
      <c r="I45" s="162"/>
    </row>
    <row r="47" ht="12.75">
      <c r="B47" s="86"/>
    </row>
  </sheetData>
  <sheetProtection/>
  <mergeCells count="2">
    <mergeCell ref="B2:G2"/>
    <mergeCell ref="F3:G3"/>
  </mergeCells>
  <printOptions/>
  <pageMargins left="0.2755905511811024" right="0.2755905511811024" top="0.5905511811023623" bottom="0.55" header="0.5118110236220472" footer="0.5118110236220472"/>
  <pageSetup fitToHeight="1" fitToWidth="1" horizontalDpi="180" verticalDpi="180" orientation="portrait" paperSize="9" scale="88" r:id="rId1"/>
  <headerFooter alignWithMargins="0">
    <oddFooter>&amp;R45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C28">
      <selection activeCell="L47" sqref="L47"/>
    </sheetView>
  </sheetViews>
  <sheetFormatPr defaultColWidth="9.140625" defaultRowHeight="12.75"/>
  <cols>
    <col min="1" max="1" width="11.8515625" style="58" customWidth="1"/>
    <col min="2" max="2" width="82.28125" style="0" customWidth="1"/>
    <col min="3" max="11" width="10.7109375" style="0" customWidth="1"/>
    <col min="12" max="12" width="11.421875" style="71" customWidth="1"/>
  </cols>
  <sheetData>
    <row r="2" spans="1:12" ht="15.75">
      <c r="A2" s="412" t="s">
        <v>617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4" spans="1:12" s="71" customFormat="1" ht="51">
      <c r="A4" s="331" t="s">
        <v>541</v>
      </c>
      <c r="B4" s="332" t="s">
        <v>560</v>
      </c>
      <c r="C4" s="331" t="s">
        <v>553</v>
      </c>
      <c r="D4" s="331" t="s">
        <v>554</v>
      </c>
      <c r="E4" s="331" t="s">
        <v>561</v>
      </c>
      <c r="F4" s="331" t="s">
        <v>562</v>
      </c>
      <c r="G4" s="331" t="s">
        <v>555</v>
      </c>
      <c r="H4" s="331" t="s">
        <v>556</v>
      </c>
      <c r="I4" s="331" t="s">
        <v>557</v>
      </c>
      <c r="J4" s="331" t="s">
        <v>563</v>
      </c>
      <c r="K4" s="331" t="s">
        <v>558</v>
      </c>
      <c r="L4" s="331" t="s">
        <v>559</v>
      </c>
    </row>
    <row r="5" spans="1:12" ht="15.75" customHeight="1">
      <c r="A5" s="325">
        <v>10010001</v>
      </c>
      <c r="B5" s="30" t="s">
        <v>260</v>
      </c>
      <c r="C5" s="323">
        <f>1!H8</f>
        <v>269700</v>
      </c>
      <c r="D5" s="323">
        <f>1!H9+1!H10</f>
        <v>73650</v>
      </c>
      <c r="E5" s="323">
        <f>1!H12</f>
        <v>28610</v>
      </c>
      <c r="F5" s="323">
        <f>1!H16</f>
        <v>267850</v>
      </c>
      <c r="G5" s="323">
        <f>1!H28</f>
        <v>0</v>
      </c>
      <c r="H5" s="323">
        <v>0</v>
      </c>
      <c r="I5" s="30">
        <v>0</v>
      </c>
      <c r="J5" s="323">
        <f>1!H36</f>
        <v>4000</v>
      </c>
      <c r="K5" s="30">
        <v>0</v>
      </c>
      <c r="L5" s="324">
        <f>SUM(C5:K5)</f>
        <v>643810</v>
      </c>
    </row>
    <row r="6" spans="1:12" ht="15.75" customHeight="1">
      <c r="A6" s="325">
        <v>10010002</v>
      </c>
      <c r="B6" s="30" t="s">
        <v>542</v>
      </c>
      <c r="C6" s="323">
        <f>2!H8</f>
        <v>53000</v>
      </c>
      <c r="D6" s="323">
        <f>2!H9+2!H10</f>
        <v>14300</v>
      </c>
      <c r="E6" s="323">
        <f>2!H13</f>
        <v>5720</v>
      </c>
      <c r="F6" s="323">
        <f>2!H17</f>
        <v>1050</v>
      </c>
      <c r="G6" s="30">
        <v>0</v>
      </c>
      <c r="H6" s="30">
        <v>0</v>
      </c>
      <c r="I6" s="30">
        <v>0</v>
      </c>
      <c r="J6" s="323">
        <f>2!H36</f>
        <v>0</v>
      </c>
      <c r="K6" s="30">
        <v>0</v>
      </c>
      <c r="L6" s="324">
        <f aca="true" t="shared" si="0" ref="L6:L41">SUM(C6:K6)</f>
        <v>74070</v>
      </c>
    </row>
    <row r="7" spans="1:12" ht="15.75" customHeight="1">
      <c r="A7" s="325">
        <v>11010001</v>
      </c>
      <c r="B7" s="30" t="s">
        <v>261</v>
      </c>
      <c r="C7" s="323">
        <f>3!H13</f>
        <v>137500</v>
      </c>
      <c r="D7" s="323">
        <f>3!H14+3!H15</f>
        <v>29600</v>
      </c>
      <c r="E7" s="323">
        <f>3!H18</f>
        <v>14700</v>
      </c>
      <c r="F7" s="323">
        <f>3!H22</f>
        <v>219730</v>
      </c>
      <c r="G7" s="323">
        <f>3!H35</f>
        <v>875000</v>
      </c>
      <c r="H7" s="323">
        <f>3!H47</f>
        <v>400000</v>
      </c>
      <c r="I7" s="30">
        <v>0</v>
      </c>
      <c r="J7" s="323">
        <f>3!H50</f>
        <v>80000</v>
      </c>
      <c r="K7" s="30">
        <v>0</v>
      </c>
      <c r="L7" s="324">
        <f t="shared" si="0"/>
        <v>1756530</v>
      </c>
    </row>
    <row r="8" spans="1:12" ht="15.75" customHeight="1">
      <c r="A8" s="325">
        <v>11010002</v>
      </c>
      <c r="B8" s="30" t="s">
        <v>262</v>
      </c>
      <c r="C8" s="323">
        <f>4!H8</f>
        <v>25180</v>
      </c>
      <c r="D8" s="323">
        <f>4!H9+4!H10</f>
        <v>7400</v>
      </c>
      <c r="E8" s="323">
        <f>4!H13</f>
        <v>2930</v>
      </c>
      <c r="F8" s="323">
        <f>4!H17</f>
        <v>18700</v>
      </c>
      <c r="G8" s="323">
        <f>4!H29</f>
        <v>12000</v>
      </c>
      <c r="H8" s="30">
        <v>0</v>
      </c>
      <c r="I8" s="30">
        <v>0</v>
      </c>
      <c r="J8" s="323">
        <f>4!H37</f>
        <v>1000</v>
      </c>
      <c r="K8" s="30">
        <v>0</v>
      </c>
      <c r="L8" s="324">
        <f t="shared" si="0"/>
        <v>67210</v>
      </c>
    </row>
    <row r="9" spans="1:12" ht="15.75" customHeight="1">
      <c r="A9" s="325">
        <v>11010003</v>
      </c>
      <c r="B9" s="30" t="s">
        <v>263</v>
      </c>
      <c r="C9" s="323">
        <f>5!H8</f>
        <v>27800</v>
      </c>
      <c r="D9" s="323">
        <f>5!H9+5!H10</f>
        <v>2800</v>
      </c>
      <c r="E9" s="323">
        <f>5!H13</f>
        <v>3100</v>
      </c>
      <c r="F9" s="323">
        <f>5!H17</f>
        <v>1800</v>
      </c>
      <c r="G9" s="30">
        <v>0</v>
      </c>
      <c r="H9" s="30">
        <v>0</v>
      </c>
      <c r="I9" s="30">
        <v>0</v>
      </c>
      <c r="J9" s="323">
        <f>5!H36</f>
        <v>0</v>
      </c>
      <c r="K9" s="30">
        <v>0</v>
      </c>
      <c r="L9" s="324">
        <f t="shared" si="0"/>
        <v>35500</v>
      </c>
    </row>
    <row r="10" spans="1:12" ht="15.75" customHeight="1">
      <c r="A10" s="325">
        <v>11010004</v>
      </c>
      <c r="B10" s="30" t="s">
        <v>265</v>
      </c>
      <c r="C10" s="323">
        <f>6!H8</f>
        <v>61200</v>
      </c>
      <c r="D10" s="323">
        <f>6!H9+6!H10</f>
        <v>13600</v>
      </c>
      <c r="E10" s="323">
        <f>6!H13</f>
        <v>6800</v>
      </c>
      <c r="F10" s="323">
        <f>6!H17</f>
        <v>19600</v>
      </c>
      <c r="G10" s="30">
        <v>0</v>
      </c>
      <c r="H10" s="30">
        <v>0</v>
      </c>
      <c r="I10" s="30">
        <v>0</v>
      </c>
      <c r="J10" s="323">
        <f>6!H36</f>
        <v>800</v>
      </c>
      <c r="K10" s="30">
        <v>0</v>
      </c>
      <c r="L10" s="324">
        <f t="shared" si="0"/>
        <v>102000</v>
      </c>
    </row>
    <row r="11" spans="1:12" ht="15.75" customHeight="1">
      <c r="A11" s="325">
        <v>11010005</v>
      </c>
      <c r="B11" s="30" t="s">
        <v>357</v>
      </c>
      <c r="C11" s="323">
        <f>7!H8</f>
        <v>81000</v>
      </c>
      <c r="D11" s="323">
        <f>7!H9+7!H10</f>
        <v>54700</v>
      </c>
      <c r="E11" s="323">
        <f>7!H13</f>
        <v>8800</v>
      </c>
      <c r="F11" s="323">
        <f>7!H17</f>
        <v>14700</v>
      </c>
      <c r="G11" s="30">
        <v>0</v>
      </c>
      <c r="H11" s="30">
        <v>0</v>
      </c>
      <c r="I11" s="30">
        <v>0</v>
      </c>
      <c r="J11" s="323">
        <f>7!H36</f>
        <v>4000</v>
      </c>
      <c r="K11" s="30">
        <v>0</v>
      </c>
      <c r="L11" s="324">
        <f t="shared" si="0"/>
        <v>163200</v>
      </c>
    </row>
    <row r="12" spans="1:12" ht="15.75" customHeight="1">
      <c r="A12" s="325">
        <v>12010001</v>
      </c>
      <c r="B12" s="30" t="s">
        <v>266</v>
      </c>
      <c r="C12" s="323">
        <f>8!H8</f>
        <v>162700</v>
      </c>
      <c r="D12" s="323">
        <f>8!H9+8!H10</f>
        <v>72200</v>
      </c>
      <c r="E12" s="323">
        <f>8!H13</f>
        <v>17400</v>
      </c>
      <c r="F12" s="323">
        <f>8!H17</f>
        <v>400300</v>
      </c>
      <c r="G12" s="30">
        <v>0</v>
      </c>
      <c r="H12" s="30">
        <v>0</v>
      </c>
      <c r="I12" s="30">
        <v>0</v>
      </c>
      <c r="J12" s="323">
        <f>8!H36</f>
        <v>80000</v>
      </c>
      <c r="K12" s="30">
        <v>0</v>
      </c>
      <c r="L12" s="324">
        <f t="shared" si="0"/>
        <v>732600</v>
      </c>
    </row>
    <row r="13" spans="1:12" ht="15.75" customHeight="1">
      <c r="A13" s="325">
        <v>13010001</v>
      </c>
      <c r="B13" s="30" t="s">
        <v>540</v>
      </c>
      <c r="C13" s="323">
        <f>9!H8</f>
        <v>3542730</v>
      </c>
      <c r="D13" s="323">
        <f>9!H9+9!H10</f>
        <v>980680</v>
      </c>
      <c r="E13" s="323">
        <f>9!H13</f>
        <v>537550</v>
      </c>
      <c r="F13" s="323">
        <f>9!H17</f>
        <v>883700</v>
      </c>
      <c r="G13" s="30">
        <v>0</v>
      </c>
      <c r="H13" s="30">
        <v>0</v>
      </c>
      <c r="I13" s="30">
        <v>0</v>
      </c>
      <c r="J13" s="323">
        <f>9!H36</f>
        <v>150000</v>
      </c>
      <c r="K13" s="30">
        <v>0</v>
      </c>
      <c r="L13" s="324">
        <f t="shared" si="0"/>
        <v>6094660</v>
      </c>
    </row>
    <row r="14" spans="1:12" ht="15.75" customHeight="1">
      <c r="A14" s="325">
        <v>14010001</v>
      </c>
      <c r="B14" s="30" t="s">
        <v>268</v>
      </c>
      <c r="C14" s="323">
        <f>'10'!H8</f>
        <v>62280</v>
      </c>
      <c r="D14" s="323">
        <f>'10'!H9+'10'!H10</f>
        <v>11400</v>
      </c>
      <c r="E14" s="323">
        <f>'10'!H13</f>
        <v>6830</v>
      </c>
      <c r="F14" s="323">
        <f>'10'!H17</f>
        <v>30100</v>
      </c>
      <c r="G14" s="30">
        <v>0</v>
      </c>
      <c r="H14" s="30">
        <v>0</v>
      </c>
      <c r="I14" s="30">
        <v>0</v>
      </c>
      <c r="J14" s="323">
        <f>'10'!H36</f>
        <v>2000</v>
      </c>
      <c r="K14" s="30">
        <v>0</v>
      </c>
      <c r="L14" s="324">
        <f t="shared" si="0"/>
        <v>112610</v>
      </c>
    </row>
    <row r="15" spans="1:12" ht="15.75" customHeight="1">
      <c r="A15" s="325">
        <v>14020003</v>
      </c>
      <c r="B15" s="30" t="s">
        <v>269</v>
      </c>
      <c r="C15" s="323">
        <f>'11'!H8</f>
        <v>948150</v>
      </c>
      <c r="D15" s="323">
        <f>'11'!H9+'11'!H10</f>
        <v>217600</v>
      </c>
      <c r="E15" s="323">
        <f>'11'!H13</f>
        <v>99810</v>
      </c>
      <c r="F15" s="323">
        <f>'11'!H17</f>
        <v>332800</v>
      </c>
      <c r="G15" s="30">
        <v>0</v>
      </c>
      <c r="H15" s="30">
        <v>0</v>
      </c>
      <c r="I15" s="30">
        <v>0</v>
      </c>
      <c r="J15" s="323">
        <f>'11'!H36</f>
        <v>5000</v>
      </c>
      <c r="K15" s="30">
        <v>0</v>
      </c>
      <c r="L15" s="324">
        <f t="shared" si="0"/>
        <v>1603360</v>
      </c>
    </row>
    <row r="16" spans="1:12" ht="15.75" customHeight="1">
      <c r="A16" s="325">
        <v>14050001</v>
      </c>
      <c r="B16" s="30" t="s">
        <v>270</v>
      </c>
      <c r="C16" s="323">
        <f>'12'!H8</f>
        <v>26400</v>
      </c>
      <c r="D16" s="323">
        <f>'12'!H9+'12'!H10</f>
        <v>6800</v>
      </c>
      <c r="E16" s="323">
        <f>'12'!H13</f>
        <v>3000</v>
      </c>
      <c r="F16" s="323">
        <f>'12'!H17</f>
        <v>6350</v>
      </c>
      <c r="G16" s="30">
        <v>0</v>
      </c>
      <c r="H16" s="30">
        <v>0</v>
      </c>
      <c r="I16" s="30">
        <v>0</v>
      </c>
      <c r="J16" s="323">
        <f>'12'!H36</f>
        <v>500</v>
      </c>
      <c r="K16" s="30">
        <v>0</v>
      </c>
      <c r="L16" s="324">
        <f t="shared" si="0"/>
        <v>43050</v>
      </c>
    </row>
    <row r="17" spans="1:12" ht="15.75" customHeight="1">
      <c r="A17" s="325">
        <v>14050002</v>
      </c>
      <c r="B17" s="30" t="s">
        <v>271</v>
      </c>
      <c r="C17" s="323">
        <f>'13'!H8</f>
        <v>35800</v>
      </c>
      <c r="D17" s="323">
        <f>'13'!H9+'13'!H10</f>
        <v>7900</v>
      </c>
      <c r="E17" s="323">
        <f>'13'!H13</f>
        <v>4100</v>
      </c>
      <c r="F17" s="323">
        <f>'13'!H17</f>
        <v>6050</v>
      </c>
      <c r="G17" s="30">
        <v>0</v>
      </c>
      <c r="H17" s="30">
        <v>0</v>
      </c>
      <c r="I17" s="30">
        <v>0</v>
      </c>
      <c r="J17" s="323">
        <f>'13'!H36</f>
        <v>1000</v>
      </c>
      <c r="K17" s="30">
        <v>0</v>
      </c>
      <c r="L17" s="324">
        <f t="shared" si="0"/>
        <v>54850</v>
      </c>
    </row>
    <row r="18" spans="1:12" ht="15.75" customHeight="1">
      <c r="A18" s="325">
        <v>14060001</v>
      </c>
      <c r="B18" s="30" t="s">
        <v>272</v>
      </c>
      <c r="C18" s="323">
        <f>'14'!H8</f>
        <v>49400</v>
      </c>
      <c r="D18" s="323">
        <f>'14'!H9+'14'!H10</f>
        <v>10100</v>
      </c>
      <c r="E18" s="323">
        <f>'14'!H13</f>
        <v>5500</v>
      </c>
      <c r="F18" s="323">
        <f>'14'!H17</f>
        <v>9100</v>
      </c>
      <c r="G18" s="30">
        <v>0</v>
      </c>
      <c r="H18" s="30">
        <v>0</v>
      </c>
      <c r="I18" s="30">
        <v>0</v>
      </c>
      <c r="J18" s="323">
        <f>'14'!H36</f>
        <v>0</v>
      </c>
      <c r="K18" s="30">
        <v>0</v>
      </c>
      <c r="L18" s="324">
        <f t="shared" si="0"/>
        <v>74100</v>
      </c>
    </row>
    <row r="19" spans="1:12" ht="15.75" customHeight="1">
      <c r="A19" s="325">
        <v>15010001</v>
      </c>
      <c r="B19" s="30" t="s">
        <v>273</v>
      </c>
      <c r="C19" s="323">
        <f>'15'!H8</f>
        <v>135200</v>
      </c>
      <c r="D19" s="323">
        <f>'15'!H9+'15'!H10</f>
        <v>37600</v>
      </c>
      <c r="E19" s="323">
        <f>'15'!H13</f>
        <v>14600</v>
      </c>
      <c r="F19" s="323">
        <f>'15'!H17</f>
        <v>36000</v>
      </c>
      <c r="G19" s="323">
        <f>'15'!H30</f>
        <v>600000</v>
      </c>
      <c r="H19" s="30">
        <v>0</v>
      </c>
      <c r="I19" s="30">
        <v>0</v>
      </c>
      <c r="J19" s="323">
        <f>'15'!H33</f>
        <v>1500</v>
      </c>
      <c r="K19" s="30">
        <v>0</v>
      </c>
      <c r="L19" s="324">
        <f t="shared" si="0"/>
        <v>824900</v>
      </c>
    </row>
    <row r="20" spans="1:12" ht="15.75" customHeight="1">
      <c r="A20" s="325">
        <v>16010001</v>
      </c>
      <c r="B20" s="30" t="s">
        <v>274</v>
      </c>
      <c r="C20" s="323">
        <f>'16'!H11</f>
        <v>267280</v>
      </c>
      <c r="D20" s="323">
        <f>'16'!H12+'16'!H13</f>
        <v>74800</v>
      </c>
      <c r="E20" s="323">
        <f>'16'!H16</f>
        <v>28540</v>
      </c>
      <c r="F20" s="323">
        <f>'16'!H20</f>
        <v>128500</v>
      </c>
      <c r="G20" s="323">
        <f>'16'!H33</f>
        <v>676000</v>
      </c>
      <c r="H20" s="30">
        <v>0</v>
      </c>
      <c r="I20" s="323">
        <f>'16'!H38</f>
        <v>95300</v>
      </c>
      <c r="J20" s="323">
        <f>'16'!H43</f>
        <v>2500</v>
      </c>
      <c r="K20" s="323">
        <f>'16'!H47</f>
        <v>1384650</v>
      </c>
      <c r="L20" s="324">
        <f t="shared" si="0"/>
        <v>2657570</v>
      </c>
    </row>
    <row r="21" spans="1:12" ht="15.75" customHeight="1">
      <c r="A21" s="325">
        <v>17010001</v>
      </c>
      <c r="B21" s="30" t="s">
        <v>275</v>
      </c>
      <c r="C21" s="323">
        <f>'17'!H8</f>
        <v>161800</v>
      </c>
      <c r="D21" s="323">
        <f>'17'!H9+'17'!H10</f>
        <v>83700</v>
      </c>
      <c r="E21" s="323">
        <f>'17'!H13</f>
        <v>17500</v>
      </c>
      <c r="F21" s="323">
        <f>'17'!H17</f>
        <v>115700</v>
      </c>
      <c r="G21" s="323">
        <f>'17'!H29</f>
        <v>2380000</v>
      </c>
      <c r="H21" s="323">
        <f>'17'!H33</f>
        <v>0</v>
      </c>
      <c r="I21" s="30">
        <v>0</v>
      </c>
      <c r="J21" s="323">
        <f>'17'!H36</f>
        <v>1500</v>
      </c>
      <c r="K21" s="30">
        <v>0</v>
      </c>
      <c r="L21" s="324">
        <f t="shared" si="0"/>
        <v>2760200</v>
      </c>
    </row>
    <row r="22" spans="1:12" ht="15.75" customHeight="1">
      <c r="A22" s="325">
        <v>18010001</v>
      </c>
      <c r="B22" s="30" t="s">
        <v>276</v>
      </c>
      <c r="C22" s="323">
        <f>'18'!H8</f>
        <v>174600</v>
      </c>
      <c r="D22" s="323">
        <f>'18'!H9+'18'!H10</f>
        <v>43600</v>
      </c>
      <c r="E22" s="323">
        <f>'18'!H13</f>
        <v>18900</v>
      </c>
      <c r="F22" s="323">
        <f>'18'!H17</f>
        <v>474400</v>
      </c>
      <c r="G22" s="323">
        <f>'18'!H30</f>
        <v>110000</v>
      </c>
      <c r="H22" s="30">
        <v>0</v>
      </c>
      <c r="I22" s="30">
        <v>0</v>
      </c>
      <c r="J22" s="323">
        <f>'18'!H37</f>
        <v>852000</v>
      </c>
      <c r="K22" s="30">
        <v>0</v>
      </c>
      <c r="L22" s="324">
        <f t="shared" si="0"/>
        <v>1673500</v>
      </c>
    </row>
    <row r="23" spans="1:12" ht="15.75" customHeight="1">
      <c r="A23" s="325">
        <v>19010001</v>
      </c>
      <c r="B23" s="30" t="s">
        <v>277</v>
      </c>
      <c r="C23" s="323">
        <f>'19'!H8</f>
        <v>398400</v>
      </c>
      <c r="D23" s="323">
        <f>'19'!H9+'19'!H10</f>
        <v>120930</v>
      </c>
      <c r="E23" s="323">
        <f>'19'!H13</f>
        <v>42360</v>
      </c>
      <c r="F23" s="323">
        <f>'19'!H17</f>
        <v>92500</v>
      </c>
      <c r="G23" s="323">
        <f>'19'!H29</f>
        <v>2100000</v>
      </c>
      <c r="H23" s="30">
        <v>0</v>
      </c>
      <c r="I23" s="30">
        <v>0</v>
      </c>
      <c r="J23" s="323">
        <f>'19'!H35</f>
        <v>20000</v>
      </c>
      <c r="K23" s="30">
        <v>0</v>
      </c>
      <c r="L23" s="324">
        <f t="shared" si="0"/>
        <v>2774190</v>
      </c>
    </row>
    <row r="24" spans="1:12" ht="15.75" customHeight="1">
      <c r="A24" s="325">
        <v>20010001</v>
      </c>
      <c r="B24" s="30" t="s">
        <v>278</v>
      </c>
      <c r="C24" s="323">
        <f>'20'!H8</f>
        <v>215600</v>
      </c>
      <c r="D24" s="323">
        <f>'20'!H9+'20'!H10</f>
        <v>54200</v>
      </c>
      <c r="E24" s="323">
        <f>'20'!H13</f>
        <v>23150</v>
      </c>
      <c r="F24" s="323">
        <f>'20'!H17</f>
        <v>117100</v>
      </c>
      <c r="G24" s="323">
        <f>'20'!H31</f>
        <v>1060000</v>
      </c>
      <c r="H24" s="323">
        <f>'20'!H40</f>
        <v>0</v>
      </c>
      <c r="I24" s="323">
        <f>'20'!H43</f>
        <v>13100</v>
      </c>
      <c r="J24" s="323">
        <f>'20'!H46</f>
        <v>1000</v>
      </c>
      <c r="K24" s="323">
        <f>'20'!H50</f>
        <v>77100</v>
      </c>
      <c r="L24" s="324">
        <f t="shared" si="0"/>
        <v>1561250</v>
      </c>
    </row>
    <row r="25" spans="1:12" ht="15.75" customHeight="1">
      <c r="A25" s="325">
        <v>20020002</v>
      </c>
      <c r="B25" s="30" t="s">
        <v>543</v>
      </c>
      <c r="C25" s="323">
        <f>'21'!H8</f>
        <v>890710</v>
      </c>
      <c r="D25" s="323">
        <f>'21'!H9+'21'!H10</f>
        <v>217670</v>
      </c>
      <c r="E25" s="323">
        <f>'21'!H13</f>
        <v>93100</v>
      </c>
      <c r="F25" s="323">
        <f>'21'!H17</f>
        <v>179900</v>
      </c>
      <c r="G25" s="30">
        <v>0</v>
      </c>
      <c r="H25" s="30">
        <v>0</v>
      </c>
      <c r="I25" s="30">
        <v>0</v>
      </c>
      <c r="J25" s="323">
        <f>'21'!H36</f>
        <v>6000</v>
      </c>
      <c r="K25" s="30">
        <v>0</v>
      </c>
      <c r="L25" s="324">
        <f t="shared" si="0"/>
        <v>1387380</v>
      </c>
    </row>
    <row r="26" spans="1:12" ht="15.75" customHeight="1">
      <c r="A26" s="325">
        <v>20020003</v>
      </c>
      <c r="B26" s="30" t="s">
        <v>544</v>
      </c>
      <c r="C26" s="323">
        <f>'22'!H8</f>
        <v>866200</v>
      </c>
      <c r="D26" s="323">
        <f>'22'!H9+'22'!H10</f>
        <v>220350</v>
      </c>
      <c r="E26" s="323">
        <f>'22'!H13</f>
        <v>91500</v>
      </c>
      <c r="F26" s="323">
        <f>'22'!H17</f>
        <v>147400</v>
      </c>
      <c r="G26" s="30">
        <v>0</v>
      </c>
      <c r="H26" s="30">
        <v>0</v>
      </c>
      <c r="I26" s="30">
        <v>0</v>
      </c>
      <c r="J26" s="323">
        <f>'22'!H36</f>
        <v>5000</v>
      </c>
      <c r="K26" s="30">
        <v>0</v>
      </c>
      <c r="L26" s="324">
        <f t="shared" si="0"/>
        <v>1330450</v>
      </c>
    </row>
    <row r="27" spans="1:12" ht="15.75" customHeight="1">
      <c r="A27" s="325">
        <v>20020004</v>
      </c>
      <c r="B27" s="30" t="s">
        <v>545</v>
      </c>
      <c r="C27" s="323">
        <f>'23'!H8</f>
        <v>674440</v>
      </c>
      <c r="D27" s="323">
        <f>'23'!H9+'23'!H10</f>
        <v>183940</v>
      </c>
      <c r="E27" s="323">
        <f>'23'!H13</f>
        <v>71100</v>
      </c>
      <c r="F27" s="323">
        <f>'23'!H17</f>
        <v>154600</v>
      </c>
      <c r="G27" s="30">
        <v>0</v>
      </c>
      <c r="H27" s="30">
        <v>0</v>
      </c>
      <c r="I27" s="30">
        <v>0</v>
      </c>
      <c r="J27" s="323">
        <f>'23'!H36</f>
        <v>4500</v>
      </c>
      <c r="K27" s="30">
        <v>0</v>
      </c>
      <c r="L27" s="324">
        <f t="shared" si="0"/>
        <v>1088580</v>
      </c>
    </row>
    <row r="28" spans="1:12" ht="15.75" customHeight="1">
      <c r="A28" s="325">
        <v>20030001</v>
      </c>
      <c r="B28" s="30" t="s">
        <v>546</v>
      </c>
      <c r="C28" s="323">
        <f>'24'!H8</f>
        <v>778500</v>
      </c>
      <c r="D28" s="323">
        <f>'24'!H9+'24'!H10</f>
        <v>201880</v>
      </c>
      <c r="E28" s="323">
        <f>'24'!H13</f>
        <v>81700</v>
      </c>
      <c r="F28" s="323">
        <f>'24'!H17</f>
        <v>119500</v>
      </c>
      <c r="G28" s="30">
        <v>0</v>
      </c>
      <c r="H28" s="30">
        <v>0</v>
      </c>
      <c r="I28" s="30">
        <v>0</v>
      </c>
      <c r="J28" s="323">
        <f>'24'!H36</f>
        <v>6000</v>
      </c>
      <c r="K28" s="30">
        <v>0</v>
      </c>
      <c r="L28" s="324">
        <f t="shared" si="0"/>
        <v>1187580</v>
      </c>
    </row>
    <row r="29" spans="1:12" ht="15.75" customHeight="1">
      <c r="A29" s="325">
        <v>20030002</v>
      </c>
      <c r="B29" s="30" t="s">
        <v>547</v>
      </c>
      <c r="C29" s="323">
        <f>'25'!H8</f>
        <v>1641610</v>
      </c>
      <c r="D29" s="323">
        <f>'25'!H9+'25'!H10</f>
        <v>401100</v>
      </c>
      <c r="E29" s="323">
        <f>'25'!H13</f>
        <v>172500</v>
      </c>
      <c r="F29" s="323">
        <f>'25'!H17</f>
        <v>236400</v>
      </c>
      <c r="G29" s="30">
        <v>0</v>
      </c>
      <c r="H29" s="30">
        <v>0</v>
      </c>
      <c r="I29" s="30">
        <v>0</v>
      </c>
      <c r="J29" s="323">
        <f>'25'!H36</f>
        <v>30000</v>
      </c>
      <c r="K29" s="30">
        <v>0</v>
      </c>
      <c r="L29" s="324">
        <f t="shared" si="0"/>
        <v>2481610</v>
      </c>
    </row>
    <row r="30" spans="1:12" ht="15.75" customHeight="1">
      <c r="A30" s="325">
        <v>20030003</v>
      </c>
      <c r="B30" s="30" t="s">
        <v>548</v>
      </c>
      <c r="C30" s="323">
        <f>'26'!H8</f>
        <v>469200</v>
      </c>
      <c r="D30" s="323">
        <f>'26'!H9+'26'!H10</f>
        <v>119530</v>
      </c>
      <c r="E30" s="323">
        <f>'26'!H13</f>
        <v>49600</v>
      </c>
      <c r="F30" s="323">
        <f>'26'!H17</f>
        <v>58900</v>
      </c>
      <c r="G30" s="30">
        <v>0</v>
      </c>
      <c r="H30" s="30">
        <v>0</v>
      </c>
      <c r="I30" s="30">
        <v>0</v>
      </c>
      <c r="J30" s="323">
        <f>'26'!H36</f>
        <v>0</v>
      </c>
      <c r="K30" s="30">
        <v>0</v>
      </c>
      <c r="L30" s="324">
        <f t="shared" si="0"/>
        <v>697230</v>
      </c>
    </row>
    <row r="31" spans="1:12" ht="15.75" customHeight="1">
      <c r="A31" s="325">
        <v>20030004</v>
      </c>
      <c r="B31" s="30" t="s">
        <v>549</v>
      </c>
      <c r="C31" s="323">
        <f>'27'!H8</f>
        <v>601200</v>
      </c>
      <c r="D31" s="323">
        <f>'27'!H9+'27'!H10</f>
        <v>156650</v>
      </c>
      <c r="E31" s="323">
        <f>'27'!H13</f>
        <v>63500</v>
      </c>
      <c r="F31" s="323">
        <f>'27'!H17</f>
        <v>64150</v>
      </c>
      <c r="G31" s="30">
        <v>0</v>
      </c>
      <c r="H31" s="30">
        <v>0</v>
      </c>
      <c r="I31" s="30">
        <v>0</v>
      </c>
      <c r="J31" s="323">
        <f>'27'!H36</f>
        <v>0</v>
      </c>
      <c r="K31" s="30">
        <v>0</v>
      </c>
      <c r="L31" s="324">
        <f t="shared" si="0"/>
        <v>885500</v>
      </c>
    </row>
    <row r="32" spans="1:12" ht="15.75" customHeight="1">
      <c r="A32" s="325">
        <v>20030005</v>
      </c>
      <c r="B32" s="30" t="s">
        <v>550</v>
      </c>
      <c r="C32" s="323">
        <f>'28'!H8</f>
        <v>636500</v>
      </c>
      <c r="D32" s="323">
        <f>'28'!H9+'28'!H10</f>
        <v>168360</v>
      </c>
      <c r="E32" s="323">
        <f>'28'!H13</f>
        <v>67300</v>
      </c>
      <c r="F32" s="323">
        <f>'28'!H17</f>
        <v>103800</v>
      </c>
      <c r="G32" s="30">
        <v>0</v>
      </c>
      <c r="H32" s="30">
        <v>0</v>
      </c>
      <c r="I32" s="30">
        <v>0</v>
      </c>
      <c r="J32" s="323">
        <f>'28'!H36</f>
        <v>45000</v>
      </c>
      <c r="K32" s="30">
        <v>0</v>
      </c>
      <c r="L32" s="324">
        <f t="shared" si="0"/>
        <v>1020960</v>
      </c>
    </row>
    <row r="33" spans="1:12" ht="15.75" customHeight="1">
      <c r="A33" s="325">
        <v>20030006</v>
      </c>
      <c r="B33" s="30" t="s">
        <v>551</v>
      </c>
      <c r="C33" s="323">
        <f>'29'!H8</f>
        <v>297500</v>
      </c>
      <c r="D33" s="323">
        <f>'29'!H9+'29'!H10</f>
        <v>84000</v>
      </c>
      <c r="E33" s="323">
        <f>'29'!H13</f>
        <v>31700</v>
      </c>
      <c r="F33" s="323">
        <f>'29'!H17</f>
        <v>52600</v>
      </c>
      <c r="G33" s="30">
        <v>0</v>
      </c>
      <c r="H33" s="30">
        <v>0</v>
      </c>
      <c r="I33" s="30">
        <v>0</v>
      </c>
      <c r="J33" s="323">
        <f>'29'!H36</f>
        <v>10000</v>
      </c>
      <c r="K33" s="30">
        <v>0</v>
      </c>
      <c r="L33" s="324">
        <f t="shared" si="0"/>
        <v>475800</v>
      </c>
    </row>
    <row r="34" spans="1:12" ht="15.75" customHeight="1">
      <c r="A34" s="325">
        <v>20030007</v>
      </c>
      <c r="B34" s="30" t="s">
        <v>552</v>
      </c>
      <c r="C34" s="323">
        <f>'30'!H8</f>
        <v>534200</v>
      </c>
      <c r="D34" s="323">
        <f>'30'!H9+'30'!H10</f>
        <v>155400</v>
      </c>
      <c r="E34" s="323">
        <f>'30'!H13</f>
        <v>56340</v>
      </c>
      <c r="F34" s="323">
        <f>'30'!H17</f>
        <v>72300</v>
      </c>
      <c r="G34" s="30">
        <v>0</v>
      </c>
      <c r="H34" s="30">
        <v>0</v>
      </c>
      <c r="I34" s="30">
        <v>0</v>
      </c>
      <c r="J34" s="323">
        <f>'30'!H36</f>
        <v>12630</v>
      </c>
      <c r="K34" s="30">
        <v>0</v>
      </c>
      <c r="L34" s="324">
        <f t="shared" si="0"/>
        <v>830870</v>
      </c>
    </row>
    <row r="35" spans="1:12" ht="15.75" customHeight="1">
      <c r="A35" s="325">
        <v>21010001</v>
      </c>
      <c r="B35" s="30" t="s">
        <v>288</v>
      </c>
      <c r="C35" s="323">
        <f>'31'!H8</f>
        <v>176850</v>
      </c>
      <c r="D35" s="323">
        <f>'31'!H9+'31'!H10</f>
        <v>52500</v>
      </c>
      <c r="E35" s="323">
        <f>'31'!H13</f>
        <v>19160</v>
      </c>
      <c r="F35" s="323">
        <f>'31'!H17</f>
        <v>36700</v>
      </c>
      <c r="G35" s="323">
        <f>'31'!H29</f>
        <v>800000</v>
      </c>
      <c r="H35" s="30">
        <v>0</v>
      </c>
      <c r="I35" s="30">
        <v>0</v>
      </c>
      <c r="J35" s="323">
        <f>'31'!H33</f>
        <v>1000</v>
      </c>
      <c r="K35" s="30">
        <v>0</v>
      </c>
      <c r="L35" s="324">
        <f t="shared" si="0"/>
        <v>1086210</v>
      </c>
    </row>
    <row r="36" spans="1:12" ht="15.75" customHeight="1">
      <c r="A36" s="325">
        <v>22010001</v>
      </c>
      <c r="B36" s="30" t="s">
        <v>289</v>
      </c>
      <c r="C36" s="323">
        <f>'32'!H8</f>
        <v>97800</v>
      </c>
      <c r="D36" s="323">
        <f>'32'!H9+'32'!H10</f>
        <v>28800</v>
      </c>
      <c r="E36" s="323">
        <f>'32'!H12</f>
        <v>10700</v>
      </c>
      <c r="F36" s="323">
        <f>'32'!H16</f>
        <v>49800</v>
      </c>
      <c r="G36" s="30">
        <v>0</v>
      </c>
      <c r="H36" s="30">
        <v>0</v>
      </c>
      <c r="I36" s="30">
        <v>0</v>
      </c>
      <c r="J36" s="323">
        <f>'32'!H35</f>
        <v>0</v>
      </c>
      <c r="K36" s="30">
        <v>0</v>
      </c>
      <c r="L36" s="324">
        <f t="shared" si="0"/>
        <v>187100</v>
      </c>
    </row>
    <row r="37" spans="1:12" ht="15.75" customHeight="1">
      <c r="A37" s="325">
        <v>23010001</v>
      </c>
      <c r="B37" s="30" t="s">
        <v>290</v>
      </c>
      <c r="C37" s="323">
        <f>'33'!H8</f>
        <v>171750</v>
      </c>
      <c r="D37" s="323">
        <f>'33'!H9+'33'!H10</f>
        <v>50000</v>
      </c>
      <c r="E37" s="323">
        <f>'33'!H13</f>
        <v>18460</v>
      </c>
      <c r="F37" s="323">
        <f>'33'!H17</f>
        <v>48900</v>
      </c>
      <c r="G37" s="323">
        <f>'33'!H29</f>
        <v>40000</v>
      </c>
      <c r="H37" s="30">
        <v>0</v>
      </c>
      <c r="I37" s="30">
        <v>0</v>
      </c>
      <c r="J37" s="323">
        <f>'33'!H34</f>
        <v>3000</v>
      </c>
      <c r="K37" s="30">
        <v>0</v>
      </c>
      <c r="L37" s="324">
        <f t="shared" si="0"/>
        <v>332110</v>
      </c>
    </row>
    <row r="38" spans="1:12" ht="15.75" customHeight="1">
      <c r="A38" s="325">
        <v>24010001</v>
      </c>
      <c r="B38" s="30" t="s">
        <v>291</v>
      </c>
      <c r="C38" s="323">
        <f>'34'!H8</f>
        <v>392230</v>
      </c>
      <c r="D38" s="323">
        <f>'34'!H9+'34'!H10</f>
        <v>83100</v>
      </c>
      <c r="E38" s="323">
        <f>'34'!H13</f>
        <v>41650</v>
      </c>
      <c r="F38" s="323">
        <f>'34'!H17</f>
        <v>137800</v>
      </c>
      <c r="G38" s="30">
        <v>0</v>
      </c>
      <c r="H38" s="30">
        <v>0</v>
      </c>
      <c r="I38" s="30">
        <v>0</v>
      </c>
      <c r="J38" s="323">
        <f>'34'!H36</f>
        <v>3000</v>
      </c>
      <c r="K38" s="30">
        <v>0</v>
      </c>
      <c r="L38" s="324">
        <f t="shared" si="0"/>
        <v>657780</v>
      </c>
    </row>
    <row r="39" spans="1:12" ht="15.75" customHeight="1">
      <c r="A39" s="325">
        <v>26010001</v>
      </c>
      <c r="B39" s="30" t="s">
        <v>292</v>
      </c>
      <c r="C39" s="323">
        <f>'35'!H8</f>
        <v>46600</v>
      </c>
      <c r="D39" s="323">
        <f>'35'!H9+'35'!H10</f>
        <v>11900</v>
      </c>
      <c r="E39" s="323">
        <f>'35'!H13</f>
        <v>5400</v>
      </c>
      <c r="F39" s="323">
        <f>'35'!H17</f>
        <v>9550</v>
      </c>
      <c r="G39" s="323">
        <v>0</v>
      </c>
      <c r="H39" s="30">
        <v>0</v>
      </c>
      <c r="I39" s="30">
        <v>0</v>
      </c>
      <c r="J39" s="323">
        <f>'35'!H36</f>
        <v>1000</v>
      </c>
      <c r="K39" s="30">
        <v>0</v>
      </c>
      <c r="L39" s="324">
        <f t="shared" si="0"/>
        <v>74450</v>
      </c>
    </row>
    <row r="40" spans="1:12" ht="15.75" customHeight="1">
      <c r="A40" s="325">
        <v>27010001</v>
      </c>
      <c r="B40" s="30" t="s">
        <v>293</v>
      </c>
      <c r="C40" s="323">
        <f>'36'!H8</f>
        <v>408500</v>
      </c>
      <c r="D40" s="323">
        <f>'36'!H9+'36'!H10</f>
        <v>79630</v>
      </c>
      <c r="E40" s="323">
        <f>'36'!H13</f>
        <v>43600</v>
      </c>
      <c r="F40" s="323">
        <f>'36'!H17</f>
        <v>100500</v>
      </c>
      <c r="G40" s="30">
        <v>0</v>
      </c>
      <c r="H40" s="30">
        <v>0</v>
      </c>
      <c r="I40" s="30">
        <v>0</v>
      </c>
      <c r="J40" s="323">
        <f>'36'!H36</f>
        <v>5000</v>
      </c>
      <c r="K40" s="30">
        <v>0</v>
      </c>
      <c r="L40" s="324">
        <f t="shared" si="0"/>
        <v>637230</v>
      </c>
    </row>
    <row r="41" spans="1:12" ht="15.75" customHeight="1">
      <c r="A41" s="325">
        <v>28010001</v>
      </c>
      <c r="B41" s="30" t="s">
        <v>294</v>
      </c>
      <c r="C41" s="323">
        <f>'37'!H8</f>
        <v>285470</v>
      </c>
      <c r="D41" s="323">
        <f>'37'!H9+'37'!H10</f>
        <v>53000</v>
      </c>
      <c r="E41" s="323">
        <f>'37'!H13</f>
        <v>30440</v>
      </c>
      <c r="F41" s="323">
        <f>'37'!H17</f>
        <v>32600</v>
      </c>
      <c r="G41" s="323">
        <v>0</v>
      </c>
      <c r="H41" s="30">
        <v>0</v>
      </c>
      <c r="I41" s="30">
        <v>0</v>
      </c>
      <c r="J41" s="323">
        <f>'37'!H36</f>
        <v>17000</v>
      </c>
      <c r="K41" s="30">
        <v>0</v>
      </c>
      <c r="L41" s="324">
        <f t="shared" si="0"/>
        <v>418510</v>
      </c>
    </row>
    <row r="42" spans="1:12" s="71" customFormat="1" ht="15.75" customHeight="1">
      <c r="A42" s="136"/>
      <c r="B42" s="329" t="s">
        <v>564</v>
      </c>
      <c r="C42" s="330">
        <f>SUM(C5:C41)</f>
        <v>15804980</v>
      </c>
      <c r="D42" s="330">
        <f aca="true" t="shared" si="1" ref="D42:K42">SUM(D5:D41)</f>
        <v>4185370</v>
      </c>
      <c r="E42" s="330">
        <f t="shared" si="1"/>
        <v>1837650</v>
      </c>
      <c r="F42" s="330">
        <f t="shared" si="1"/>
        <v>4781430</v>
      </c>
      <c r="G42" s="330">
        <f t="shared" si="1"/>
        <v>8653000</v>
      </c>
      <c r="H42" s="330">
        <f t="shared" si="1"/>
        <v>400000</v>
      </c>
      <c r="I42" s="330">
        <f t="shared" si="1"/>
        <v>108400</v>
      </c>
      <c r="J42" s="330">
        <f t="shared" si="1"/>
        <v>1355930</v>
      </c>
      <c r="K42" s="330">
        <f t="shared" si="1"/>
        <v>1461750</v>
      </c>
      <c r="L42" s="330">
        <f>SUM(L5:L41)</f>
        <v>38588510</v>
      </c>
    </row>
    <row r="43" spans="2:12" ht="18" customHeight="1">
      <c r="B43" t="s">
        <v>565</v>
      </c>
      <c r="L43" s="185">
        <f>'rashodi-1'!F8</f>
        <v>760000</v>
      </c>
    </row>
    <row r="44" spans="2:12" ht="18" customHeight="1">
      <c r="B44" t="s">
        <v>604</v>
      </c>
      <c r="L44" s="185">
        <f>uvod!C45</f>
        <v>184600</v>
      </c>
    </row>
    <row r="45" spans="1:12" ht="18" customHeight="1">
      <c r="A45" s="326"/>
      <c r="B45" s="328" t="s">
        <v>564</v>
      </c>
      <c r="C45" s="327"/>
      <c r="D45" s="327"/>
      <c r="E45" s="327"/>
      <c r="F45" s="327"/>
      <c r="G45" s="327"/>
      <c r="H45" s="327"/>
      <c r="I45" s="327"/>
      <c r="J45" s="327"/>
      <c r="K45" s="327"/>
      <c r="L45" s="333">
        <f>L42+L43+L44</f>
        <v>39533110</v>
      </c>
    </row>
    <row r="47" ht="12.75">
      <c r="L47" s="184"/>
    </row>
  </sheetData>
  <sheetProtection/>
  <mergeCells count="1">
    <mergeCell ref="A2:L2"/>
  </mergeCells>
  <printOptions/>
  <pageMargins left="0.31" right="0.32" top="0.34" bottom="0.53" header="0.34" footer="0.5"/>
  <pageSetup horizontalDpi="600" verticalDpi="600" orientation="landscape" paperSize="9" scale="71" r:id="rId1"/>
  <headerFooter alignWithMargins="0">
    <oddFooter>&amp;R46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2:F119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5.28125" style="0" customWidth="1"/>
    <col min="2" max="2" width="8.00390625" style="0" customWidth="1"/>
    <col min="3" max="3" width="59.140625" style="0" customWidth="1"/>
    <col min="4" max="4" width="14.7109375" style="0" customWidth="1"/>
    <col min="5" max="5" width="14.421875" style="0" customWidth="1"/>
    <col min="6" max="6" width="8.8515625" style="0" customWidth="1"/>
  </cols>
  <sheetData>
    <row r="2" spans="1:6" ht="15">
      <c r="A2" s="443" t="s">
        <v>81</v>
      </c>
      <c r="B2" s="407"/>
      <c r="C2" s="407"/>
      <c r="D2" s="407"/>
      <c r="E2" s="407"/>
      <c r="F2" s="407"/>
    </row>
    <row r="3" spans="1:5" ht="15">
      <c r="A3" s="366"/>
      <c r="B3" s="368"/>
      <c r="C3" s="367"/>
      <c r="D3" s="367"/>
      <c r="E3" s="367"/>
    </row>
    <row r="4" spans="1:5" ht="12.75">
      <c r="A4" s="369"/>
      <c r="B4" s="369"/>
      <c r="C4" s="370"/>
      <c r="D4" s="371"/>
      <c r="E4" s="371"/>
    </row>
    <row r="5" spans="1:6" ht="33" customHeight="1">
      <c r="A5" s="372" t="s">
        <v>296</v>
      </c>
      <c r="B5" s="373" t="s">
        <v>631</v>
      </c>
      <c r="C5" s="373" t="s">
        <v>632</v>
      </c>
      <c r="D5" s="374" t="s">
        <v>361</v>
      </c>
      <c r="E5" s="374" t="s">
        <v>629</v>
      </c>
      <c r="F5" s="384" t="s">
        <v>59</v>
      </c>
    </row>
    <row r="6" spans="1:6" ht="12.75">
      <c r="A6" s="375"/>
      <c r="B6" s="376">
        <v>1</v>
      </c>
      <c r="C6" s="376">
        <v>2</v>
      </c>
      <c r="D6" s="377">
        <v>3</v>
      </c>
      <c r="E6" s="377">
        <v>4</v>
      </c>
      <c r="F6" s="69"/>
    </row>
    <row r="7" spans="1:6" ht="25.5">
      <c r="A7" s="375">
        <v>1</v>
      </c>
      <c r="B7" s="378"/>
      <c r="C7" s="378" t="s">
        <v>58</v>
      </c>
      <c r="D7" s="381">
        <f>D8+D17+D23+D30+D40+D47+D54+funkcijska2!D4+funkcijska2!D11+funkcijska2!D20</f>
        <v>37494520</v>
      </c>
      <c r="E7" s="381">
        <f>E8+E17+E23+E30+E40+E47+E54+funkcijska2!E4+funkcijska2!E11+funkcijska2!E20</f>
        <v>39348510</v>
      </c>
      <c r="F7" s="388">
        <f>E7/D7*100</f>
        <v>104.9446959182302</v>
      </c>
    </row>
    <row r="8" spans="1:6" ht="12.75">
      <c r="A8" s="375">
        <v>2</v>
      </c>
      <c r="B8" s="379" t="s">
        <v>89</v>
      </c>
      <c r="C8" s="380" t="s">
        <v>62</v>
      </c>
      <c r="D8" s="381">
        <f>SUM(D9:D16)</f>
        <v>6260910</v>
      </c>
      <c r="E8" s="381">
        <f>SUM(E9:E16)</f>
        <v>6992490</v>
      </c>
      <c r="F8" s="385">
        <f>E8/D8*100</f>
        <v>111.68488286846481</v>
      </c>
    </row>
    <row r="9" spans="1:6" ht="13.5" customHeight="1">
      <c r="A9" s="375">
        <v>3</v>
      </c>
      <c r="B9" s="382" t="s">
        <v>633</v>
      </c>
      <c r="C9" s="383" t="s">
        <v>63</v>
      </c>
      <c r="D9" s="299">
        <f>1!G42+2!G42+3!G56+4!G43+5!G42+6!G42+7!G42+'16'!G52</f>
        <v>5652290</v>
      </c>
      <c r="E9" s="299">
        <f>1!H42+2!H42+3!H56+4!H43+5!H42+6!H42+7!H42+'16'!H52</f>
        <v>6259890</v>
      </c>
      <c r="F9" s="386">
        <f>E9/D9*100</f>
        <v>110.74962537307889</v>
      </c>
    </row>
    <row r="10" spans="1:6" ht="13.5" customHeight="1">
      <c r="A10" s="375">
        <v>4</v>
      </c>
      <c r="B10" s="382" t="s">
        <v>634</v>
      </c>
      <c r="C10" s="383" t="s">
        <v>635</v>
      </c>
      <c r="D10" s="299">
        <v>0</v>
      </c>
      <c r="E10" s="299">
        <v>0</v>
      </c>
      <c r="F10" s="386"/>
    </row>
    <row r="11" spans="1:6" ht="13.5" customHeight="1">
      <c r="A11" s="375">
        <v>5</v>
      </c>
      <c r="B11" s="382" t="s">
        <v>636</v>
      </c>
      <c r="C11" s="383" t="s">
        <v>637</v>
      </c>
      <c r="D11" s="299">
        <f>8!G42</f>
        <v>608620</v>
      </c>
      <c r="E11" s="299">
        <f>8!H42</f>
        <v>732600</v>
      </c>
      <c r="F11" s="386">
        <f>E11/D11*100</f>
        <v>120.3706746409911</v>
      </c>
    </row>
    <row r="12" spans="1:6" ht="13.5" customHeight="1">
      <c r="A12" s="375">
        <v>6</v>
      </c>
      <c r="B12" s="382" t="s">
        <v>638</v>
      </c>
      <c r="C12" s="383" t="s">
        <v>639</v>
      </c>
      <c r="D12" s="299">
        <v>0</v>
      </c>
      <c r="E12" s="299">
        <v>0</v>
      </c>
      <c r="F12" s="386"/>
    </row>
    <row r="13" spans="1:6" ht="13.5" customHeight="1">
      <c r="A13" s="375">
        <v>7</v>
      </c>
      <c r="B13" s="382" t="s">
        <v>640</v>
      </c>
      <c r="C13" s="383" t="s">
        <v>641</v>
      </c>
      <c r="D13" s="299">
        <v>0</v>
      </c>
      <c r="E13" s="299">
        <v>0</v>
      </c>
      <c r="F13" s="386"/>
    </row>
    <row r="14" spans="1:6" ht="13.5" customHeight="1">
      <c r="A14" s="375">
        <v>8</v>
      </c>
      <c r="B14" s="382" t="s">
        <v>642</v>
      </c>
      <c r="C14" s="383" t="s">
        <v>643</v>
      </c>
      <c r="D14" s="299">
        <v>0</v>
      </c>
      <c r="E14" s="299">
        <v>0</v>
      </c>
      <c r="F14" s="386"/>
    </row>
    <row r="15" spans="1:6" ht="13.5" customHeight="1">
      <c r="A15" s="375">
        <v>9</v>
      </c>
      <c r="B15" s="382" t="s">
        <v>644</v>
      </c>
      <c r="C15" s="383" t="s">
        <v>645</v>
      </c>
      <c r="D15" s="299">
        <v>0</v>
      </c>
      <c r="E15" s="299">
        <v>0</v>
      </c>
      <c r="F15" s="386"/>
    </row>
    <row r="16" spans="1:6" ht="13.5" customHeight="1">
      <c r="A16" s="375">
        <v>10</v>
      </c>
      <c r="B16" s="382" t="s">
        <v>646</v>
      </c>
      <c r="C16" s="383" t="s">
        <v>64</v>
      </c>
      <c r="D16" s="299">
        <v>0</v>
      </c>
      <c r="E16" s="299">
        <v>0</v>
      </c>
      <c r="F16" s="386"/>
    </row>
    <row r="17" spans="1:6" ht="13.5" customHeight="1">
      <c r="A17" s="375">
        <v>11</v>
      </c>
      <c r="B17" s="379" t="s">
        <v>143</v>
      </c>
      <c r="C17" s="380" t="s">
        <v>65</v>
      </c>
      <c r="D17" s="381">
        <f>SUM(D18:D22)</f>
        <v>0</v>
      </c>
      <c r="E17" s="381">
        <f>SUM(E18:E22)</f>
        <v>0</v>
      </c>
      <c r="F17" s="385"/>
    </row>
    <row r="18" spans="1:6" ht="13.5" customHeight="1">
      <c r="A18" s="375">
        <v>12</v>
      </c>
      <c r="B18" s="382" t="s">
        <v>647</v>
      </c>
      <c r="C18" s="383" t="s">
        <v>66</v>
      </c>
      <c r="D18" s="299">
        <v>0</v>
      </c>
      <c r="E18" s="299">
        <v>0</v>
      </c>
      <c r="F18" s="386"/>
    </row>
    <row r="19" spans="1:6" ht="13.5" customHeight="1">
      <c r="A19" s="375">
        <v>13</v>
      </c>
      <c r="B19" s="382" t="s">
        <v>648</v>
      </c>
      <c r="C19" s="383" t="s">
        <v>67</v>
      </c>
      <c r="D19" s="299">
        <v>0</v>
      </c>
      <c r="E19" s="299">
        <v>0</v>
      </c>
      <c r="F19" s="386"/>
    </row>
    <row r="20" spans="1:6" ht="13.5" customHeight="1">
      <c r="A20" s="375">
        <v>14</v>
      </c>
      <c r="B20" s="382" t="s">
        <v>649</v>
      </c>
      <c r="C20" s="383" t="s">
        <v>68</v>
      </c>
      <c r="D20" s="299">
        <v>0</v>
      </c>
      <c r="E20" s="299">
        <v>0</v>
      </c>
      <c r="F20" s="386"/>
    </row>
    <row r="21" spans="1:6" ht="13.5" customHeight="1">
      <c r="A21" s="375">
        <v>15</v>
      </c>
      <c r="B21" s="382" t="s">
        <v>650</v>
      </c>
      <c r="C21" s="383" t="s">
        <v>69</v>
      </c>
      <c r="D21" s="299">
        <v>0</v>
      </c>
      <c r="E21" s="299">
        <v>0</v>
      </c>
      <c r="F21" s="386"/>
    </row>
    <row r="22" spans="1:6" ht="13.5" customHeight="1">
      <c r="A22" s="375">
        <v>16</v>
      </c>
      <c r="B22" s="382" t="s">
        <v>651</v>
      </c>
      <c r="C22" s="383" t="s">
        <v>70</v>
      </c>
      <c r="D22" s="299">
        <v>0</v>
      </c>
      <c r="E22" s="299">
        <v>0</v>
      </c>
      <c r="F22" s="386"/>
    </row>
    <row r="23" spans="1:6" ht="13.5" customHeight="1">
      <c r="A23" s="375">
        <v>17</v>
      </c>
      <c r="B23" s="379" t="s">
        <v>156</v>
      </c>
      <c r="C23" s="380" t="s">
        <v>652</v>
      </c>
      <c r="D23" s="381">
        <f>SUM(D24:D29)</f>
        <v>9382890</v>
      </c>
      <c r="E23" s="381">
        <f>SUM(E24:E29)</f>
        <v>9684200</v>
      </c>
      <c r="F23" s="385">
        <f>E23/D23*100</f>
        <v>103.21127072788873</v>
      </c>
    </row>
    <row r="24" spans="1:6" ht="13.5" customHeight="1">
      <c r="A24" s="375">
        <v>18</v>
      </c>
      <c r="B24" s="382" t="s">
        <v>653</v>
      </c>
      <c r="C24" s="383" t="s">
        <v>654</v>
      </c>
      <c r="D24" s="299">
        <f>9!G42</f>
        <v>5800440</v>
      </c>
      <c r="E24" s="299">
        <f>9!H42</f>
        <v>6094660</v>
      </c>
      <c r="F24" s="386">
        <f>E24/D24*100</f>
        <v>105.07237381991712</v>
      </c>
    </row>
    <row r="25" spans="1:6" ht="13.5" customHeight="1">
      <c r="A25" s="375">
        <v>19</v>
      </c>
      <c r="B25" s="382" t="s">
        <v>655</v>
      </c>
      <c r="C25" s="383" t="s">
        <v>71</v>
      </c>
      <c r="D25" s="299">
        <f>'33'!G40</f>
        <v>341750</v>
      </c>
      <c r="E25" s="299">
        <f>'33'!H40</f>
        <v>332110</v>
      </c>
      <c r="F25" s="386">
        <f>E25/D25*100</f>
        <v>97.17922457937088</v>
      </c>
    </row>
    <row r="26" spans="1:6" ht="13.5" customHeight="1">
      <c r="A26" s="375">
        <v>20</v>
      </c>
      <c r="B26" s="382" t="s">
        <v>656</v>
      </c>
      <c r="C26" s="383" t="s">
        <v>657</v>
      </c>
      <c r="D26" s="299">
        <f>'11'!G42+'12'!G42+'13'!G42+'14'!G42+'34'!G42+'35'!G42+'36'!G42</f>
        <v>3158130</v>
      </c>
      <c r="E26" s="299">
        <f>'11'!H42+'12'!H42+'13'!H42+'14'!H42+'34'!H42+'35'!H42+'36'!H42</f>
        <v>3144820</v>
      </c>
      <c r="F26" s="386">
        <f>E26/D26*100</f>
        <v>99.57854806483584</v>
      </c>
    </row>
    <row r="27" spans="1:6" ht="13.5" customHeight="1">
      <c r="A27" s="375">
        <v>21</v>
      </c>
      <c r="B27" s="382" t="s">
        <v>658</v>
      </c>
      <c r="C27" s="383" t="s">
        <v>659</v>
      </c>
      <c r="D27" s="299">
        <v>0</v>
      </c>
      <c r="E27" s="299">
        <v>0</v>
      </c>
      <c r="F27" s="386"/>
    </row>
    <row r="28" spans="1:6" ht="13.5" customHeight="1">
      <c r="A28" s="375">
        <v>22</v>
      </c>
      <c r="B28" s="382" t="s">
        <v>660</v>
      </c>
      <c r="C28" s="383" t="s">
        <v>661</v>
      </c>
      <c r="D28" s="299">
        <v>0</v>
      </c>
      <c r="E28" s="299">
        <v>0</v>
      </c>
      <c r="F28" s="386"/>
    </row>
    <row r="29" spans="1:6" ht="13.5" customHeight="1">
      <c r="A29" s="375">
        <v>23</v>
      </c>
      <c r="B29" s="382" t="s">
        <v>662</v>
      </c>
      <c r="C29" s="383" t="s">
        <v>663</v>
      </c>
      <c r="D29" s="299">
        <f>'10'!G42</f>
        <v>82570</v>
      </c>
      <c r="E29" s="299">
        <f>'10'!H42</f>
        <v>112610</v>
      </c>
      <c r="F29" s="386">
        <f>E29/D29*100</f>
        <v>136.38125227080053</v>
      </c>
    </row>
    <row r="30" spans="1:6" ht="13.5" customHeight="1">
      <c r="A30" s="375">
        <v>24</v>
      </c>
      <c r="B30" s="379" t="s">
        <v>664</v>
      </c>
      <c r="C30" s="380" t="s">
        <v>665</v>
      </c>
      <c r="D30" s="381">
        <f>SUM(D31:D39)</f>
        <v>5603390</v>
      </c>
      <c r="E30" s="381">
        <f>SUM(E31:E39)</f>
        <v>5878200</v>
      </c>
      <c r="F30" s="385">
        <f>E30/D30*100</f>
        <v>104.90435254372798</v>
      </c>
    </row>
    <row r="31" spans="1:6" ht="13.5" customHeight="1">
      <c r="A31" s="375">
        <v>25</v>
      </c>
      <c r="B31" s="382" t="s">
        <v>666</v>
      </c>
      <c r="C31" s="383" t="s">
        <v>667</v>
      </c>
      <c r="D31" s="299">
        <v>0</v>
      </c>
      <c r="E31" s="299">
        <v>0</v>
      </c>
      <c r="F31" s="386"/>
    </row>
    <row r="32" spans="1:6" ht="13.5" customHeight="1">
      <c r="A32" s="375">
        <v>26</v>
      </c>
      <c r="B32" s="382" t="s">
        <v>668</v>
      </c>
      <c r="C32" s="383" t="s">
        <v>669</v>
      </c>
      <c r="D32" s="299">
        <f>'19'!G41</f>
        <v>2460180</v>
      </c>
      <c r="E32" s="299">
        <f>'19'!H41</f>
        <v>2774190</v>
      </c>
      <c r="F32" s="386">
        <f>E32/D32*100</f>
        <v>112.76370021705728</v>
      </c>
    </row>
    <row r="33" spans="1:6" ht="13.5" customHeight="1">
      <c r="A33" s="375">
        <v>27</v>
      </c>
      <c r="B33" s="382" t="s">
        <v>670</v>
      </c>
      <c r="C33" s="383" t="s">
        <v>671</v>
      </c>
      <c r="D33" s="299">
        <v>0</v>
      </c>
      <c r="E33" s="299">
        <v>0</v>
      </c>
      <c r="F33" s="386"/>
    </row>
    <row r="34" spans="1:6" ht="13.5" customHeight="1">
      <c r="A34" s="375">
        <v>28</v>
      </c>
      <c r="B34" s="382" t="s">
        <v>672</v>
      </c>
      <c r="C34" s="383" t="s">
        <v>673</v>
      </c>
      <c r="D34" s="299">
        <v>0</v>
      </c>
      <c r="E34" s="299">
        <v>0</v>
      </c>
      <c r="F34" s="386"/>
    </row>
    <row r="35" spans="1:6" ht="13.5" customHeight="1">
      <c r="A35" s="375">
        <v>29</v>
      </c>
      <c r="B35" s="382" t="s">
        <v>674</v>
      </c>
      <c r="C35" s="383" t="s">
        <v>72</v>
      </c>
      <c r="D35" s="299">
        <v>0</v>
      </c>
      <c r="E35" s="299">
        <v>0</v>
      </c>
      <c r="F35" s="386"/>
    </row>
    <row r="36" spans="1:6" ht="13.5" customHeight="1">
      <c r="A36" s="375">
        <v>30</v>
      </c>
      <c r="B36" s="382" t="s">
        <v>675</v>
      </c>
      <c r="C36" s="383" t="s">
        <v>676</v>
      </c>
      <c r="D36" s="299">
        <v>0</v>
      </c>
      <c r="E36" s="299">
        <v>0</v>
      </c>
      <c r="F36" s="386"/>
    </row>
    <row r="37" spans="1:6" ht="13.5" customHeight="1">
      <c r="A37" s="375">
        <v>31</v>
      </c>
      <c r="B37" s="382" t="s">
        <v>677</v>
      </c>
      <c r="C37" s="383" t="s">
        <v>678</v>
      </c>
      <c r="D37" s="299">
        <v>0</v>
      </c>
      <c r="E37" s="299">
        <v>0</v>
      </c>
      <c r="F37" s="386"/>
    </row>
    <row r="38" spans="1:6" ht="13.5" customHeight="1">
      <c r="A38" s="375">
        <v>32</v>
      </c>
      <c r="B38" s="382" t="s">
        <v>679</v>
      </c>
      <c r="C38" s="383" t="s">
        <v>680</v>
      </c>
      <c r="D38" s="299">
        <v>0</v>
      </c>
      <c r="E38" s="299">
        <v>0</v>
      </c>
      <c r="F38" s="386"/>
    </row>
    <row r="39" spans="1:6" ht="13.5" customHeight="1">
      <c r="A39" s="375">
        <v>33</v>
      </c>
      <c r="B39" s="382" t="s">
        <v>681</v>
      </c>
      <c r="C39" s="383" t="s">
        <v>682</v>
      </c>
      <c r="D39" s="299">
        <f>'15'!G39+'18'!G43+'32'!G41+'37'!G42</f>
        <v>3143210</v>
      </c>
      <c r="E39" s="299">
        <f>'15'!H39+'18'!H43+'32'!H41+'37'!H42</f>
        <v>3104010</v>
      </c>
      <c r="F39" s="386">
        <f>E39/D39*100</f>
        <v>98.7528672917177</v>
      </c>
    </row>
    <row r="40" spans="1:6" ht="13.5" customHeight="1">
      <c r="A40" s="375">
        <v>34</v>
      </c>
      <c r="B40" s="379" t="s">
        <v>144</v>
      </c>
      <c r="C40" s="380" t="s">
        <v>683</v>
      </c>
      <c r="D40" s="381">
        <f>SUM(D41:D46)</f>
        <v>0</v>
      </c>
      <c r="E40" s="381">
        <f>SUM(E41:E46)</f>
        <v>0</v>
      </c>
      <c r="F40" s="385"/>
    </row>
    <row r="41" spans="1:6" ht="13.5" customHeight="1">
      <c r="A41" s="375">
        <v>35</v>
      </c>
      <c r="B41" s="382" t="s">
        <v>684</v>
      </c>
      <c r="C41" s="383" t="s">
        <v>685</v>
      </c>
      <c r="D41" s="299">
        <v>0</v>
      </c>
      <c r="E41" s="299">
        <v>0</v>
      </c>
      <c r="F41" s="386"/>
    </row>
    <row r="42" spans="1:6" ht="13.5" customHeight="1">
      <c r="A42" s="375">
        <v>36</v>
      </c>
      <c r="B42" s="382" t="s">
        <v>686</v>
      </c>
      <c r="C42" s="383" t="s">
        <v>687</v>
      </c>
      <c r="D42" s="299">
        <v>0</v>
      </c>
      <c r="E42" s="299">
        <v>0</v>
      </c>
      <c r="F42" s="386"/>
    </row>
    <row r="43" spans="1:6" ht="13.5" customHeight="1">
      <c r="A43" s="375">
        <v>37</v>
      </c>
      <c r="B43" s="382" t="s">
        <v>688</v>
      </c>
      <c r="C43" s="383" t="s">
        <v>689</v>
      </c>
      <c r="D43" s="299">
        <v>0</v>
      </c>
      <c r="E43" s="299">
        <v>0</v>
      </c>
      <c r="F43" s="386"/>
    </row>
    <row r="44" spans="1:6" ht="13.5" customHeight="1">
      <c r="A44" s="375">
        <v>38</v>
      </c>
      <c r="B44" s="382" t="s">
        <v>690</v>
      </c>
      <c r="C44" s="383" t="s">
        <v>73</v>
      </c>
      <c r="D44" s="299">
        <v>0</v>
      </c>
      <c r="E44" s="299">
        <v>0</v>
      </c>
      <c r="F44" s="386"/>
    </row>
    <row r="45" spans="1:6" ht="13.5" customHeight="1">
      <c r="A45" s="375">
        <v>39</v>
      </c>
      <c r="B45" s="382" t="s">
        <v>691</v>
      </c>
      <c r="C45" s="383" t="s">
        <v>60</v>
      </c>
      <c r="D45" s="299">
        <v>0</v>
      </c>
      <c r="E45" s="299">
        <v>0</v>
      </c>
      <c r="F45" s="386"/>
    </row>
    <row r="46" spans="1:6" ht="13.5" customHeight="1">
      <c r="A46" s="375">
        <v>40</v>
      </c>
      <c r="B46" s="382" t="s">
        <v>692</v>
      </c>
      <c r="C46" s="383" t="s">
        <v>693</v>
      </c>
      <c r="D46" s="299">
        <v>0</v>
      </c>
      <c r="E46" s="299">
        <v>0</v>
      </c>
      <c r="F46" s="386"/>
    </row>
    <row r="47" spans="1:6" ht="13.5" customHeight="1">
      <c r="A47" s="375">
        <v>41</v>
      </c>
      <c r="B47" s="379" t="s">
        <v>209</v>
      </c>
      <c r="C47" s="380" t="s">
        <v>694</v>
      </c>
      <c r="D47" s="381">
        <f>SUM(D48:D53)</f>
        <v>0</v>
      </c>
      <c r="E47" s="381">
        <f>SUM(E48:E53)</f>
        <v>0</v>
      </c>
      <c r="F47" s="385"/>
    </row>
    <row r="48" spans="1:6" ht="13.5" customHeight="1">
      <c r="A48" s="375">
        <v>42</v>
      </c>
      <c r="B48" s="382" t="s">
        <v>695</v>
      </c>
      <c r="C48" s="383" t="s">
        <v>696</v>
      </c>
      <c r="D48" s="299">
        <v>0</v>
      </c>
      <c r="E48" s="299">
        <v>0</v>
      </c>
      <c r="F48" s="386"/>
    </row>
    <row r="49" spans="1:6" ht="13.5" customHeight="1">
      <c r="A49" s="375">
        <v>43</v>
      </c>
      <c r="B49" s="382" t="s">
        <v>697</v>
      </c>
      <c r="C49" s="383" t="s">
        <v>698</v>
      </c>
      <c r="D49" s="299">
        <v>0</v>
      </c>
      <c r="E49" s="299">
        <v>0</v>
      </c>
      <c r="F49" s="386"/>
    </row>
    <row r="50" spans="1:6" ht="13.5" customHeight="1">
      <c r="A50" s="375">
        <v>44</v>
      </c>
      <c r="B50" s="382" t="s">
        <v>699</v>
      </c>
      <c r="C50" s="383" t="s">
        <v>74</v>
      </c>
      <c r="D50" s="299">
        <v>0</v>
      </c>
      <c r="E50" s="299">
        <v>0</v>
      </c>
      <c r="F50" s="386"/>
    </row>
    <row r="51" spans="1:6" ht="13.5" customHeight="1">
      <c r="A51" s="375">
        <v>45</v>
      </c>
      <c r="B51" s="382" t="s">
        <v>700</v>
      </c>
      <c r="C51" s="383" t="s">
        <v>701</v>
      </c>
      <c r="D51" s="299">
        <v>0</v>
      </c>
      <c r="E51" s="299">
        <v>0</v>
      </c>
      <c r="F51" s="386"/>
    </row>
    <row r="52" spans="1:6" ht="13.5" customHeight="1">
      <c r="A52" s="375">
        <v>46</v>
      </c>
      <c r="B52" s="382" t="s">
        <v>702</v>
      </c>
      <c r="C52" s="383" t="s">
        <v>703</v>
      </c>
      <c r="D52" s="299">
        <v>0</v>
      </c>
      <c r="E52" s="299">
        <v>0</v>
      </c>
      <c r="F52" s="386"/>
    </row>
    <row r="53" spans="1:6" ht="13.5" customHeight="1">
      <c r="A53" s="375">
        <v>47</v>
      </c>
      <c r="B53" s="382" t="s">
        <v>704</v>
      </c>
      <c r="C53" s="383" t="s">
        <v>705</v>
      </c>
      <c r="D53" s="299">
        <v>0</v>
      </c>
      <c r="E53" s="299">
        <v>0</v>
      </c>
      <c r="F53" s="386"/>
    </row>
    <row r="54" spans="1:6" ht="13.5" customHeight="1">
      <c r="A54" s="375">
        <v>48</v>
      </c>
      <c r="B54" s="379" t="s">
        <v>706</v>
      </c>
      <c r="C54" s="380" t="s">
        <v>707</v>
      </c>
      <c r="D54" s="381">
        <f>SUM(D55:D60)</f>
        <v>0</v>
      </c>
      <c r="E54" s="381">
        <f>SUM(E55:E60)</f>
        <v>0</v>
      </c>
      <c r="F54" s="385"/>
    </row>
    <row r="55" spans="1:6" ht="13.5" customHeight="1">
      <c r="A55" s="375">
        <v>49</v>
      </c>
      <c r="B55" s="382" t="s">
        <v>708</v>
      </c>
      <c r="C55" s="383" t="s">
        <v>709</v>
      </c>
      <c r="D55" s="299">
        <v>0</v>
      </c>
      <c r="E55" s="299">
        <v>0</v>
      </c>
      <c r="F55" s="386"/>
    </row>
    <row r="56" spans="1:6" ht="13.5" customHeight="1">
      <c r="A56" s="375">
        <v>50</v>
      </c>
      <c r="B56" s="382" t="s">
        <v>710</v>
      </c>
      <c r="C56" s="383" t="s">
        <v>75</v>
      </c>
      <c r="D56" s="299">
        <v>0</v>
      </c>
      <c r="E56" s="299">
        <v>0</v>
      </c>
      <c r="F56" s="386"/>
    </row>
    <row r="57" spans="1:6" ht="13.5" customHeight="1">
      <c r="A57" s="375">
        <v>51</v>
      </c>
      <c r="B57" s="382" t="s">
        <v>4</v>
      </c>
      <c r="C57" s="383" t="s">
        <v>5</v>
      </c>
      <c r="D57" s="299">
        <v>0</v>
      </c>
      <c r="E57" s="299">
        <v>0</v>
      </c>
      <c r="F57" s="386"/>
    </row>
    <row r="58" spans="1:6" ht="13.5" customHeight="1">
      <c r="A58" s="375">
        <v>52</v>
      </c>
      <c r="B58" s="382" t="s">
        <v>6</v>
      </c>
      <c r="C58" s="383" t="s">
        <v>7</v>
      </c>
      <c r="D58" s="299">
        <v>0</v>
      </c>
      <c r="E58" s="299">
        <v>0</v>
      </c>
      <c r="F58" s="386"/>
    </row>
    <row r="59" spans="1:6" ht="13.5" customHeight="1">
      <c r="A59" s="375">
        <v>53</v>
      </c>
      <c r="B59" s="382" t="s">
        <v>8</v>
      </c>
      <c r="C59" s="383" t="s">
        <v>9</v>
      </c>
      <c r="D59" s="299">
        <v>0</v>
      </c>
      <c r="E59" s="299">
        <v>0</v>
      </c>
      <c r="F59" s="386"/>
    </row>
    <row r="60" spans="1:6" ht="13.5" customHeight="1">
      <c r="A60" s="375">
        <v>54</v>
      </c>
      <c r="B60" s="382" t="s">
        <v>10</v>
      </c>
      <c r="C60" s="383" t="s">
        <v>11</v>
      </c>
      <c r="D60" s="299">
        <v>0</v>
      </c>
      <c r="E60" s="299">
        <v>0</v>
      </c>
      <c r="F60" s="386"/>
    </row>
    <row r="61" spans="1:6" ht="12.75">
      <c r="A61" s="103"/>
      <c r="B61" s="103"/>
      <c r="C61" s="103"/>
      <c r="D61" s="103"/>
      <c r="E61" s="103"/>
      <c r="F61" s="103"/>
    </row>
    <row r="62" spans="1:6" ht="12.75">
      <c r="A62" s="103"/>
      <c r="B62" s="103"/>
      <c r="C62" s="103"/>
      <c r="D62" s="103"/>
      <c r="E62" s="103"/>
      <c r="F62" s="103"/>
    </row>
    <row r="63" spans="1:6" ht="12.75">
      <c r="A63" s="103"/>
      <c r="B63" s="103"/>
      <c r="C63" s="103"/>
      <c r="D63" s="103"/>
      <c r="E63" s="103"/>
      <c r="F63" s="103"/>
    </row>
    <row r="64" spans="1:6" ht="12.75">
      <c r="A64" s="103"/>
      <c r="B64" s="103"/>
      <c r="C64" s="103"/>
      <c r="D64" s="103"/>
      <c r="E64" s="103"/>
      <c r="F64" s="103"/>
    </row>
    <row r="65" spans="1:6" ht="12.75">
      <c r="A65" s="103"/>
      <c r="B65" s="103"/>
      <c r="C65" s="103"/>
      <c r="D65" s="103"/>
      <c r="E65" s="103"/>
      <c r="F65" s="103"/>
    </row>
    <row r="66" spans="1:6" ht="12.75">
      <c r="A66" s="103"/>
      <c r="B66" s="103"/>
      <c r="C66" s="103"/>
      <c r="D66" s="103"/>
      <c r="E66" s="103"/>
      <c r="F66" s="103"/>
    </row>
    <row r="67" spans="1:6" ht="12.75">
      <c r="A67" s="103"/>
      <c r="B67" s="103"/>
      <c r="C67" s="103"/>
      <c r="D67" s="103"/>
      <c r="E67" s="103"/>
      <c r="F67" s="103"/>
    </row>
    <row r="68" spans="1:6" ht="12.75">
      <c r="A68" s="103"/>
      <c r="B68" s="103"/>
      <c r="C68" s="103"/>
      <c r="D68" s="103"/>
      <c r="E68" s="103"/>
      <c r="F68" s="103"/>
    </row>
    <row r="69" spans="1:6" ht="12.75">
      <c r="A69" s="103"/>
      <c r="B69" s="103"/>
      <c r="C69" s="103"/>
      <c r="D69" s="103"/>
      <c r="E69" s="103"/>
      <c r="F69" s="103"/>
    </row>
    <row r="70" spans="1:6" ht="12.75">
      <c r="A70" s="103"/>
      <c r="B70" s="103"/>
      <c r="C70" s="103"/>
      <c r="D70" s="103"/>
      <c r="E70" s="103"/>
      <c r="F70" s="103"/>
    </row>
    <row r="71" spans="1:6" ht="12.75">
      <c r="A71" s="103"/>
      <c r="B71" s="103"/>
      <c r="C71" s="103"/>
      <c r="D71" s="103"/>
      <c r="E71" s="103"/>
      <c r="F71" s="103"/>
    </row>
    <row r="72" spans="1:6" ht="12.75">
      <c r="A72" s="103"/>
      <c r="B72" s="103"/>
      <c r="C72" s="103"/>
      <c r="D72" s="103"/>
      <c r="E72" s="103"/>
      <c r="F72" s="103"/>
    </row>
    <row r="73" spans="1:6" ht="12.75">
      <c r="A73" s="103"/>
      <c r="B73" s="103"/>
      <c r="C73" s="103"/>
      <c r="D73" s="103"/>
      <c r="E73" s="103"/>
      <c r="F73" s="103"/>
    </row>
    <row r="74" spans="1:6" ht="12.75">
      <c r="A74" s="103"/>
      <c r="B74" s="103"/>
      <c r="C74" s="103"/>
      <c r="D74" s="103"/>
      <c r="E74" s="103"/>
      <c r="F74" s="103"/>
    </row>
    <row r="75" spans="1:6" ht="12.75">
      <c r="A75" s="103"/>
      <c r="B75" s="103"/>
      <c r="C75" s="103"/>
      <c r="D75" s="103"/>
      <c r="E75" s="103"/>
      <c r="F75" s="103"/>
    </row>
    <row r="76" spans="1:6" ht="12.75">
      <c r="A76" s="103"/>
      <c r="B76" s="103"/>
      <c r="C76" s="103"/>
      <c r="D76" s="103"/>
      <c r="E76" s="103"/>
      <c r="F76" s="103"/>
    </row>
    <row r="77" spans="1:6" ht="12.75">
      <c r="A77" s="103"/>
      <c r="B77" s="103"/>
      <c r="C77" s="103"/>
      <c r="D77" s="103"/>
      <c r="E77" s="103"/>
      <c r="F77" s="103"/>
    </row>
    <row r="78" spans="1:6" ht="12.75">
      <c r="A78" s="103"/>
      <c r="B78" s="103"/>
      <c r="C78" s="103"/>
      <c r="D78" s="103"/>
      <c r="E78" s="103"/>
      <c r="F78" s="103"/>
    </row>
    <row r="79" spans="1:6" ht="12.75">
      <c r="A79" s="103"/>
      <c r="B79" s="103"/>
      <c r="C79" s="103"/>
      <c r="D79" s="103"/>
      <c r="E79" s="103"/>
      <c r="F79" s="103"/>
    </row>
    <row r="80" spans="1:6" ht="12.75">
      <c r="A80" s="103"/>
      <c r="B80" s="103"/>
      <c r="C80" s="103"/>
      <c r="D80" s="103"/>
      <c r="E80" s="103"/>
      <c r="F80" s="103"/>
    </row>
    <row r="81" spans="1:6" ht="12.75">
      <c r="A81" s="103"/>
      <c r="B81" s="103"/>
      <c r="C81" s="103"/>
      <c r="D81" s="103"/>
      <c r="E81" s="103"/>
      <c r="F81" s="103"/>
    </row>
    <row r="82" spans="1:6" ht="12.75">
      <c r="A82" s="103"/>
      <c r="B82" s="103"/>
      <c r="C82" s="103"/>
      <c r="D82" s="103"/>
      <c r="E82" s="103"/>
      <c r="F82" s="103"/>
    </row>
    <row r="83" spans="1:6" ht="12.75">
      <c r="A83" s="103"/>
      <c r="B83" s="103"/>
      <c r="C83" s="103"/>
      <c r="D83" s="103"/>
      <c r="E83" s="103"/>
      <c r="F83" s="103"/>
    </row>
    <row r="84" spans="1:6" ht="12.75">
      <c r="A84" s="103"/>
      <c r="B84" s="103"/>
      <c r="C84" s="103"/>
      <c r="D84" s="103"/>
      <c r="E84" s="103"/>
      <c r="F84" s="103"/>
    </row>
    <row r="85" spans="1:6" ht="12.75">
      <c r="A85" s="103"/>
      <c r="B85" s="103"/>
      <c r="C85" s="103"/>
      <c r="D85" s="103"/>
      <c r="E85" s="103"/>
      <c r="F85" s="103"/>
    </row>
    <row r="86" spans="1:6" ht="12.75">
      <c r="A86" s="103"/>
      <c r="B86" s="103"/>
      <c r="C86" s="103"/>
      <c r="D86" s="103"/>
      <c r="E86" s="103"/>
      <c r="F86" s="103"/>
    </row>
    <row r="87" spans="1:6" ht="12.75">
      <c r="A87" s="103"/>
      <c r="B87" s="103"/>
      <c r="C87" s="103"/>
      <c r="D87" s="103"/>
      <c r="E87" s="103"/>
      <c r="F87" s="103"/>
    </row>
    <row r="88" spans="1:6" ht="12.75">
      <c r="A88" s="103"/>
      <c r="B88" s="103"/>
      <c r="C88" s="103"/>
      <c r="D88" s="103"/>
      <c r="E88" s="103"/>
      <c r="F88" s="103"/>
    </row>
    <row r="89" spans="1:6" ht="12.75">
      <c r="A89" s="103"/>
      <c r="B89" s="103"/>
      <c r="C89" s="103"/>
      <c r="D89" s="103"/>
      <c r="E89" s="103"/>
      <c r="F89" s="103"/>
    </row>
    <row r="90" spans="1:6" ht="12.75">
      <c r="A90" s="103"/>
      <c r="B90" s="103"/>
      <c r="C90" s="103"/>
      <c r="D90" s="103"/>
      <c r="E90" s="103"/>
      <c r="F90" s="103"/>
    </row>
    <row r="91" spans="1:6" ht="12.75">
      <c r="A91" s="103"/>
      <c r="B91" s="103"/>
      <c r="C91" s="103"/>
      <c r="D91" s="103"/>
      <c r="E91" s="103"/>
      <c r="F91" s="103"/>
    </row>
    <row r="92" spans="1:6" ht="12.75">
      <c r="A92" s="103"/>
      <c r="B92" s="103"/>
      <c r="C92" s="103"/>
      <c r="D92" s="103"/>
      <c r="E92" s="103"/>
      <c r="F92" s="103"/>
    </row>
    <row r="93" spans="1:6" ht="12.75">
      <c r="A93" s="103"/>
      <c r="B93" s="103"/>
      <c r="C93" s="103"/>
      <c r="D93" s="103"/>
      <c r="E93" s="103"/>
      <c r="F93" s="103"/>
    </row>
    <row r="94" spans="1:6" ht="12.75">
      <c r="A94" s="103"/>
      <c r="B94" s="103"/>
      <c r="C94" s="103"/>
      <c r="D94" s="103"/>
      <c r="E94" s="103"/>
      <c r="F94" s="103"/>
    </row>
    <row r="95" spans="1:6" ht="12.75">
      <c r="A95" s="103"/>
      <c r="B95" s="103"/>
      <c r="C95" s="103"/>
      <c r="D95" s="103"/>
      <c r="E95" s="103"/>
      <c r="F95" s="103"/>
    </row>
    <row r="96" spans="1:6" ht="12.75">
      <c r="A96" s="103"/>
      <c r="B96" s="103"/>
      <c r="C96" s="103"/>
      <c r="D96" s="103"/>
      <c r="E96" s="103"/>
      <c r="F96" s="103"/>
    </row>
    <row r="97" spans="1:6" ht="12.75">
      <c r="A97" s="103"/>
      <c r="B97" s="103"/>
      <c r="C97" s="103"/>
      <c r="D97" s="103"/>
      <c r="E97" s="103"/>
      <c r="F97" s="103"/>
    </row>
    <row r="98" spans="1:6" ht="12.75">
      <c r="A98" s="103"/>
      <c r="B98" s="103"/>
      <c r="C98" s="103"/>
      <c r="D98" s="103"/>
      <c r="E98" s="103"/>
      <c r="F98" s="103"/>
    </row>
    <row r="99" spans="1:6" ht="12.75">
      <c r="A99" s="103"/>
      <c r="B99" s="103"/>
      <c r="C99" s="103"/>
      <c r="D99" s="103"/>
      <c r="E99" s="103"/>
      <c r="F99" s="103"/>
    </row>
    <row r="100" spans="1:6" ht="12.75">
      <c r="A100" s="103"/>
      <c r="B100" s="103"/>
      <c r="C100" s="103"/>
      <c r="D100" s="103"/>
      <c r="E100" s="103"/>
      <c r="F100" s="103"/>
    </row>
    <row r="101" spans="1:6" ht="12.75">
      <c r="A101" s="103"/>
      <c r="B101" s="103"/>
      <c r="C101" s="103"/>
      <c r="D101" s="103"/>
      <c r="E101" s="103"/>
      <c r="F101" s="103"/>
    </row>
    <row r="102" spans="1:6" ht="12.75">
      <c r="A102" s="103"/>
      <c r="B102" s="103"/>
      <c r="C102" s="103"/>
      <c r="D102" s="103"/>
      <c r="E102" s="103"/>
      <c r="F102" s="103"/>
    </row>
    <row r="103" spans="1:6" ht="12.75">
      <c r="A103" s="103"/>
      <c r="B103" s="103"/>
      <c r="C103" s="103"/>
      <c r="D103" s="103"/>
      <c r="E103" s="103"/>
      <c r="F103" s="103"/>
    </row>
    <row r="104" spans="1:6" ht="12.75">
      <c r="A104" s="103"/>
      <c r="B104" s="103"/>
      <c r="C104" s="103"/>
      <c r="D104" s="103"/>
      <c r="E104" s="103"/>
      <c r="F104" s="103"/>
    </row>
    <row r="105" spans="1:6" ht="12.75">
      <c r="A105" s="103"/>
      <c r="B105" s="103"/>
      <c r="C105" s="103"/>
      <c r="D105" s="103"/>
      <c r="E105" s="103"/>
      <c r="F105" s="103"/>
    </row>
    <row r="106" spans="1:6" ht="12.75">
      <c r="A106" s="103"/>
      <c r="B106" s="103"/>
      <c r="C106" s="103"/>
      <c r="D106" s="103"/>
      <c r="E106" s="103"/>
      <c r="F106" s="103"/>
    </row>
    <row r="107" spans="1:6" ht="12.75">
      <c r="A107" s="103"/>
      <c r="B107" s="103"/>
      <c r="C107" s="103"/>
      <c r="D107" s="103"/>
      <c r="E107" s="103"/>
      <c r="F107" s="103"/>
    </row>
    <row r="108" spans="1:6" ht="12.75">
      <c r="A108" s="103"/>
      <c r="B108" s="103"/>
      <c r="C108" s="103"/>
      <c r="D108" s="103"/>
      <c r="E108" s="103"/>
      <c r="F108" s="103"/>
    </row>
    <row r="109" spans="1:6" ht="12.75">
      <c r="A109" s="103"/>
      <c r="B109" s="103"/>
      <c r="C109" s="103"/>
      <c r="D109" s="103"/>
      <c r="E109" s="103"/>
      <c r="F109" s="103"/>
    </row>
    <row r="110" spans="1:6" ht="12.75">
      <c r="A110" s="103"/>
      <c r="B110" s="103"/>
      <c r="C110" s="103"/>
      <c r="D110" s="103"/>
      <c r="E110" s="103"/>
      <c r="F110" s="103"/>
    </row>
    <row r="111" spans="1:6" ht="12.75">
      <c r="A111" s="103"/>
      <c r="B111" s="103"/>
      <c r="C111" s="103"/>
      <c r="D111" s="103"/>
      <c r="E111" s="103"/>
      <c r="F111" s="103"/>
    </row>
    <row r="112" spans="1:6" ht="12.75">
      <c r="A112" s="103"/>
      <c r="B112" s="103"/>
      <c r="C112" s="103"/>
      <c r="D112" s="103"/>
      <c r="E112" s="103"/>
      <c r="F112" s="103"/>
    </row>
    <row r="113" spans="1:6" ht="12.75">
      <c r="A113" s="103"/>
      <c r="B113" s="103"/>
      <c r="C113" s="103"/>
      <c r="D113" s="103"/>
      <c r="E113" s="103"/>
      <c r="F113" s="103"/>
    </row>
    <row r="114" spans="1:6" ht="12.75">
      <c r="A114" s="103"/>
      <c r="B114" s="103"/>
      <c r="C114" s="103"/>
      <c r="D114" s="103"/>
      <c r="E114" s="103"/>
      <c r="F114" s="103"/>
    </row>
    <row r="115" spans="1:6" ht="12.75">
      <c r="A115" s="103"/>
      <c r="B115" s="103"/>
      <c r="C115" s="103"/>
      <c r="D115" s="103"/>
      <c r="E115" s="103"/>
      <c r="F115" s="103"/>
    </row>
    <row r="116" spans="1:6" ht="12.75">
      <c r="A116" s="103"/>
      <c r="B116" s="103"/>
      <c r="C116" s="103"/>
      <c r="D116" s="103"/>
      <c r="E116" s="103"/>
      <c r="F116" s="103"/>
    </row>
    <row r="117" spans="1:6" ht="12.75">
      <c r="A117" s="103"/>
      <c r="B117" s="103"/>
      <c r="C117" s="103"/>
      <c r="D117" s="103"/>
      <c r="E117" s="103"/>
      <c r="F117" s="103"/>
    </row>
    <row r="118" spans="1:6" ht="12.75">
      <c r="A118" s="103"/>
      <c r="B118" s="103"/>
      <c r="C118" s="103"/>
      <c r="D118" s="103"/>
      <c r="E118" s="103"/>
      <c r="F118" s="103"/>
    </row>
    <row r="119" spans="1:6" ht="12.75">
      <c r="A119" s="103"/>
      <c r="B119" s="103"/>
      <c r="C119" s="103"/>
      <c r="D119" s="103"/>
      <c r="E119" s="103"/>
      <c r="F119" s="103"/>
    </row>
  </sheetData>
  <sheetProtection/>
  <mergeCells count="1">
    <mergeCell ref="A2:F2"/>
  </mergeCells>
  <printOptions/>
  <pageMargins left="0.37" right="0.26" top="0.51" bottom="0.74" header="0.5" footer="0.5"/>
  <pageSetup horizontalDpi="600" verticalDpi="600" orientation="portrait" paperSize="9" scale="88" r:id="rId1"/>
  <headerFooter alignWithMargins="0">
    <oddFooter>&amp;R47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J51"/>
  <sheetViews>
    <sheetView zoomScalePageLayoutView="0" workbookViewId="0" topLeftCell="B28">
      <selection activeCell="E42" sqref="E42"/>
    </sheetView>
  </sheetViews>
  <sheetFormatPr defaultColWidth="9.140625" defaultRowHeight="12.75"/>
  <cols>
    <col min="1" max="1" width="0.42578125" style="0" hidden="1" customWidth="1"/>
    <col min="2" max="2" width="13.28125" style="58" customWidth="1"/>
    <col min="3" max="3" width="55.421875" style="0" customWidth="1"/>
    <col min="4" max="5" width="15.28125" style="0" customWidth="1"/>
    <col min="6" max="6" width="7.7109375" style="0" customWidth="1"/>
    <col min="7" max="7" width="11.00390625" style="0" customWidth="1"/>
    <col min="8" max="8" width="15.7109375" style="0" customWidth="1"/>
    <col min="9" max="9" width="17.28125" style="0" customWidth="1"/>
    <col min="10" max="10" width="15.28125" style="0" customWidth="1"/>
  </cols>
  <sheetData>
    <row r="1" spans="2:6" ht="76.5" customHeight="1">
      <c r="B1" s="88" t="s">
        <v>196</v>
      </c>
      <c r="C1" s="89" t="s">
        <v>88</v>
      </c>
      <c r="D1" s="145" t="s">
        <v>360</v>
      </c>
      <c r="E1" s="145" t="s">
        <v>628</v>
      </c>
      <c r="F1" s="44" t="s">
        <v>343</v>
      </c>
    </row>
    <row r="2" spans="2:6" ht="18" customHeight="1">
      <c r="B2" s="302">
        <v>1</v>
      </c>
      <c r="C2" s="303">
        <v>2</v>
      </c>
      <c r="D2" s="303">
        <v>3</v>
      </c>
      <c r="E2" s="304">
        <v>4</v>
      </c>
      <c r="F2" s="305">
        <v>5</v>
      </c>
    </row>
    <row r="3" spans="2:7" ht="15" customHeight="1">
      <c r="B3" s="212">
        <v>719114</v>
      </c>
      <c r="C3" s="234" t="s">
        <v>402</v>
      </c>
      <c r="D3" s="98">
        <v>150</v>
      </c>
      <c r="E3" s="98">
        <v>150</v>
      </c>
      <c r="F3" s="79">
        <f aca="true" t="shared" si="0" ref="F3:F20">IF(D3=0,,E3/D3*100)</f>
        <v>100</v>
      </c>
      <c r="G3" s="107"/>
    </row>
    <row r="4" spans="2:7" ht="25.5" customHeight="1">
      <c r="B4" s="212">
        <v>719115</v>
      </c>
      <c r="C4" s="236" t="s">
        <v>403</v>
      </c>
      <c r="D4" s="98">
        <v>30</v>
      </c>
      <c r="E4" s="98">
        <v>50</v>
      </c>
      <c r="F4" s="79">
        <f t="shared" si="0"/>
        <v>166.66666666666669</v>
      </c>
      <c r="G4" s="107"/>
    </row>
    <row r="5" spans="2:7" ht="15" customHeight="1">
      <c r="B5" s="212"/>
      <c r="C5" s="30"/>
      <c r="D5" s="98"/>
      <c r="E5" s="98"/>
      <c r="F5" s="79"/>
      <c r="G5" s="107"/>
    </row>
    <row r="6" spans="2:8" s="54" customFormat="1" ht="15">
      <c r="B6" s="249">
        <v>720000</v>
      </c>
      <c r="C6" s="250" t="s">
        <v>199</v>
      </c>
      <c r="D6" s="251">
        <f>D7+D20+'prihodi-3'!D40</f>
        <v>2909040</v>
      </c>
      <c r="E6" s="251">
        <f>E7+E20+'prihodi-3'!E40</f>
        <v>2981940</v>
      </c>
      <c r="F6" s="252">
        <f t="shared" si="0"/>
        <v>102.50598135467371</v>
      </c>
      <c r="G6" s="253"/>
      <c r="H6" s="334"/>
    </row>
    <row r="7" spans="2:8" s="217" customFormat="1" ht="25.5">
      <c r="B7" s="213">
        <v>721000</v>
      </c>
      <c r="C7" s="225" t="s">
        <v>231</v>
      </c>
      <c r="D7" s="222">
        <f>D8+D11+D13+D16+D18</f>
        <v>29640</v>
      </c>
      <c r="E7" s="222">
        <f>E8+E11+E13+E16+E18</f>
        <v>2490</v>
      </c>
      <c r="F7" s="223">
        <f t="shared" si="0"/>
        <v>8.400809716599191</v>
      </c>
      <c r="G7" s="216"/>
      <c r="H7" s="216"/>
    </row>
    <row r="8" spans="2:7" s="217" customFormat="1" ht="12.75">
      <c r="B8" s="218">
        <v>721100</v>
      </c>
      <c r="C8" s="235" t="s">
        <v>404</v>
      </c>
      <c r="D8" s="214">
        <f>SUM(D9:D10)</f>
        <v>26320</v>
      </c>
      <c r="E8" s="214">
        <f>SUM(E9:E10)</f>
        <v>650</v>
      </c>
      <c r="F8" s="215">
        <f t="shared" si="0"/>
        <v>2.4696048632218845</v>
      </c>
      <c r="G8" s="216"/>
    </row>
    <row r="9" spans="2:7" ht="12.75">
      <c r="B9" s="212">
        <v>721112</v>
      </c>
      <c r="C9" s="234" t="s">
        <v>405</v>
      </c>
      <c r="D9" s="98">
        <v>320</v>
      </c>
      <c r="E9" s="98">
        <v>100</v>
      </c>
      <c r="F9" s="79">
        <f t="shared" si="0"/>
        <v>31.25</v>
      </c>
      <c r="G9" s="107"/>
    </row>
    <row r="10" spans="2:7" ht="12.75">
      <c r="B10" s="212">
        <v>721121</v>
      </c>
      <c r="C10" s="234" t="s">
        <v>406</v>
      </c>
      <c r="D10" s="318">
        <v>26000</v>
      </c>
      <c r="E10" s="318">
        <v>550</v>
      </c>
      <c r="F10" s="79">
        <f t="shared" si="0"/>
        <v>2.1153846153846154</v>
      </c>
      <c r="G10" s="107"/>
    </row>
    <row r="11" spans="2:7" ht="12.75">
      <c r="B11" s="237">
        <v>721200</v>
      </c>
      <c r="C11" s="235" t="s">
        <v>407</v>
      </c>
      <c r="D11" s="97">
        <f>D12</f>
        <v>3000</v>
      </c>
      <c r="E11" s="97">
        <f>E12</f>
        <v>1650</v>
      </c>
      <c r="F11" s="78">
        <f t="shared" si="0"/>
        <v>55.00000000000001</v>
      </c>
      <c r="G11" s="107"/>
    </row>
    <row r="12" spans="2:7" ht="12.75">
      <c r="B12" s="238">
        <v>721211</v>
      </c>
      <c r="C12" s="234" t="s">
        <v>408</v>
      </c>
      <c r="D12" s="98">
        <v>3000</v>
      </c>
      <c r="E12" s="98">
        <v>1650</v>
      </c>
      <c r="F12" s="79">
        <f t="shared" si="0"/>
        <v>55.00000000000001</v>
      </c>
      <c r="G12" s="107"/>
    </row>
    <row r="13" spans="2:7" ht="12.75">
      <c r="B13" s="237">
        <v>721300</v>
      </c>
      <c r="C13" s="235" t="s">
        <v>409</v>
      </c>
      <c r="D13" s="97">
        <f>SUM(D14:D15)</f>
        <v>170</v>
      </c>
      <c r="E13" s="263">
        <f>SUM(E14:E15)</f>
        <v>50</v>
      </c>
      <c r="F13" s="78">
        <f t="shared" si="0"/>
        <v>29.411764705882355</v>
      </c>
      <c r="G13" s="107"/>
    </row>
    <row r="14" spans="2:7" ht="12.75">
      <c r="B14" s="238">
        <v>721311</v>
      </c>
      <c r="C14" s="234" t="s">
        <v>410</v>
      </c>
      <c r="D14" s="98">
        <v>100</v>
      </c>
      <c r="E14" s="98">
        <v>0</v>
      </c>
      <c r="F14" s="79">
        <f t="shared" si="0"/>
        <v>0</v>
      </c>
      <c r="G14" s="107"/>
    </row>
    <row r="15" spans="2:7" ht="12.75">
      <c r="B15" s="238">
        <v>721312</v>
      </c>
      <c r="C15" s="234" t="s">
        <v>411</v>
      </c>
      <c r="D15" s="98">
        <v>70</v>
      </c>
      <c r="E15" s="98">
        <v>50</v>
      </c>
      <c r="F15" s="79">
        <f t="shared" si="0"/>
        <v>71.42857142857143</v>
      </c>
      <c r="G15" s="107"/>
    </row>
    <row r="16" spans="2:7" ht="12.75">
      <c r="B16" s="237">
        <v>721500</v>
      </c>
      <c r="C16" s="235" t="s">
        <v>412</v>
      </c>
      <c r="D16" s="97">
        <f>D17</f>
        <v>150</v>
      </c>
      <c r="E16" s="97">
        <f>E17</f>
        <v>140</v>
      </c>
      <c r="F16" s="78">
        <f t="shared" si="0"/>
        <v>93.33333333333333</v>
      </c>
      <c r="G16" s="107"/>
    </row>
    <row r="17" spans="2:7" ht="12.75">
      <c r="B17" s="238">
        <v>721511</v>
      </c>
      <c r="C17" s="234" t="s">
        <v>412</v>
      </c>
      <c r="D17" s="98">
        <v>150</v>
      </c>
      <c r="E17" s="98">
        <v>140</v>
      </c>
      <c r="F17" s="79">
        <f t="shared" si="0"/>
        <v>93.33333333333333</v>
      </c>
      <c r="G17" s="107"/>
    </row>
    <row r="18" spans="2:7" ht="12.75">
      <c r="B18" s="237">
        <v>721600</v>
      </c>
      <c r="C18" s="235" t="s">
        <v>413</v>
      </c>
      <c r="D18" s="97">
        <f>D19</f>
        <v>0</v>
      </c>
      <c r="E18" s="97">
        <f>E19</f>
        <v>0</v>
      </c>
      <c r="F18" s="78">
        <f t="shared" si="0"/>
        <v>0</v>
      </c>
      <c r="G18" s="107"/>
    </row>
    <row r="19" spans="2:7" ht="12.75">
      <c r="B19" s="238">
        <v>721613</v>
      </c>
      <c r="C19" s="234" t="s">
        <v>414</v>
      </c>
      <c r="D19" s="226">
        <v>0</v>
      </c>
      <c r="E19" s="226">
        <v>0</v>
      </c>
      <c r="F19" s="79">
        <f t="shared" si="0"/>
        <v>0</v>
      </c>
      <c r="G19" s="107"/>
    </row>
    <row r="20" spans="2:10" ht="15.75" customHeight="1">
      <c r="B20" s="213">
        <v>722000</v>
      </c>
      <c r="C20" s="224" t="s">
        <v>483</v>
      </c>
      <c r="D20" s="227">
        <f>D21+D23+D25+D40+'prihodi-3'!D30+'prihodi-3'!D36</f>
        <v>2464300</v>
      </c>
      <c r="E20" s="227">
        <f>E21+E23+E25+E40+'prihodi-3'!E30+'prihodi-3'!E36</f>
        <v>2571350</v>
      </c>
      <c r="F20" s="223">
        <f t="shared" si="0"/>
        <v>104.34403278821571</v>
      </c>
      <c r="G20" s="107"/>
      <c r="H20" s="107"/>
      <c r="I20" s="107"/>
      <c r="J20" s="107"/>
    </row>
    <row r="21" spans="2:10" ht="15" customHeight="1">
      <c r="B21" s="218">
        <v>722100</v>
      </c>
      <c r="C21" s="255" t="s">
        <v>415</v>
      </c>
      <c r="D21" s="248">
        <f>D22</f>
        <v>118800</v>
      </c>
      <c r="E21" s="248">
        <f>E22</f>
        <v>125200</v>
      </c>
      <c r="F21" s="396">
        <f aca="true" t="shared" si="1" ref="F21:F47">IF(D21=0,,E21/D21*100)</f>
        <v>105.38720538720538</v>
      </c>
      <c r="G21" s="107"/>
      <c r="H21" s="107"/>
      <c r="I21" s="107"/>
      <c r="J21" s="107"/>
    </row>
    <row r="22" spans="2:10" ht="15" customHeight="1">
      <c r="B22" s="230">
        <v>722121</v>
      </c>
      <c r="C22" s="256" t="s">
        <v>416</v>
      </c>
      <c r="D22" s="228">
        <v>118800</v>
      </c>
      <c r="E22" s="228">
        <v>125200</v>
      </c>
      <c r="F22" s="229">
        <f t="shared" si="1"/>
        <v>105.38720538720538</v>
      </c>
      <c r="G22" s="107"/>
      <c r="H22" s="107"/>
      <c r="I22" s="107"/>
      <c r="J22" s="107"/>
    </row>
    <row r="23" spans="2:10" ht="15" customHeight="1">
      <c r="B23" s="218">
        <v>722200</v>
      </c>
      <c r="C23" s="255" t="s">
        <v>417</v>
      </c>
      <c r="D23" s="248">
        <f>D24</f>
        <v>382800</v>
      </c>
      <c r="E23" s="248">
        <f>E24</f>
        <v>415300</v>
      </c>
      <c r="F23" s="244">
        <f t="shared" si="1"/>
        <v>108.49007314524557</v>
      </c>
      <c r="G23" s="107"/>
      <c r="H23" s="107"/>
      <c r="I23" s="107"/>
      <c r="J23" s="107"/>
    </row>
    <row r="24" spans="2:10" ht="15" customHeight="1">
      <c r="B24" s="230">
        <v>722221</v>
      </c>
      <c r="C24" s="256" t="s">
        <v>418</v>
      </c>
      <c r="D24" s="228">
        <v>382800</v>
      </c>
      <c r="E24" s="228">
        <v>415300</v>
      </c>
      <c r="F24" s="229">
        <f t="shared" si="1"/>
        <v>108.49007314524557</v>
      </c>
      <c r="G24" s="107"/>
      <c r="H24" s="107"/>
      <c r="I24" s="107"/>
      <c r="J24" s="107"/>
    </row>
    <row r="25" spans="2:10" ht="15" customHeight="1">
      <c r="B25" s="218">
        <v>722400</v>
      </c>
      <c r="C25" s="255" t="s">
        <v>419</v>
      </c>
      <c r="D25" s="248">
        <f>D26+D32+D35</f>
        <v>913750</v>
      </c>
      <c r="E25" s="248">
        <f>E26+E32+E35</f>
        <v>911600</v>
      </c>
      <c r="F25" s="244">
        <f t="shared" si="1"/>
        <v>99.76470588235294</v>
      </c>
      <c r="G25" s="107"/>
      <c r="H25" s="107"/>
      <c r="I25" s="107"/>
      <c r="J25" s="107"/>
    </row>
    <row r="26" spans="2:10" ht="15" customHeight="1">
      <c r="B26" s="258">
        <v>722420</v>
      </c>
      <c r="C26" s="259" t="s">
        <v>420</v>
      </c>
      <c r="D26" s="231">
        <f>D27+D28+D30+D31</f>
        <v>806350</v>
      </c>
      <c r="E26" s="231">
        <f>E27+E28+E30+E31</f>
        <v>804500</v>
      </c>
      <c r="F26" s="260">
        <f t="shared" si="1"/>
        <v>99.77057109195758</v>
      </c>
      <c r="G26" s="107"/>
      <c r="H26" s="107"/>
      <c r="I26" s="107"/>
      <c r="J26" s="107"/>
    </row>
    <row r="27" spans="2:10" ht="15" customHeight="1">
      <c r="B27" s="230">
        <v>722421</v>
      </c>
      <c r="C27" s="256" t="s">
        <v>420</v>
      </c>
      <c r="D27" s="228">
        <v>50</v>
      </c>
      <c r="E27" s="228">
        <v>0</v>
      </c>
      <c r="F27" s="229">
        <f t="shared" si="1"/>
        <v>0</v>
      </c>
      <c r="G27" s="107"/>
      <c r="H27" s="107"/>
      <c r="I27" s="107"/>
      <c r="J27" s="107"/>
    </row>
    <row r="28" spans="2:10" ht="15" customHeight="1">
      <c r="B28" s="230">
        <v>722422</v>
      </c>
      <c r="C28" s="256" t="s">
        <v>526</v>
      </c>
      <c r="D28" s="228">
        <v>800000</v>
      </c>
      <c r="E28" s="228">
        <f>E29</f>
        <v>800000</v>
      </c>
      <c r="F28" s="229">
        <f t="shared" si="1"/>
        <v>100</v>
      </c>
      <c r="G28" s="107"/>
      <c r="H28" s="107"/>
      <c r="I28" s="107"/>
      <c r="J28" s="107"/>
    </row>
    <row r="29" spans="2:10" ht="27.75" customHeight="1">
      <c r="B29" s="230"/>
      <c r="C29" s="257" t="s">
        <v>0</v>
      </c>
      <c r="D29" s="228">
        <v>800000</v>
      </c>
      <c r="E29" s="228">
        <v>800000</v>
      </c>
      <c r="F29" s="229">
        <f t="shared" si="1"/>
        <v>100</v>
      </c>
      <c r="G29" s="107"/>
      <c r="H29" s="107"/>
      <c r="I29" s="107"/>
      <c r="J29" s="107"/>
    </row>
    <row r="30" spans="2:10" ht="15" customHeight="1">
      <c r="B30" s="230">
        <v>722424</v>
      </c>
      <c r="C30" s="256" t="s">
        <v>423</v>
      </c>
      <c r="D30" s="228">
        <v>3700</v>
      </c>
      <c r="E30" s="228">
        <v>3500</v>
      </c>
      <c r="F30" s="229">
        <f t="shared" si="1"/>
        <v>94.5945945945946</v>
      </c>
      <c r="G30" s="107"/>
      <c r="H30" s="107"/>
      <c r="I30" s="107"/>
      <c r="J30" s="107"/>
    </row>
    <row r="31" spans="2:10" ht="15" customHeight="1">
      <c r="B31" s="230">
        <v>722429</v>
      </c>
      <c r="C31" s="256" t="s">
        <v>421</v>
      </c>
      <c r="D31" s="228">
        <v>2600</v>
      </c>
      <c r="E31" s="228">
        <v>1000</v>
      </c>
      <c r="F31" s="229">
        <f t="shared" si="1"/>
        <v>38.46153846153847</v>
      </c>
      <c r="G31" s="107"/>
      <c r="H31" s="107"/>
      <c r="I31" s="107"/>
      <c r="J31" s="107"/>
    </row>
    <row r="32" spans="2:10" ht="15" customHeight="1">
      <c r="B32" s="254">
        <v>722450</v>
      </c>
      <c r="C32" s="259" t="s">
        <v>422</v>
      </c>
      <c r="D32" s="246">
        <f>SUM(D33:D34)</f>
        <v>7400</v>
      </c>
      <c r="E32" s="246">
        <f>SUM(E33:E34)</f>
        <v>7100</v>
      </c>
      <c r="F32" s="261">
        <f t="shared" si="1"/>
        <v>95.94594594594594</v>
      </c>
      <c r="G32" s="107"/>
      <c r="H32" s="107"/>
      <c r="I32" s="107"/>
      <c r="J32" s="107"/>
    </row>
    <row r="33" spans="2:10" ht="15" customHeight="1">
      <c r="B33" s="230">
        <v>722451</v>
      </c>
      <c r="C33" s="256" t="s">
        <v>424</v>
      </c>
      <c r="D33" s="228">
        <v>6100</v>
      </c>
      <c r="E33" s="228">
        <v>5500</v>
      </c>
      <c r="F33" s="229">
        <f t="shared" si="1"/>
        <v>90.1639344262295</v>
      </c>
      <c r="G33" s="107"/>
      <c r="H33" s="107"/>
      <c r="I33" s="107"/>
      <c r="J33" s="107"/>
    </row>
    <row r="34" spans="2:10" ht="15" customHeight="1">
      <c r="B34" s="230">
        <v>722454</v>
      </c>
      <c r="C34" s="256" t="s">
        <v>425</v>
      </c>
      <c r="D34" s="228">
        <v>1300</v>
      </c>
      <c r="E34" s="228">
        <v>1600</v>
      </c>
      <c r="F34" s="229">
        <f t="shared" si="1"/>
        <v>123.07692307692308</v>
      </c>
      <c r="G34" s="107"/>
      <c r="H34" s="107"/>
      <c r="I34" s="107"/>
      <c r="J34" s="107"/>
    </row>
    <row r="35" spans="2:10" ht="25.5" customHeight="1">
      <c r="B35" s="254">
        <v>722470</v>
      </c>
      <c r="C35" s="262" t="s">
        <v>484</v>
      </c>
      <c r="D35" s="246">
        <f>SUM(D36+D38+D39)</f>
        <v>100000</v>
      </c>
      <c r="E35" s="246">
        <f>SUM(E36+E38+E39)</f>
        <v>100000</v>
      </c>
      <c r="F35" s="261">
        <f t="shared" si="1"/>
        <v>100</v>
      </c>
      <c r="G35" s="107"/>
      <c r="H35" s="107"/>
      <c r="I35" s="107"/>
      <c r="J35" s="107"/>
    </row>
    <row r="36" spans="2:10" ht="15" customHeight="1">
      <c r="B36" s="230">
        <v>722471</v>
      </c>
      <c r="C36" s="256" t="s">
        <v>426</v>
      </c>
      <c r="D36" s="228">
        <v>85800</v>
      </c>
      <c r="E36" s="228">
        <f>E37</f>
        <v>74750</v>
      </c>
      <c r="F36" s="229">
        <f t="shared" si="1"/>
        <v>87.12121212121212</v>
      </c>
      <c r="G36" s="107"/>
      <c r="H36" s="107"/>
      <c r="I36" s="107"/>
      <c r="J36" s="107"/>
    </row>
    <row r="37" spans="2:10" ht="27.75" customHeight="1">
      <c r="B37" s="230"/>
      <c r="C37" s="257" t="s">
        <v>0</v>
      </c>
      <c r="D37" s="228">
        <v>74750</v>
      </c>
      <c r="E37" s="228">
        <f>124750-50000</f>
        <v>74750</v>
      </c>
      <c r="F37" s="229">
        <f t="shared" si="1"/>
        <v>100</v>
      </c>
      <c r="G37" s="107"/>
      <c r="H37" s="107"/>
      <c r="I37" s="107"/>
      <c r="J37" s="107"/>
    </row>
    <row r="38" spans="2:10" ht="27.75" customHeight="1">
      <c r="B38" s="230">
        <v>722472</v>
      </c>
      <c r="C38" s="257" t="s">
        <v>427</v>
      </c>
      <c r="D38" s="228">
        <v>14200</v>
      </c>
      <c r="E38" s="228">
        <v>25200</v>
      </c>
      <c r="F38" s="229">
        <f t="shared" si="1"/>
        <v>177.46478873239437</v>
      </c>
      <c r="G38" s="107"/>
      <c r="H38" s="107"/>
      <c r="I38" s="107"/>
      <c r="J38" s="107"/>
    </row>
    <row r="39" spans="2:10" ht="27.75" customHeight="1">
      <c r="B39" s="230">
        <v>722479</v>
      </c>
      <c r="C39" s="257" t="s">
        <v>713</v>
      </c>
      <c r="D39" s="228">
        <v>0</v>
      </c>
      <c r="E39" s="228">
        <v>50</v>
      </c>
      <c r="F39" s="229">
        <f>IF(D39=0,,E39/D39*100)</f>
        <v>0</v>
      </c>
      <c r="G39" s="107"/>
      <c r="H39" s="107"/>
      <c r="I39" s="107"/>
      <c r="J39" s="107"/>
    </row>
    <row r="40" spans="2:9" ht="26.25" customHeight="1">
      <c r="B40" s="218">
        <v>722500</v>
      </c>
      <c r="C40" s="76" t="s">
        <v>428</v>
      </c>
      <c r="D40" s="263">
        <f>D41+D45+'prihodi-3'!D10+'prihodi-3'!D14+'prihodi-3'!D16+'prihodi-3'!D23</f>
        <v>616350</v>
      </c>
      <c r="E40" s="263">
        <f>E41+E45+'prihodi-3'!E10+'prihodi-3'!E14+'prihodi-3'!E16+'prihodi-3'!E23</f>
        <v>672100</v>
      </c>
      <c r="F40" s="244">
        <f t="shared" si="1"/>
        <v>109.04518536545793</v>
      </c>
      <c r="G40" s="107"/>
      <c r="H40" s="107"/>
      <c r="I40" s="107"/>
    </row>
    <row r="41" spans="2:9" ht="25.5" customHeight="1">
      <c r="B41" s="254">
        <v>722510</v>
      </c>
      <c r="C41" s="264" t="s">
        <v>485</v>
      </c>
      <c r="D41" s="246">
        <f>SUM(D42:D44)</f>
        <v>4000</v>
      </c>
      <c r="E41" s="246">
        <f>SUM(E42:E44)</f>
        <v>4000</v>
      </c>
      <c r="F41" s="261">
        <f t="shared" si="1"/>
        <v>100</v>
      </c>
      <c r="G41" s="107"/>
      <c r="H41" s="107"/>
      <c r="I41" s="107"/>
    </row>
    <row r="42" spans="2:9" ht="25.5" customHeight="1">
      <c r="B42" s="212">
        <v>722514</v>
      </c>
      <c r="C42" s="120" t="s">
        <v>443</v>
      </c>
      <c r="D42" s="186">
        <v>2300</v>
      </c>
      <c r="E42" s="186">
        <v>2100</v>
      </c>
      <c r="F42" s="245">
        <f t="shared" si="1"/>
        <v>91.30434782608695</v>
      </c>
      <c r="G42" s="107"/>
      <c r="H42" s="107"/>
      <c r="I42" s="107"/>
    </row>
    <row r="43" spans="2:9" ht="15" customHeight="1">
      <c r="B43" s="212">
        <v>722515</v>
      </c>
      <c r="C43" s="121" t="s">
        <v>429</v>
      </c>
      <c r="D43" s="186">
        <v>1600</v>
      </c>
      <c r="E43" s="186">
        <v>1850</v>
      </c>
      <c r="F43" s="245">
        <f t="shared" si="1"/>
        <v>115.625</v>
      </c>
      <c r="G43" s="107"/>
      <c r="H43" s="107"/>
      <c r="I43" s="107"/>
    </row>
    <row r="44" spans="2:9" ht="15" customHeight="1">
      <c r="B44" s="212">
        <v>722516</v>
      </c>
      <c r="C44" s="121" t="s">
        <v>430</v>
      </c>
      <c r="D44" s="186">
        <v>100</v>
      </c>
      <c r="E44" s="186">
        <v>50</v>
      </c>
      <c r="F44" s="245">
        <f t="shared" si="1"/>
        <v>50</v>
      </c>
      <c r="G44" s="107"/>
      <c r="H44" s="107"/>
      <c r="I44" s="107"/>
    </row>
    <row r="45" spans="2:9" ht="15" customHeight="1">
      <c r="B45" s="254">
        <v>722520</v>
      </c>
      <c r="C45" s="265" t="s">
        <v>431</v>
      </c>
      <c r="D45" s="246">
        <f>D46+'prihodi-3'!D3+'prihodi-3'!D4+'prihodi-3'!D5+'prihodi-3'!D6+'prihodi-3'!D8+'prihodi-3'!D9+'prihodi-3'!D7</f>
        <v>190000</v>
      </c>
      <c r="E45" s="246">
        <f>E46+'prihodi-3'!E3+'prihodi-3'!E4+'prihodi-3'!E5+'prihodi-3'!E6+'prihodi-3'!E8+'prihodi-3'!E9+'prihodi-3'!E7</f>
        <v>260000</v>
      </c>
      <c r="F45" s="261">
        <f t="shared" si="1"/>
        <v>136.8421052631579</v>
      </c>
      <c r="G45" s="107"/>
      <c r="H45" s="107"/>
      <c r="I45" s="107"/>
    </row>
    <row r="46" spans="2:9" ht="25.5" customHeight="1">
      <c r="B46" s="212">
        <v>722521</v>
      </c>
      <c r="C46" s="120" t="s">
        <v>444</v>
      </c>
      <c r="D46" s="186">
        <v>100250</v>
      </c>
      <c r="E46" s="186">
        <f>E47</f>
        <v>170000</v>
      </c>
      <c r="F46" s="245">
        <f t="shared" si="1"/>
        <v>169.57605985037407</v>
      </c>
      <c r="G46" s="107"/>
      <c r="H46" s="107"/>
      <c r="I46" s="107"/>
    </row>
    <row r="47" spans="1:10" ht="15.75" customHeight="1" thickBot="1">
      <c r="A47" s="338"/>
      <c r="B47" s="343"/>
      <c r="C47" s="344" t="s">
        <v>1</v>
      </c>
      <c r="D47" s="345">
        <v>100250</v>
      </c>
      <c r="E47" s="345">
        <v>170000</v>
      </c>
      <c r="F47" s="346">
        <f t="shared" si="1"/>
        <v>169.57605985037407</v>
      </c>
      <c r="G47" s="107"/>
      <c r="H47" s="107"/>
      <c r="I47" s="107"/>
      <c r="J47" s="107"/>
    </row>
    <row r="48" ht="12.75">
      <c r="E48" s="337"/>
    </row>
    <row r="49" spans="2:7" ht="12.75">
      <c r="B49"/>
      <c r="E49" s="107"/>
      <c r="F49" s="187"/>
      <c r="G49" s="188"/>
    </row>
    <row r="50" spans="5:7" ht="12.75">
      <c r="E50" s="107"/>
      <c r="F50" s="187"/>
      <c r="G50" s="188"/>
    </row>
    <row r="51" spans="6:7" ht="12.75">
      <c r="F51" s="187"/>
      <c r="G51" s="189"/>
    </row>
  </sheetData>
  <sheetProtection/>
  <printOptions/>
  <pageMargins left="0.44" right="0.3" top="0.43" bottom="0.45" header="0.41" footer="0.26"/>
  <pageSetup horizontalDpi="600" verticalDpi="600" orientation="portrait" paperSize="9" scale="91" r:id="rId1"/>
  <headerFooter alignWithMargins="0">
    <oddFooter>&amp;R3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88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5.28125" style="0" customWidth="1"/>
    <col min="2" max="2" width="8.00390625" style="0" customWidth="1"/>
    <col min="3" max="3" width="59.140625" style="0" customWidth="1"/>
    <col min="4" max="4" width="14.7109375" style="0" customWidth="1"/>
    <col min="5" max="5" width="14.421875" style="0" customWidth="1"/>
    <col min="6" max="6" width="8.8515625" style="0" customWidth="1"/>
  </cols>
  <sheetData>
    <row r="1" spans="1:5" ht="12.75">
      <c r="A1" s="369"/>
      <c r="B1" s="369"/>
      <c r="C1" s="370"/>
      <c r="D1" s="371"/>
      <c r="E1" s="371"/>
    </row>
    <row r="2" spans="1:6" ht="33" customHeight="1">
      <c r="A2" s="372" t="s">
        <v>296</v>
      </c>
      <c r="B2" s="373" t="s">
        <v>631</v>
      </c>
      <c r="C2" s="373" t="s">
        <v>632</v>
      </c>
      <c r="D2" s="374" t="s">
        <v>361</v>
      </c>
      <c r="E2" s="374" t="s">
        <v>629</v>
      </c>
      <c r="F2" s="384" t="s">
        <v>59</v>
      </c>
    </row>
    <row r="3" spans="1:6" ht="12.75">
      <c r="A3" s="375"/>
      <c r="B3" s="376">
        <v>1</v>
      </c>
      <c r="C3" s="376">
        <v>2</v>
      </c>
      <c r="D3" s="377">
        <v>3</v>
      </c>
      <c r="E3" s="377">
        <v>4</v>
      </c>
      <c r="F3" s="69"/>
    </row>
    <row r="4" spans="1:6" ht="13.5" customHeight="1">
      <c r="A4" s="375">
        <v>55</v>
      </c>
      <c r="B4" s="379" t="s">
        <v>12</v>
      </c>
      <c r="C4" s="380" t="s">
        <v>13</v>
      </c>
      <c r="D4" s="381">
        <f>SUM(D5:D10)</f>
        <v>310000</v>
      </c>
      <c r="E4" s="381">
        <f>SUM(E5:E10)</f>
        <v>430000</v>
      </c>
      <c r="F4" s="385">
        <f aca="true" t="shared" si="0" ref="F4:F11">E4/D4*100</f>
        <v>138.70967741935485</v>
      </c>
    </row>
    <row r="5" spans="1:6" ht="13.5" customHeight="1">
      <c r="A5" s="375">
        <v>56</v>
      </c>
      <c r="B5" s="382" t="s">
        <v>14</v>
      </c>
      <c r="C5" s="383" t="s">
        <v>76</v>
      </c>
      <c r="D5" s="299">
        <v>170000</v>
      </c>
      <c r="E5" s="299">
        <v>220000</v>
      </c>
      <c r="F5" s="387">
        <f t="shared" si="0"/>
        <v>129.41176470588235</v>
      </c>
    </row>
    <row r="6" spans="1:6" ht="13.5" customHeight="1">
      <c r="A6" s="375">
        <v>57</v>
      </c>
      <c r="B6" s="382" t="s">
        <v>15</v>
      </c>
      <c r="C6" s="383" t="s">
        <v>16</v>
      </c>
      <c r="D6" s="299">
        <v>30000</v>
      </c>
      <c r="E6" s="299">
        <v>30000</v>
      </c>
      <c r="F6" s="387">
        <f t="shared" si="0"/>
        <v>100</v>
      </c>
    </row>
    <row r="7" spans="1:6" ht="13.5" customHeight="1">
      <c r="A7" s="375">
        <v>58</v>
      </c>
      <c r="B7" s="382" t="s">
        <v>17</v>
      </c>
      <c r="C7" s="383" t="s">
        <v>77</v>
      </c>
      <c r="D7" s="299">
        <f>'20'!G37</f>
        <v>30000</v>
      </c>
      <c r="E7" s="299">
        <f>'20'!H37</f>
        <v>30000</v>
      </c>
      <c r="F7" s="387">
        <f t="shared" si="0"/>
        <v>100</v>
      </c>
    </row>
    <row r="8" spans="1:6" ht="13.5" customHeight="1">
      <c r="A8" s="375">
        <v>59</v>
      </c>
      <c r="B8" s="382" t="s">
        <v>18</v>
      </c>
      <c r="C8" s="383" t="s">
        <v>61</v>
      </c>
      <c r="D8" s="299">
        <f>'20'!G38</f>
        <v>80000</v>
      </c>
      <c r="E8" s="299">
        <f>'20'!H38</f>
        <v>150000</v>
      </c>
      <c r="F8" s="387">
        <f t="shared" si="0"/>
        <v>187.5</v>
      </c>
    </row>
    <row r="9" spans="1:6" ht="13.5" customHeight="1">
      <c r="A9" s="375">
        <v>60</v>
      </c>
      <c r="B9" s="382" t="s">
        <v>19</v>
      </c>
      <c r="C9" s="383" t="s">
        <v>20</v>
      </c>
      <c r="D9" s="299">
        <v>0</v>
      </c>
      <c r="E9" s="299">
        <v>0</v>
      </c>
      <c r="F9" s="387"/>
    </row>
    <row r="10" spans="1:6" ht="13.5" customHeight="1">
      <c r="A10" s="375">
        <v>61</v>
      </c>
      <c r="B10" s="382" t="s">
        <v>21</v>
      </c>
      <c r="C10" s="383" t="s">
        <v>22</v>
      </c>
      <c r="D10" s="299">
        <v>0</v>
      </c>
      <c r="E10" s="299">
        <v>0</v>
      </c>
      <c r="F10" s="387"/>
    </row>
    <row r="11" spans="1:6" ht="13.5" customHeight="1">
      <c r="A11" s="375">
        <v>62</v>
      </c>
      <c r="B11" s="379" t="s">
        <v>23</v>
      </c>
      <c r="C11" s="380" t="s">
        <v>24</v>
      </c>
      <c r="D11" s="381">
        <f>SUM(D12:D19)</f>
        <v>12888980</v>
      </c>
      <c r="E11" s="381">
        <f>SUM(E12:E19)</f>
        <v>12517210</v>
      </c>
      <c r="F11" s="385">
        <f t="shared" si="0"/>
        <v>97.11559797594535</v>
      </c>
    </row>
    <row r="12" spans="1:6" ht="13.5" customHeight="1">
      <c r="A12" s="375">
        <v>63</v>
      </c>
      <c r="B12" s="382" t="s">
        <v>25</v>
      </c>
      <c r="C12" s="383" t="s">
        <v>26</v>
      </c>
      <c r="D12" s="299">
        <f>'24'!G42+'25'!G42+'26'!G42+'27'!G42+'28'!G42+'29'!G42+'30'!G42+10000</f>
        <v>7943080</v>
      </c>
      <c r="E12" s="299">
        <f>'24'!H42+'25'!H42+'26'!H42+'27'!H42+'28'!H42+'29'!H42+'30'!H42+10000</f>
        <v>7589550</v>
      </c>
      <c r="F12" s="387">
        <f aca="true" t="shared" si="1" ref="F12:F19">E12/D12*100</f>
        <v>95.54920761216053</v>
      </c>
    </row>
    <row r="13" spans="1:6" ht="13.5" customHeight="1">
      <c r="A13" s="375">
        <v>64</v>
      </c>
      <c r="B13" s="382" t="s">
        <v>27</v>
      </c>
      <c r="C13" s="383" t="s">
        <v>28</v>
      </c>
      <c r="D13" s="299">
        <f>'21'!G42+'22'!G42+'23'!G42+5000</f>
        <v>3778440</v>
      </c>
      <c r="E13" s="299">
        <f>'21'!H42+'22'!H42+'23'!H42+5000</f>
        <v>3811410</v>
      </c>
      <c r="F13" s="387">
        <f t="shared" si="1"/>
        <v>100.87258233556706</v>
      </c>
    </row>
    <row r="14" spans="1:6" ht="13.5" customHeight="1">
      <c r="A14" s="375">
        <v>65</v>
      </c>
      <c r="B14" s="382" t="s">
        <v>29</v>
      </c>
      <c r="C14" s="383" t="s">
        <v>30</v>
      </c>
      <c r="D14" s="299">
        <v>0</v>
      </c>
      <c r="E14" s="299">
        <v>0</v>
      </c>
      <c r="F14" s="387"/>
    </row>
    <row r="15" spans="1:6" ht="13.5" customHeight="1">
      <c r="A15" s="375">
        <v>66</v>
      </c>
      <c r="B15" s="382" t="s">
        <v>31</v>
      </c>
      <c r="C15" s="383" t="s">
        <v>32</v>
      </c>
      <c r="D15" s="299">
        <f>'20'!G32+'20'!G35</f>
        <v>322000</v>
      </c>
      <c r="E15" s="299">
        <f>'20'!H32+'20'!H35</f>
        <v>320000</v>
      </c>
      <c r="F15" s="387">
        <f t="shared" si="1"/>
        <v>99.37888198757764</v>
      </c>
    </row>
    <row r="16" spans="1:6" ht="13.5" customHeight="1">
      <c r="A16" s="375">
        <v>67</v>
      </c>
      <c r="B16" s="382" t="s">
        <v>33</v>
      </c>
      <c r="C16" s="383" t="s">
        <v>78</v>
      </c>
      <c r="D16" s="299">
        <v>0</v>
      </c>
      <c r="E16" s="299">
        <v>0</v>
      </c>
      <c r="F16" s="387"/>
    </row>
    <row r="17" spans="1:6" ht="13.5" customHeight="1">
      <c r="A17" s="375">
        <v>68</v>
      </c>
      <c r="B17" s="382" t="s">
        <v>34</v>
      </c>
      <c r="C17" s="383" t="s">
        <v>35</v>
      </c>
      <c r="D17" s="299">
        <v>0</v>
      </c>
      <c r="E17" s="299">
        <v>0</v>
      </c>
      <c r="F17" s="387"/>
    </row>
    <row r="18" spans="1:6" ht="13.5" customHeight="1">
      <c r="A18" s="375">
        <v>69</v>
      </c>
      <c r="B18" s="382" t="s">
        <v>36</v>
      </c>
      <c r="C18" s="383" t="s">
        <v>37</v>
      </c>
      <c r="D18" s="299">
        <v>0</v>
      </c>
      <c r="E18" s="299">
        <v>0</v>
      </c>
      <c r="F18" s="387"/>
    </row>
    <row r="19" spans="1:6" ht="13.5" customHeight="1">
      <c r="A19" s="375">
        <v>70</v>
      </c>
      <c r="B19" s="382" t="s">
        <v>38</v>
      </c>
      <c r="C19" s="383" t="s">
        <v>39</v>
      </c>
      <c r="D19" s="299">
        <f>'20'!G55-'20'!G32-'20'!G33-'20'!G35-'20'!G36-'20'!G37-'20'!G38</f>
        <v>845460</v>
      </c>
      <c r="E19" s="299">
        <f>'20'!H55-'20'!H32-'20'!H33-'20'!H35-'20'!H36-'20'!H37-'20'!H38</f>
        <v>796250</v>
      </c>
      <c r="F19" s="387">
        <f t="shared" si="1"/>
        <v>94.17949991720484</v>
      </c>
    </row>
    <row r="20" spans="1:6" ht="13.5" customHeight="1">
      <c r="A20" s="375">
        <v>71</v>
      </c>
      <c r="B20" s="379" t="s">
        <v>40</v>
      </c>
      <c r="C20" s="378" t="s">
        <v>41</v>
      </c>
      <c r="D20" s="381">
        <f>SUM(D21:D29)</f>
        <v>3048350</v>
      </c>
      <c r="E20" s="381">
        <f>SUM(E21:E29)</f>
        <v>3846410</v>
      </c>
      <c r="F20" s="385">
        <f>E20/D20*100</f>
        <v>126.18006462512508</v>
      </c>
    </row>
    <row r="21" spans="1:6" ht="13.5" customHeight="1">
      <c r="A21" s="375">
        <v>72</v>
      </c>
      <c r="B21" s="382" t="s">
        <v>42</v>
      </c>
      <c r="C21" s="383" t="s">
        <v>43</v>
      </c>
      <c r="D21" s="299">
        <v>0</v>
      </c>
      <c r="E21" s="299">
        <v>0</v>
      </c>
      <c r="F21" s="387"/>
    </row>
    <row r="22" spans="1:6" ht="13.5" customHeight="1">
      <c r="A22" s="375">
        <v>73</v>
      </c>
      <c r="B22" s="382" t="s">
        <v>44</v>
      </c>
      <c r="C22" s="383" t="s">
        <v>45</v>
      </c>
      <c r="D22" s="299">
        <v>0</v>
      </c>
      <c r="E22" s="299">
        <v>0</v>
      </c>
      <c r="F22" s="387"/>
    </row>
    <row r="23" spans="1:6" ht="13.5" customHeight="1">
      <c r="A23" s="375">
        <v>74</v>
      </c>
      <c r="B23" s="382" t="s">
        <v>46</v>
      </c>
      <c r="C23" s="383" t="s">
        <v>47</v>
      </c>
      <c r="D23" s="299">
        <v>0</v>
      </c>
      <c r="E23" s="299">
        <v>0</v>
      </c>
      <c r="F23" s="387"/>
    </row>
    <row r="24" spans="1:6" ht="13.5" customHeight="1">
      <c r="A24" s="375">
        <v>75</v>
      </c>
      <c r="B24" s="382" t="s">
        <v>48</v>
      </c>
      <c r="C24" s="383" t="s">
        <v>79</v>
      </c>
      <c r="D24" s="299">
        <v>0</v>
      </c>
      <c r="E24" s="299">
        <v>0</v>
      </c>
      <c r="F24" s="387"/>
    </row>
    <row r="25" spans="1:6" ht="13.5" customHeight="1">
      <c r="A25" s="375">
        <v>76</v>
      </c>
      <c r="B25" s="382" t="s">
        <v>49</v>
      </c>
      <c r="C25" s="383" t="s">
        <v>80</v>
      </c>
      <c r="D25" s="299">
        <v>0</v>
      </c>
      <c r="E25" s="299">
        <v>0</v>
      </c>
      <c r="F25" s="387"/>
    </row>
    <row r="26" spans="1:6" ht="13.5" customHeight="1">
      <c r="A26" s="375">
        <v>77</v>
      </c>
      <c r="B26" s="382" t="s">
        <v>50</v>
      </c>
      <c r="C26" s="383" t="s">
        <v>51</v>
      </c>
      <c r="D26" s="299">
        <v>0</v>
      </c>
      <c r="E26" s="299">
        <v>0</v>
      </c>
      <c r="F26" s="387"/>
    </row>
    <row r="27" spans="1:6" ht="13.5" customHeight="1">
      <c r="A27" s="375">
        <v>78</v>
      </c>
      <c r="B27" s="382" t="s">
        <v>52</v>
      </c>
      <c r="C27" s="383" t="s">
        <v>53</v>
      </c>
      <c r="D27" s="299">
        <v>0</v>
      </c>
      <c r="E27" s="299">
        <v>0</v>
      </c>
      <c r="F27" s="387"/>
    </row>
    <row r="28" spans="1:6" ht="13.5" customHeight="1">
      <c r="A28" s="375">
        <v>79</v>
      </c>
      <c r="B28" s="382" t="s">
        <v>54</v>
      </c>
      <c r="C28" s="383" t="s">
        <v>55</v>
      </c>
      <c r="D28" s="299">
        <v>0</v>
      </c>
      <c r="E28" s="299">
        <v>0</v>
      </c>
      <c r="F28" s="387"/>
    </row>
    <row r="29" spans="1:6" ht="13.5" customHeight="1">
      <c r="A29" s="375">
        <v>80</v>
      </c>
      <c r="B29" s="382" t="s">
        <v>56</v>
      </c>
      <c r="C29" s="383" t="s">
        <v>57</v>
      </c>
      <c r="D29" s="299">
        <f>'17'!G42+'31'!G39</f>
        <v>3048350</v>
      </c>
      <c r="E29" s="299">
        <f>'17'!H42+'31'!H39</f>
        <v>3846410</v>
      </c>
      <c r="F29" s="387">
        <f>E29/D29*100</f>
        <v>126.18006462512508</v>
      </c>
    </row>
    <row r="30" spans="1:6" ht="12.75">
      <c r="A30" s="103"/>
      <c r="B30" s="103"/>
      <c r="C30" s="103"/>
      <c r="D30" s="103"/>
      <c r="E30" s="103"/>
      <c r="F30" s="103"/>
    </row>
    <row r="31" spans="1:6" ht="12.75">
      <c r="A31" s="103"/>
      <c r="B31" s="103"/>
      <c r="C31" s="103"/>
      <c r="D31" s="103"/>
      <c r="E31" s="103"/>
      <c r="F31" s="103"/>
    </row>
    <row r="32" spans="1:6" ht="12.75">
      <c r="A32" s="103"/>
      <c r="B32" s="103"/>
      <c r="C32" s="103"/>
      <c r="D32" s="103"/>
      <c r="E32" s="103"/>
      <c r="F32" s="103"/>
    </row>
    <row r="33" spans="1:6" ht="12.75">
      <c r="A33" s="103"/>
      <c r="B33" s="103"/>
      <c r="C33" s="103"/>
      <c r="D33" s="103"/>
      <c r="E33" s="103"/>
      <c r="F33" s="103"/>
    </row>
    <row r="34" spans="1:6" ht="12.75">
      <c r="A34" s="103"/>
      <c r="B34" s="103"/>
      <c r="C34" s="103"/>
      <c r="D34" s="103"/>
      <c r="E34" s="103"/>
      <c r="F34" s="103"/>
    </row>
    <row r="35" spans="1:6" ht="12.75">
      <c r="A35" s="103"/>
      <c r="B35" s="103"/>
      <c r="C35" s="103"/>
      <c r="D35" s="103"/>
      <c r="E35" s="103"/>
      <c r="F35" s="103"/>
    </row>
    <row r="36" spans="1:6" ht="12.75">
      <c r="A36" s="103"/>
      <c r="B36" s="103"/>
      <c r="C36" s="103"/>
      <c r="D36" s="103"/>
      <c r="E36" s="103"/>
      <c r="F36" s="103"/>
    </row>
    <row r="37" spans="1:6" ht="12.75">
      <c r="A37" s="103"/>
      <c r="B37" s="103"/>
      <c r="C37" s="103"/>
      <c r="D37" s="103"/>
      <c r="E37" s="103"/>
      <c r="F37" s="103"/>
    </row>
    <row r="38" spans="1:6" ht="12.75">
      <c r="A38" s="103"/>
      <c r="B38" s="103"/>
      <c r="C38" s="103"/>
      <c r="D38" s="103"/>
      <c r="E38" s="103"/>
      <c r="F38" s="103"/>
    </row>
    <row r="39" spans="1:6" ht="12.75">
      <c r="A39" s="103"/>
      <c r="B39" s="103"/>
      <c r="C39" s="103"/>
      <c r="D39" s="103"/>
      <c r="E39" s="103"/>
      <c r="F39" s="103"/>
    </row>
    <row r="40" spans="1:6" ht="12.75">
      <c r="A40" s="103"/>
      <c r="B40" s="103"/>
      <c r="C40" s="103"/>
      <c r="D40" s="103"/>
      <c r="E40" s="103"/>
      <c r="F40" s="103"/>
    </row>
    <row r="41" spans="1:6" ht="12.75">
      <c r="A41" s="103"/>
      <c r="B41" s="103"/>
      <c r="C41" s="103"/>
      <c r="D41" s="103"/>
      <c r="E41" s="103"/>
      <c r="F41" s="103"/>
    </row>
    <row r="42" spans="1:6" ht="12.75">
      <c r="A42" s="103"/>
      <c r="B42" s="103"/>
      <c r="C42" s="103"/>
      <c r="D42" s="103"/>
      <c r="E42" s="103"/>
      <c r="F42" s="103"/>
    </row>
    <row r="43" spans="1:6" ht="12.75">
      <c r="A43" s="103"/>
      <c r="B43" s="103"/>
      <c r="C43" s="103"/>
      <c r="D43" s="103"/>
      <c r="E43" s="103"/>
      <c r="F43" s="103"/>
    </row>
    <row r="44" spans="1:6" ht="12.75">
      <c r="A44" s="103"/>
      <c r="B44" s="103"/>
      <c r="C44" s="103"/>
      <c r="D44" s="103"/>
      <c r="E44" s="103"/>
      <c r="F44" s="103"/>
    </row>
    <row r="45" spans="1:6" ht="12.75">
      <c r="A45" s="103"/>
      <c r="B45" s="103"/>
      <c r="C45" s="103"/>
      <c r="D45" s="103"/>
      <c r="E45" s="103"/>
      <c r="F45" s="103"/>
    </row>
    <row r="46" spans="1:6" ht="12.75">
      <c r="A46" s="103"/>
      <c r="B46" s="103"/>
      <c r="C46" s="103"/>
      <c r="D46" s="103"/>
      <c r="E46" s="103"/>
      <c r="F46" s="103"/>
    </row>
    <row r="47" spans="1:6" ht="12.75">
      <c r="A47" s="103"/>
      <c r="B47" s="103"/>
      <c r="C47" s="103"/>
      <c r="D47" s="103"/>
      <c r="E47" s="103"/>
      <c r="F47" s="103"/>
    </row>
    <row r="48" spans="1:6" ht="12.75">
      <c r="A48" s="103"/>
      <c r="B48" s="103"/>
      <c r="C48" s="103"/>
      <c r="D48" s="103"/>
      <c r="E48" s="103"/>
      <c r="F48" s="103"/>
    </row>
    <row r="49" spans="1:6" ht="12.75">
      <c r="A49" s="103"/>
      <c r="B49" s="103"/>
      <c r="C49" s="103"/>
      <c r="D49" s="103"/>
      <c r="E49" s="103"/>
      <c r="F49" s="103"/>
    </row>
    <row r="50" spans="1:6" ht="12.75">
      <c r="A50" s="103"/>
      <c r="B50" s="103"/>
      <c r="C50" s="103"/>
      <c r="D50" s="103"/>
      <c r="E50" s="103"/>
      <c r="F50" s="103"/>
    </row>
    <row r="51" spans="1:6" ht="12.75">
      <c r="A51" s="103"/>
      <c r="B51" s="103"/>
      <c r="C51" s="103"/>
      <c r="D51" s="103"/>
      <c r="E51" s="103"/>
      <c r="F51" s="103"/>
    </row>
    <row r="52" spans="1:6" ht="12.75">
      <c r="A52" s="103"/>
      <c r="B52" s="103"/>
      <c r="C52" s="103"/>
      <c r="D52" s="103"/>
      <c r="E52" s="103"/>
      <c r="F52" s="103"/>
    </row>
    <row r="53" spans="1:6" ht="12.75">
      <c r="A53" s="103"/>
      <c r="B53" s="103"/>
      <c r="C53" s="103"/>
      <c r="D53" s="103"/>
      <c r="E53" s="103"/>
      <c r="F53" s="103"/>
    </row>
    <row r="54" spans="1:6" ht="12.75">
      <c r="A54" s="103"/>
      <c r="B54" s="103"/>
      <c r="C54" s="103"/>
      <c r="D54" s="103"/>
      <c r="E54" s="103"/>
      <c r="F54" s="103"/>
    </row>
    <row r="55" spans="1:6" ht="12.75">
      <c r="A55" s="103"/>
      <c r="B55" s="103"/>
      <c r="C55" s="103"/>
      <c r="D55" s="103"/>
      <c r="E55" s="103"/>
      <c r="F55" s="103"/>
    </row>
    <row r="56" spans="1:6" ht="12.75">
      <c r="A56" s="103"/>
      <c r="B56" s="103"/>
      <c r="C56" s="103"/>
      <c r="D56" s="103"/>
      <c r="E56" s="103"/>
      <c r="F56" s="103"/>
    </row>
    <row r="57" spans="1:6" ht="12.75">
      <c r="A57" s="103"/>
      <c r="B57" s="103"/>
      <c r="C57" s="103"/>
      <c r="D57" s="103"/>
      <c r="E57" s="103"/>
      <c r="F57" s="103"/>
    </row>
    <row r="58" spans="1:6" ht="12.75">
      <c r="A58" s="103"/>
      <c r="B58" s="103"/>
      <c r="C58" s="103"/>
      <c r="D58" s="103"/>
      <c r="E58" s="103"/>
      <c r="F58" s="103"/>
    </row>
    <row r="59" spans="1:6" ht="12.75">
      <c r="A59" s="103"/>
      <c r="B59" s="103"/>
      <c r="C59" s="103"/>
      <c r="D59" s="103"/>
      <c r="E59" s="103"/>
      <c r="F59" s="103"/>
    </row>
    <row r="60" spans="1:6" ht="12.75">
      <c r="A60" s="103"/>
      <c r="B60" s="103"/>
      <c r="C60" s="103"/>
      <c r="D60" s="103"/>
      <c r="E60" s="103"/>
      <c r="F60" s="103"/>
    </row>
    <row r="61" spans="1:6" ht="12.75">
      <c r="A61" s="103"/>
      <c r="B61" s="103"/>
      <c r="C61" s="103"/>
      <c r="D61" s="103"/>
      <c r="E61" s="103"/>
      <c r="F61" s="103"/>
    </row>
    <row r="62" spans="1:6" ht="12.75">
      <c r="A62" s="103"/>
      <c r="B62" s="103"/>
      <c r="C62" s="103"/>
      <c r="D62" s="103"/>
      <c r="E62" s="103"/>
      <c r="F62" s="103"/>
    </row>
    <row r="63" spans="1:6" ht="12.75">
      <c r="A63" s="103"/>
      <c r="B63" s="103"/>
      <c r="C63" s="103"/>
      <c r="D63" s="103"/>
      <c r="E63" s="103"/>
      <c r="F63" s="103"/>
    </row>
    <row r="64" spans="1:6" ht="12.75">
      <c r="A64" s="103"/>
      <c r="B64" s="103"/>
      <c r="C64" s="103"/>
      <c r="D64" s="103"/>
      <c r="E64" s="103"/>
      <c r="F64" s="103"/>
    </row>
    <row r="65" spans="1:6" ht="12.75">
      <c r="A65" s="103"/>
      <c r="B65" s="103"/>
      <c r="C65" s="103"/>
      <c r="D65" s="103"/>
      <c r="E65" s="103"/>
      <c r="F65" s="103"/>
    </row>
    <row r="66" spans="1:6" ht="12.75">
      <c r="A66" s="103"/>
      <c r="B66" s="103"/>
      <c r="C66" s="103"/>
      <c r="D66" s="103"/>
      <c r="E66" s="103"/>
      <c r="F66" s="103"/>
    </row>
    <row r="67" spans="1:6" ht="12.75">
      <c r="A67" s="103"/>
      <c r="B67" s="103"/>
      <c r="C67" s="103"/>
      <c r="D67" s="103"/>
      <c r="E67" s="103"/>
      <c r="F67" s="103"/>
    </row>
    <row r="68" spans="1:6" ht="12.75">
      <c r="A68" s="103"/>
      <c r="B68" s="103"/>
      <c r="C68" s="103"/>
      <c r="D68" s="103"/>
      <c r="E68" s="103"/>
      <c r="F68" s="103"/>
    </row>
    <row r="69" spans="1:6" ht="12.75">
      <c r="A69" s="103"/>
      <c r="B69" s="103"/>
      <c r="C69" s="103"/>
      <c r="D69" s="103"/>
      <c r="E69" s="103"/>
      <c r="F69" s="103"/>
    </row>
    <row r="70" spans="1:6" ht="12.75">
      <c r="A70" s="103"/>
      <c r="B70" s="103"/>
      <c r="C70" s="103"/>
      <c r="D70" s="103"/>
      <c r="E70" s="103"/>
      <c r="F70" s="103"/>
    </row>
    <row r="71" spans="1:6" ht="12.75">
      <c r="A71" s="103"/>
      <c r="B71" s="103"/>
      <c r="C71" s="103"/>
      <c r="D71" s="103"/>
      <c r="E71" s="103"/>
      <c r="F71" s="103"/>
    </row>
    <row r="72" spans="1:6" ht="12.75">
      <c r="A72" s="103"/>
      <c r="B72" s="103"/>
      <c r="C72" s="103"/>
      <c r="D72" s="103"/>
      <c r="E72" s="103"/>
      <c r="F72" s="103"/>
    </row>
    <row r="73" spans="1:6" ht="12.75">
      <c r="A73" s="103"/>
      <c r="B73" s="103"/>
      <c r="C73" s="103"/>
      <c r="D73" s="103"/>
      <c r="E73" s="103"/>
      <c r="F73" s="103"/>
    </row>
    <row r="74" spans="1:6" ht="12.75">
      <c r="A74" s="103"/>
      <c r="B74" s="103"/>
      <c r="C74" s="103"/>
      <c r="D74" s="103"/>
      <c r="E74" s="103"/>
      <c r="F74" s="103"/>
    </row>
    <row r="75" spans="1:6" ht="12.75">
      <c r="A75" s="103"/>
      <c r="B75" s="103"/>
      <c r="C75" s="103"/>
      <c r="D75" s="103"/>
      <c r="E75" s="103"/>
      <c r="F75" s="103"/>
    </row>
    <row r="76" spans="1:6" ht="12.75">
      <c r="A76" s="103"/>
      <c r="B76" s="103"/>
      <c r="C76" s="103"/>
      <c r="D76" s="103"/>
      <c r="E76" s="103"/>
      <c r="F76" s="103"/>
    </row>
    <row r="77" spans="1:6" ht="12.75">
      <c r="A77" s="103"/>
      <c r="B77" s="103"/>
      <c r="C77" s="103"/>
      <c r="D77" s="103"/>
      <c r="E77" s="103"/>
      <c r="F77" s="103"/>
    </row>
    <row r="78" spans="1:6" ht="12.75">
      <c r="A78" s="103"/>
      <c r="B78" s="103"/>
      <c r="C78" s="103"/>
      <c r="D78" s="103"/>
      <c r="E78" s="103"/>
      <c r="F78" s="103"/>
    </row>
    <row r="79" spans="1:6" ht="12.75">
      <c r="A79" s="103"/>
      <c r="B79" s="103"/>
      <c r="C79" s="103"/>
      <c r="D79" s="103"/>
      <c r="E79" s="103"/>
      <c r="F79" s="103"/>
    </row>
    <row r="80" spans="1:6" ht="12.75">
      <c r="A80" s="103"/>
      <c r="B80" s="103"/>
      <c r="C80" s="103"/>
      <c r="D80" s="103"/>
      <c r="E80" s="103"/>
      <c r="F80" s="103"/>
    </row>
    <row r="81" spans="1:6" ht="12.75">
      <c r="A81" s="103"/>
      <c r="B81" s="103"/>
      <c r="C81" s="103"/>
      <c r="D81" s="103"/>
      <c r="E81" s="103"/>
      <c r="F81" s="103"/>
    </row>
    <row r="82" spans="1:6" ht="12.75">
      <c r="A82" s="103"/>
      <c r="B82" s="103"/>
      <c r="C82" s="103"/>
      <c r="D82" s="103"/>
      <c r="E82" s="103"/>
      <c r="F82" s="103"/>
    </row>
    <row r="83" spans="1:6" ht="12.75">
      <c r="A83" s="103"/>
      <c r="B83" s="103"/>
      <c r="C83" s="103"/>
      <c r="D83" s="103"/>
      <c r="E83" s="103"/>
      <c r="F83" s="103"/>
    </row>
    <row r="84" spans="1:6" ht="12.75">
      <c r="A84" s="103"/>
      <c r="B84" s="103"/>
      <c r="C84" s="103"/>
      <c r="D84" s="103"/>
      <c r="E84" s="103"/>
      <c r="F84" s="103"/>
    </row>
    <row r="85" spans="1:6" ht="12.75">
      <c r="A85" s="103"/>
      <c r="B85" s="103"/>
      <c r="C85" s="103"/>
      <c r="D85" s="103"/>
      <c r="E85" s="103"/>
      <c r="F85" s="103"/>
    </row>
    <row r="86" spans="1:6" ht="12.75">
      <c r="A86" s="103"/>
      <c r="B86" s="103"/>
      <c r="C86" s="103"/>
      <c r="D86" s="103"/>
      <c r="E86" s="103"/>
      <c r="F86" s="103"/>
    </row>
    <row r="87" spans="1:6" ht="12.75">
      <c r="A87" s="103"/>
      <c r="B87" s="103"/>
      <c r="C87" s="103"/>
      <c r="D87" s="103"/>
      <c r="E87" s="103"/>
      <c r="F87" s="103"/>
    </row>
    <row r="88" spans="1:6" ht="12.75">
      <c r="A88" s="103"/>
      <c r="B88" s="103"/>
      <c r="C88" s="103"/>
      <c r="D88" s="103"/>
      <c r="E88" s="103"/>
      <c r="F88" s="103"/>
    </row>
  </sheetData>
  <sheetProtection/>
  <printOptions/>
  <pageMargins left="0.3" right="0.26" top="0.51" bottom="0.74" header="0.5" footer="0.5"/>
  <pageSetup horizontalDpi="600" verticalDpi="600" orientation="portrait" paperSize="9" scale="88" r:id="rId1"/>
  <headerFooter alignWithMargins="0">
    <oddFooter>&amp;R48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4">
      <selection activeCell="G7" sqref="G7"/>
    </sheetView>
  </sheetViews>
  <sheetFormatPr defaultColWidth="9.140625" defaultRowHeight="12.75"/>
  <cols>
    <col min="1" max="1" width="11.8515625" style="58" customWidth="1"/>
    <col min="2" max="2" width="82.28125" style="0" customWidth="1"/>
    <col min="3" max="6" width="15.7109375" style="0" customWidth="1"/>
  </cols>
  <sheetData>
    <row r="2" spans="1:6" ht="15.75">
      <c r="A2" s="412" t="s">
        <v>618</v>
      </c>
      <c r="B2" s="442"/>
      <c r="C2" s="442"/>
      <c r="D2" s="442"/>
      <c r="E2" s="442"/>
      <c r="F2" s="442"/>
    </row>
    <row r="4" spans="1:6" s="71" customFormat="1" ht="25.5">
      <c r="A4" s="447" t="s">
        <v>541</v>
      </c>
      <c r="B4" s="447" t="s">
        <v>560</v>
      </c>
      <c r="C4" s="331" t="s">
        <v>778</v>
      </c>
      <c r="D4" s="444" t="s">
        <v>571</v>
      </c>
      <c r="E4" s="445"/>
      <c r="F4" s="446"/>
    </row>
    <row r="5" spans="1:6" s="71" customFormat="1" ht="12.75">
      <c r="A5" s="448"/>
      <c r="B5" s="448"/>
      <c r="C5" s="331"/>
      <c r="D5" s="331" t="s">
        <v>568</v>
      </c>
      <c r="E5" s="331" t="s">
        <v>569</v>
      </c>
      <c r="F5" s="331" t="s">
        <v>570</v>
      </c>
    </row>
    <row r="6" spans="1:6" s="71" customFormat="1" ht="12.75">
      <c r="A6" s="331">
        <v>1</v>
      </c>
      <c r="B6" s="332">
        <v>2</v>
      </c>
      <c r="C6" s="331" t="s">
        <v>572</v>
      </c>
      <c r="D6" s="331">
        <v>4</v>
      </c>
      <c r="E6" s="331">
        <v>5</v>
      </c>
      <c r="F6" s="331">
        <v>6</v>
      </c>
    </row>
    <row r="7" spans="1:6" ht="15.75" customHeight="1">
      <c r="A7" s="325">
        <v>10010001</v>
      </c>
      <c r="B7" s="30" t="s">
        <v>260</v>
      </c>
      <c r="C7" s="323">
        <f>D7+E7+F7</f>
        <v>4000</v>
      </c>
      <c r="D7" s="323">
        <f>1!H36-E7-F7</f>
        <v>4000</v>
      </c>
      <c r="E7" s="323">
        <v>0</v>
      </c>
      <c r="F7" s="323">
        <v>0</v>
      </c>
    </row>
    <row r="8" spans="1:6" ht="15.75" customHeight="1">
      <c r="A8" s="325">
        <v>10010002</v>
      </c>
      <c r="B8" s="30" t="s">
        <v>542</v>
      </c>
      <c r="C8" s="323">
        <f aca="true" t="shared" si="0" ref="C8:C43">D8+E8+F8</f>
        <v>0</v>
      </c>
      <c r="D8" s="323">
        <f>2!H36-E8-F8</f>
        <v>0</v>
      </c>
      <c r="E8" s="323">
        <v>0</v>
      </c>
      <c r="F8" s="323">
        <v>0</v>
      </c>
    </row>
    <row r="9" spans="1:6" ht="15.75" customHeight="1">
      <c r="A9" s="325">
        <v>11010001</v>
      </c>
      <c r="B9" s="30" t="s">
        <v>261</v>
      </c>
      <c r="C9" s="323">
        <f t="shared" si="0"/>
        <v>80000</v>
      </c>
      <c r="D9" s="323">
        <f>3!H50-E9-F9</f>
        <v>80000</v>
      </c>
      <c r="E9" s="323">
        <v>0</v>
      </c>
      <c r="F9" s="323">
        <v>0</v>
      </c>
    </row>
    <row r="10" spans="1:6" ht="15.75" customHeight="1">
      <c r="A10" s="325">
        <v>11010002</v>
      </c>
      <c r="B10" s="30" t="s">
        <v>262</v>
      </c>
      <c r="C10" s="323">
        <f t="shared" si="0"/>
        <v>1000</v>
      </c>
      <c r="D10" s="323">
        <f>4!H37-E10-F10</f>
        <v>1000</v>
      </c>
      <c r="E10" s="323">
        <v>0</v>
      </c>
      <c r="F10" s="323">
        <v>0</v>
      </c>
    </row>
    <row r="11" spans="1:6" ht="15.75" customHeight="1">
      <c r="A11" s="325">
        <v>11010003</v>
      </c>
      <c r="B11" s="30" t="s">
        <v>263</v>
      </c>
      <c r="C11" s="323">
        <f t="shared" si="0"/>
        <v>0</v>
      </c>
      <c r="D11" s="323">
        <f>5!H36-E11-F11</f>
        <v>0</v>
      </c>
      <c r="E11" s="323">
        <v>0</v>
      </c>
      <c r="F11" s="323">
        <v>0</v>
      </c>
    </row>
    <row r="12" spans="1:6" ht="15.75" customHeight="1">
      <c r="A12" s="325">
        <v>11010004</v>
      </c>
      <c r="B12" s="30" t="s">
        <v>265</v>
      </c>
      <c r="C12" s="323">
        <f t="shared" si="0"/>
        <v>800</v>
      </c>
      <c r="D12" s="323">
        <f>6!H36-E12-F12</f>
        <v>800</v>
      </c>
      <c r="E12" s="323">
        <v>0</v>
      </c>
      <c r="F12" s="323">
        <v>0</v>
      </c>
    </row>
    <row r="13" spans="1:6" ht="15.75" customHeight="1">
      <c r="A13" s="325">
        <v>11010005</v>
      </c>
      <c r="B13" s="30" t="s">
        <v>357</v>
      </c>
      <c r="C13" s="323">
        <f t="shared" si="0"/>
        <v>4000</v>
      </c>
      <c r="D13" s="323">
        <f>7!H36-E13-F13</f>
        <v>4000</v>
      </c>
      <c r="E13" s="323">
        <v>0</v>
      </c>
      <c r="F13" s="323">
        <v>0</v>
      </c>
    </row>
    <row r="14" spans="1:6" ht="15.75" customHeight="1">
      <c r="A14" s="325">
        <v>12010001</v>
      </c>
      <c r="B14" s="30" t="s">
        <v>266</v>
      </c>
      <c r="C14" s="323">
        <f t="shared" si="0"/>
        <v>80000</v>
      </c>
      <c r="D14" s="323">
        <f>8!H36-E14-F14</f>
        <v>80000</v>
      </c>
      <c r="E14" s="323">
        <v>0</v>
      </c>
      <c r="F14" s="323">
        <v>0</v>
      </c>
    </row>
    <row r="15" spans="1:6" ht="15.75" customHeight="1">
      <c r="A15" s="325">
        <v>13010001</v>
      </c>
      <c r="B15" s="30" t="s">
        <v>540</v>
      </c>
      <c r="C15" s="323">
        <f t="shared" si="0"/>
        <v>150000</v>
      </c>
      <c r="D15" s="323">
        <f>9!H36-E15-F15</f>
        <v>150000</v>
      </c>
      <c r="E15" s="323">
        <v>0</v>
      </c>
      <c r="F15" s="323">
        <v>0</v>
      </c>
    </row>
    <row r="16" spans="1:6" ht="15.75" customHeight="1">
      <c r="A16" s="325">
        <v>14010001</v>
      </c>
      <c r="B16" s="30" t="s">
        <v>268</v>
      </c>
      <c r="C16" s="323">
        <f t="shared" si="0"/>
        <v>2000</v>
      </c>
      <c r="D16" s="323">
        <f>'10'!H36-E16-F16</f>
        <v>2000</v>
      </c>
      <c r="E16" s="323">
        <v>0</v>
      </c>
      <c r="F16" s="323">
        <v>0</v>
      </c>
    </row>
    <row r="17" spans="1:6" ht="15.75" customHeight="1">
      <c r="A17" s="325">
        <v>14020003</v>
      </c>
      <c r="B17" s="30" t="s">
        <v>269</v>
      </c>
      <c r="C17" s="323">
        <f t="shared" si="0"/>
        <v>5000</v>
      </c>
      <c r="D17" s="323">
        <f>'11'!H36-E17-F17</f>
        <v>5000</v>
      </c>
      <c r="E17" s="323">
        <v>0</v>
      </c>
      <c r="F17" s="323">
        <v>0</v>
      </c>
    </row>
    <row r="18" spans="1:6" ht="15.75" customHeight="1">
      <c r="A18" s="325">
        <v>14050001</v>
      </c>
      <c r="B18" s="30" t="s">
        <v>270</v>
      </c>
      <c r="C18" s="323">
        <f t="shared" si="0"/>
        <v>500</v>
      </c>
      <c r="D18" s="323">
        <f>'12'!H36-E18-F18</f>
        <v>500</v>
      </c>
      <c r="E18" s="323">
        <v>0</v>
      </c>
      <c r="F18" s="323">
        <v>0</v>
      </c>
    </row>
    <row r="19" spans="1:6" ht="15.75" customHeight="1">
      <c r="A19" s="325">
        <v>14050002</v>
      </c>
      <c r="B19" s="30" t="s">
        <v>271</v>
      </c>
      <c r="C19" s="323">
        <f t="shared" si="0"/>
        <v>1000</v>
      </c>
      <c r="D19" s="323">
        <f>'13'!H36-E19-F19</f>
        <v>1000</v>
      </c>
      <c r="E19" s="323">
        <v>0</v>
      </c>
      <c r="F19" s="323">
        <v>0</v>
      </c>
    </row>
    <row r="20" spans="1:6" ht="15.75" customHeight="1">
      <c r="A20" s="325">
        <v>14060001</v>
      </c>
      <c r="B20" s="30" t="s">
        <v>272</v>
      </c>
      <c r="C20" s="323">
        <f t="shared" si="0"/>
        <v>0</v>
      </c>
      <c r="D20" s="323">
        <f>'14'!H36-E20-F20</f>
        <v>0</v>
      </c>
      <c r="E20" s="323">
        <v>0</v>
      </c>
      <c r="F20" s="323">
        <v>0</v>
      </c>
    </row>
    <row r="21" spans="1:6" ht="15.75" customHeight="1">
      <c r="A21" s="325">
        <v>15010001</v>
      </c>
      <c r="B21" s="30" t="s">
        <v>273</v>
      </c>
      <c r="C21" s="323">
        <f t="shared" si="0"/>
        <v>1500</v>
      </c>
      <c r="D21" s="323">
        <f>'15'!H33-E21-F21</f>
        <v>1500</v>
      </c>
      <c r="E21" s="323">
        <v>0</v>
      </c>
      <c r="F21" s="323">
        <v>0</v>
      </c>
    </row>
    <row r="22" spans="1:6" ht="15.75" customHeight="1">
      <c r="A22" s="325">
        <v>16010001</v>
      </c>
      <c r="B22" s="30" t="s">
        <v>274</v>
      </c>
      <c r="C22" s="323">
        <f t="shared" si="0"/>
        <v>2500</v>
      </c>
      <c r="D22" s="323">
        <f>'16'!H43-E22-F22</f>
        <v>2500</v>
      </c>
      <c r="E22" s="323">
        <v>0</v>
      </c>
      <c r="F22" s="323">
        <v>0</v>
      </c>
    </row>
    <row r="23" spans="1:6" ht="15.75" customHeight="1">
      <c r="A23" s="325">
        <v>17010001</v>
      </c>
      <c r="B23" s="30" t="s">
        <v>275</v>
      </c>
      <c r="C23" s="323">
        <f t="shared" si="0"/>
        <v>1500</v>
      </c>
      <c r="D23" s="323">
        <f>'17'!H36-E23-F23</f>
        <v>1500</v>
      </c>
      <c r="E23" s="323">
        <v>0</v>
      </c>
      <c r="F23" s="323">
        <v>0</v>
      </c>
    </row>
    <row r="24" spans="1:6" ht="15.75" customHeight="1">
      <c r="A24" s="325">
        <v>18010001</v>
      </c>
      <c r="B24" s="30" t="s">
        <v>276</v>
      </c>
      <c r="C24" s="323">
        <f t="shared" si="0"/>
        <v>852000</v>
      </c>
      <c r="D24" s="323">
        <f>'18'!H37-E24-F24</f>
        <v>252000</v>
      </c>
      <c r="E24" s="323">
        <v>0</v>
      </c>
      <c r="F24" s="400">
        <v>600000</v>
      </c>
    </row>
    <row r="25" spans="1:6" ht="15.75" customHeight="1">
      <c r="A25" s="325">
        <v>19010001</v>
      </c>
      <c r="B25" s="30" t="s">
        <v>277</v>
      </c>
      <c r="C25" s="323">
        <f t="shared" si="0"/>
        <v>20000</v>
      </c>
      <c r="D25" s="323">
        <f>'19'!H35-E25-F25</f>
        <v>20000</v>
      </c>
      <c r="E25" s="323">
        <v>0</v>
      </c>
      <c r="F25" s="323">
        <v>0</v>
      </c>
    </row>
    <row r="26" spans="1:6" ht="15.75" customHeight="1">
      <c r="A26" s="325">
        <v>20010001</v>
      </c>
      <c r="B26" s="30" t="s">
        <v>278</v>
      </c>
      <c r="C26" s="323">
        <f t="shared" si="0"/>
        <v>1000</v>
      </c>
      <c r="D26" s="323">
        <f>'20'!H46-E26-F26</f>
        <v>1000</v>
      </c>
      <c r="E26" s="323">
        <v>0</v>
      </c>
      <c r="F26" s="323">
        <v>0</v>
      </c>
    </row>
    <row r="27" spans="1:6" ht="15.75" customHeight="1">
      <c r="A27" s="325">
        <v>20020002</v>
      </c>
      <c r="B27" s="30" t="s">
        <v>543</v>
      </c>
      <c r="C27" s="323">
        <f t="shared" si="0"/>
        <v>6000</v>
      </c>
      <c r="D27" s="323">
        <f>'21'!H36-E27-F27</f>
        <v>6000</v>
      </c>
      <c r="E27" s="323">
        <v>0</v>
      </c>
      <c r="F27" s="400">
        <v>0</v>
      </c>
    </row>
    <row r="28" spans="1:6" ht="15.75" customHeight="1">
      <c r="A28" s="325">
        <v>20020003</v>
      </c>
      <c r="B28" s="30" t="s">
        <v>544</v>
      </c>
      <c r="C28" s="323">
        <f t="shared" si="0"/>
        <v>5000</v>
      </c>
      <c r="D28" s="323">
        <f>'22'!H36-E28-F28</f>
        <v>5000</v>
      </c>
      <c r="E28" s="323">
        <v>0</v>
      </c>
      <c r="F28" s="400">
        <v>0</v>
      </c>
    </row>
    <row r="29" spans="1:6" ht="15.75" customHeight="1">
      <c r="A29" s="325">
        <v>20020004</v>
      </c>
      <c r="B29" s="30" t="s">
        <v>545</v>
      </c>
      <c r="C29" s="323">
        <f t="shared" si="0"/>
        <v>4500</v>
      </c>
      <c r="D29" s="323">
        <f>'23'!H36-E29-F29</f>
        <v>4500</v>
      </c>
      <c r="E29" s="323">
        <v>0</v>
      </c>
      <c r="F29" s="400">
        <v>0</v>
      </c>
    </row>
    <row r="30" spans="1:6" ht="15.75" customHeight="1">
      <c r="A30" s="325">
        <v>20030001</v>
      </c>
      <c r="B30" s="30" t="s">
        <v>546</v>
      </c>
      <c r="C30" s="323">
        <f t="shared" si="0"/>
        <v>6000</v>
      </c>
      <c r="D30" s="323">
        <f>'24'!H36-E30-F30</f>
        <v>6000</v>
      </c>
      <c r="E30" s="323">
        <v>0</v>
      </c>
      <c r="F30" s="323">
        <v>0</v>
      </c>
    </row>
    <row r="31" spans="1:6" ht="15.75" customHeight="1">
      <c r="A31" s="325">
        <v>20030002</v>
      </c>
      <c r="B31" s="30" t="s">
        <v>547</v>
      </c>
      <c r="C31" s="323">
        <f t="shared" si="0"/>
        <v>30000</v>
      </c>
      <c r="D31" s="323">
        <f>'25'!H36-E31-F31</f>
        <v>0</v>
      </c>
      <c r="E31" s="323">
        <v>0</v>
      </c>
      <c r="F31" s="323">
        <v>30000</v>
      </c>
    </row>
    <row r="32" spans="1:6" ht="15.75" customHeight="1">
      <c r="A32" s="325">
        <v>20030003</v>
      </c>
      <c r="B32" s="30" t="s">
        <v>548</v>
      </c>
      <c r="C32" s="323">
        <f t="shared" si="0"/>
        <v>0</v>
      </c>
      <c r="D32" s="323">
        <f>'26'!H36-E32-F32</f>
        <v>0</v>
      </c>
      <c r="E32" s="323">
        <v>0</v>
      </c>
      <c r="F32" s="323">
        <v>0</v>
      </c>
    </row>
    <row r="33" spans="1:6" ht="15.75" customHeight="1">
      <c r="A33" s="325">
        <v>20030004</v>
      </c>
      <c r="B33" s="30" t="s">
        <v>601</v>
      </c>
      <c r="C33" s="323">
        <f t="shared" si="0"/>
        <v>0</v>
      </c>
      <c r="D33" s="323">
        <f>'27'!H36-E33-F33</f>
        <v>0</v>
      </c>
      <c r="E33" s="323">
        <v>0</v>
      </c>
      <c r="F33" s="323">
        <v>0</v>
      </c>
    </row>
    <row r="34" spans="1:6" ht="15.75" customHeight="1">
      <c r="A34" s="325">
        <v>20030005</v>
      </c>
      <c r="B34" s="30" t="s">
        <v>729</v>
      </c>
      <c r="C34" s="323">
        <f t="shared" si="0"/>
        <v>45000</v>
      </c>
      <c r="D34" s="323">
        <f>'28'!H36-E34-F34</f>
        <v>10000</v>
      </c>
      <c r="E34" s="323">
        <v>0</v>
      </c>
      <c r="F34" s="323">
        <v>35000</v>
      </c>
    </row>
    <row r="35" spans="1:6" ht="15.75" customHeight="1">
      <c r="A35" s="325">
        <v>20030006</v>
      </c>
      <c r="B35" s="30" t="s">
        <v>730</v>
      </c>
      <c r="C35" s="323">
        <f t="shared" si="0"/>
        <v>10000</v>
      </c>
      <c r="D35" s="323">
        <f>'29'!H36-E35-F35</f>
        <v>0</v>
      </c>
      <c r="E35" s="323">
        <v>0</v>
      </c>
      <c r="F35" s="323">
        <v>10000</v>
      </c>
    </row>
    <row r="36" spans="1:6" ht="15.75" customHeight="1">
      <c r="A36" s="325">
        <v>20030007</v>
      </c>
      <c r="B36" s="30" t="s">
        <v>728</v>
      </c>
      <c r="C36" s="323">
        <f t="shared" si="0"/>
        <v>12630</v>
      </c>
      <c r="D36" s="323">
        <f>'30'!H36-E36-F36</f>
        <v>0</v>
      </c>
      <c r="E36" s="323">
        <v>0</v>
      </c>
      <c r="F36" s="323">
        <v>12630</v>
      </c>
    </row>
    <row r="37" spans="1:6" ht="15.75" customHeight="1">
      <c r="A37" s="325">
        <v>21010001</v>
      </c>
      <c r="B37" s="30" t="s">
        <v>288</v>
      </c>
      <c r="C37" s="323">
        <f t="shared" si="0"/>
        <v>1000</v>
      </c>
      <c r="D37" s="323">
        <f>'31'!H33-E37-F37</f>
        <v>1000</v>
      </c>
      <c r="E37" s="323">
        <v>0</v>
      </c>
      <c r="F37" s="323">
        <v>0</v>
      </c>
    </row>
    <row r="38" spans="1:6" ht="15.75" customHeight="1">
      <c r="A38" s="325">
        <v>22010001</v>
      </c>
      <c r="B38" s="30" t="s">
        <v>289</v>
      </c>
      <c r="C38" s="323">
        <f t="shared" si="0"/>
        <v>0</v>
      </c>
      <c r="D38" s="323">
        <f>'32'!H35-E38-F38</f>
        <v>0</v>
      </c>
      <c r="E38" s="323">
        <v>0</v>
      </c>
      <c r="F38" s="323">
        <v>0</v>
      </c>
    </row>
    <row r="39" spans="1:6" ht="15.75" customHeight="1">
      <c r="A39" s="325">
        <v>23010001</v>
      </c>
      <c r="B39" s="30" t="s">
        <v>290</v>
      </c>
      <c r="C39" s="323">
        <f t="shared" si="0"/>
        <v>3000</v>
      </c>
      <c r="D39" s="323">
        <f>'33'!H34-E39-F39</f>
        <v>3000</v>
      </c>
      <c r="E39" s="323">
        <v>0</v>
      </c>
      <c r="F39" s="323">
        <v>0</v>
      </c>
    </row>
    <row r="40" spans="1:6" ht="15.75" customHeight="1">
      <c r="A40" s="325">
        <v>24010001</v>
      </c>
      <c r="B40" s="30" t="s">
        <v>291</v>
      </c>
      <c r="C40" s="323">
        <f t="shared" si="0"/>
        <v>3000</v>
      </c>
      <c r="D40" s="323">
        <f>'34'!H36-E40-F40</f>
        <v>3000</v>
      </c>
      <c r="E40" s="323">
        <v>0</v>
      </c>
      <c r="F40" s="323">
        <v>0</v>
      </c>
    </row>
    <row r="41" spans="1:6" ht="15.75" customHeight="1">
      <c r="A41" s="325">
        <v>26010001</v>
      </c>
      <c r="B41" s="30" t="s">
        <v>292</v>
      </c>
      <c r="C41" s="323">
        <f t="shared" si="0"/>
        <v>1000</v>
      </c>
      <c r="D41" s="323">
        <f>'35'!H36-E41-F41</f>
        <v>1000</v>
      </c>
      <c r="E41" s="323">
        <v>0</v>
      </c>
      <c r="F41" s="323">
        <v>0</v>
      </c>
    </row>
    <row r="42" spans="1:6" ht="15.75" customHeight="1">
      <c r="A42" s="325">
        <v>27010001</v>
      </c>
      <c r="B42" s="30" t="s">
        <v>293</v>
      </c>
      <c r="C42" s="323">
        <f t="shared" si="0"/>
        <v>5000</v>
      </c>
      <c r="D42" s="323">
        <f>'36'!H36-E42-F42</f>
        <v>5000</v>
      </c>
      <c r="E42" s="323">
        <v>0</v>
      </c>
      <c r="F42" s="323">
        <v>0</v>
      </c>
    </row>
    <row r="43" spans="1:6" ht="15.75" customHeight="1">
      <c r="A43" s="325">
        <v>28010001</v>
      </c>
      <c r="B43" s="30" t="s">
        <v>294</v>
      </c>
      <c r="C43" s="323">
        <f t="shared" si="0"/>
        <v>17000</v>
      </c>
      <c r="D43" s="323">
        <f>'37'!H36-E43-F43</f>
        <v>17000</v>
      </c>
      <c r="E43" s="323">
        <v>0</v>
      </c>
      <c r="F43" s="323">
        <v>0</v>
      </c>
    </row>
    <row r="44" spans="1:6" s="71" customFormat="1" ht="15.75" customHeight="1">
      <c r="A44" s="136"/>
      <c r="B44" s="329" t="s">
        <v>564</v>
      </c>
      <c r="C44" s="330">
        <f>SUM(C7:C43)</f>
        <v>1355930</v>
      </c>
      <c r="D44" s="330">
        <f>SUM(D7:D43)</f>
        <v>668300</v>
      </c>
      <c r="E44" s="330">
        <f>SUM(E7:E43)</f>
        <v>0</v>
      </c>
      <c r="F44" s="330">
        <f>SUM(F7:F43)</f>
        <v>687630</v>
      </c>
    </row>
    <row r="45" ht="18" customHeight="1"/>
  </sheetData>
  <sheetProtection/>
  <mergeCells count="4">
    <mergeCell ref="A2:F2"/>
    <mergeCell ref="D4:F4"/>
    <mergeCell ref="A4:A5"/>
    <mergeCell ref="B4:B5"/>
  </mergeCells>
  <printOptions/>
  <pageMargins left="1.31" right="0.32" top="0.56" bottom="0.53" header="0.5" footer="0.5"/>
  <pageSetup horizontalDpi="600" verticalDpi="600" orientation="landscape" paperSize="9" scale="71" r:id="rId1"/>
  <headerFooter alignWithMargins="0">
    <oddFooter>&amp;R49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7"/>
  <dimension ref="A1:H27"/>
  <sheetViews>
    <sheetView zoomScalePageLayoutView="0" workbookViewId="0" topLeftCell="A1">
      <selection activeCell="F10" sqref="F10"/>
    </sheetView>
  </sheetViews>
  <sheetFormatPr defaultColWidth="9.140625" defaultRowHeight="15" customHeight="1"/>
  <cols>
    <col min="2" max="2" width="46.7109375" style="0" customWidth="1"/>
    <col min="3" max="3" width="18.00390625" style="0" customWidth="1"/>
    <col min="4" max="4" width="12.421875" style="0" customWidth="1"/>
    <col min="7" max="8" width="15.7109375" style="0" customWidth="1"/>
    <col min="9" max="9" width="8.7109375" style="0" customWidth="1"/>
  </cols>
  <sheetData>
    <row r="1" spans="1:3" ht="15" customHeight="1">
      <c r="A1" s="57" t="s">
        <v>356</v>
      </c>
      <c r="C1" s="57"/>
    </row>
    <row r="2" spans="1:3" ht="15" customHeight="1">
      <c r="A2" s="57"/>
      <c r="C2" s="399">
        <f>'rashodi-1'!F8/('prihodi-4'!E5-'prihodi-1'!E48-'prihodi-2'!E10-'prihodi-2'!E28-'prihodi-2'!E32-'prihodi-2'!E35-'prihodi-2'!E40-'prihodi-3'!E35)*100</f>
        <v>2.4871372461238295</v>
      </c>
    </row>
    <row r="3" spans="1:3" ht="27" customHeight="1">
      <c r="A3" s="422" t="s">
        <v>769</v>
      </c>
      <c r="B3" s="426"/>
      <c r="C3" s="426"/>
    </row>
    <row r="4" spans="7:8" ht="15" customHeight="1">
      <c r="G4" s="71"/>
      <c r="H4" s="71"/>
    </row>
    <row r="5" spans="1:3" ht="15" customHeight="1">
      <c r="A5" s="57" t="s">
        <v>362</v>
      </c>
      <c r="C5" s="57"/>
    </row>
    <row r="6" spans="1:3" ht="15" customHeight="1">
      <c r="A6" s="57"/>
      <c r="C6" s="57"/>
    </row>
    <row r="7" spans="1:3" ht="15" customHeight="1">
      <c r="A7" s="423" t="s">
        <v>619</v>
      </c>
      <c r="B7" s="423"/>
      <c r="C7" s="423"/>
    </row>
    <row r="8" spans="1:3" ht="15" customHeight="1">
      <c r="A8" s="423"/>
      <c r="B8" s="423"/>
      <c r="C8" s="423"/>
    </row>
    <row r="9" ht="15" customHeight="1">
      <c r="C9" s="401"/>
    </row>
    <row r="10" ht="15" customHeight="1">
      <c r="C10" s="399">
        <f>'prihodi-4'!E5-'prihodi-1'!E48-'prihodi-2'!E10-'prihodi-2'!E28-'prihodi-2'!E32-'prihodi-2'!E35-'prihodi-2'!E40-'prihodi-3'!E35</f>
        <v>30557220</v>
      </c>
    </row>
    <row r="11" ht="15" customHeight="1">
      <c r="C11" s="401">
        <f>C10*3%</f>
        <v>916716.6</v>
      </c>
    </row>
    <row r="13" ht="15" customHeight="1">
      <c r="A13" t="s">
        <v>212</v>
      </c>
    </row>
    <row r="14" ht="15" customHeight="1">
      <c r="A14" t="s">
        <v>213</v>
      </c>
    </row>
    <row r="15" ht="15" customHeight="1">
      <c r="A15" t="s">
        <v>214</v>
      </c>
    </row>
    <row r="16" ht="15" customHeight="1">
      <c r="A16" t="s">
        <v>215</v>
      </c>
    </row>
    <row r="17" ht="15" customHeight="1">
      <c r="A17" t="s">
        <v>216</v>
      </c>
    </row>
    <row r="18" ht="15" customHeight="1">
      <c r="A18" t="s">
        <v>217</v>
      </c>
    </row>
    <row r="20" ht="15" customHeight="1">
      <c r="C20" s="58" t="s">
        <v>363</v>
      </c>
    </row>
    <row r="21" ht="15" customHeight="1">
      <c r="C21" s="91"/>
    </row>
    <row r="22" ht="15" customHeight="1">
      <c r="C22" s="58" t="s">
        <v>364</v>
      </c>
    </row>
    <row r="24" ht="15" customHeight="1">
      <c r="C24" s="58"/>
    </row>
    <row r="27" ht="15" customHeight="1">
      <c r="C27" s="58"/>
    </row>
    <row r="37" ht="12.75"/>
  </sheetData>
  <sheetProtection/>
  <mergeCells count="2">
    <mergeCell ref="A3:C3"/>
    <mergeCell ref="A7:C8"/>
  </mergeCells>
  <printOptions/>
  <pageMargins left="0.89" right="0.75" top="1" bottom="1" header="0.5" footer="0.5"/>
  <pageSetup horizontalDpi="600" verticalDpi="600" orientation="portrait" paperSize="9" r:id="rId1"/>
  <headerFooter alignWithMargins="0">
    <oddFooter>&amp;R50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J48"/>
  <sheetViews>
    <sheetView tabSelected="1" zoomScalePageLayoutView="0" workbookViewId="0" topLeftCell="B16">
      <selection activeCell="E37" sqref="E37"/>
    </sheetView>
  </sheetViews>
  <sheetFormatPr defaultColWidth="9.140625" defaultRowHeight="12.75"/>
  <cols>
    <col min="1" max="1" width="0.42578125" style="0" hidden="1" customWidth="1"/>
    <col min="2" max="2" width="13.28125" style="58" customWidth="1"/>
    <col min="3" max="3" width="55.421875" style="0" customWidth="1"/>
    <col min="4" max="5" width="15.28125" style="0" customWidth="1"/>
    <col min="6" max="6" width="7.7109375" style="0" customWidth="1"/>
    <col min="7" max="7" width="11.00390625" style="0" customWidth="1"/>
    <col min="8" max="8" width="15.7109375" style="0" customWidth="1"/>
    <col min="9" max="9" width="17.28125" style="0" customWidth="1"/>
    <col min="10" max="10" width="15.28125" style="0" customWidth="1"/>
  </cols>
  <sheetData>
    <row r="1" spans="2:6" ht="76.5" customHeight="1">
      <c r="B1" s="88" t="s">
        <v>196</v>
      </c>
      <c r="C1" s="89" t="s">
        <v>88</v>
      </c>
      <c r="D1" s="145" t="s">
        <v>360</v>
      </c>
      <c r="E1" s="145" t="s">
        <v>628</v>
      </c>
      <c r="F1" s="44" t="s">
        <v>343</v>
      </c>
    </row>
    <row r="2" spans="2:6" ht="18" customHeight="1">
      <c r="B2" s="302">
        <v>1</v>
      </c>
      <c r="C2" s="303">
        <v>2</v>
      </c>
      <c r="D2" s="303">
        <v>3</v>
      </c>
      <c r="E2" s="304">
        <v>4</v>
      </c>
      <c r="F2" s="305">
        <v>5</v>
      </c>
    </row>
    <row r="3" spans="2:9" ht="26.25" customHeight="1">
      <c r="B3" s="212">
        <v>722522</v>
      </c>
      <c r="C3" s="120" t="s">
        <v>445</v>
      </c>
      <c r="D3" s="186">
        <v>21100</v>
      </c>
      <c r="E3" s="186">
        <v>23500</v>
      </c>
      <c r="F3" s="245">
        <f aca="true" t="shared" si="0" ref="F3:F39">IF(D3=0,,E3/D3*100)</f>
        <v>111.37440758293839</v>
      </c>
      <c r="G3" s="107"/>
      <c r="H3" s="107"/>
      <c r="I3" s="107"/>
    </row>
    <row r="4" spans="2:9" ht="26.25" customHeight="1">
      <c r="B4" s="212">
        <v>722523</v>
      </c>
      <c r="C4" s="120" t="s">
        <v>446</v>
      </c>
      <c r="D4" s="186">
        <v>4200</v>
      </c>
      <c r="E4" s="186">
        <v>4200</v>
      </c>
      <c r="F4" s="245">
        <f t="shared" si="0"/>
        <v>100</v>
      </c>
      <c r="G4" s="107"/>
      <c r="H4" s="107"/>
      <c r="I4" s="107"/>
    </row>
    <row r="5" spans="2:9" ht="27" customHeight="1">
      <c r="B5" s="212">
        <v>722524</v>
      </c>
      <c r="C5" s="120" t="s">
        <v>447</v>
      </c>
      <c r="D5" s="186">
        <v>800</v>
      </c>
      <c r="E5" s="186">
        <v>700</v>
      </c>
      <c r="F5" s="245">
        <f t="shared" si="0"/>
        <v>87.5</v>
      </c>
      <c r="G5" s="107"/>
      <c r="H5" s="107"/>
      <c r="I5" s="107"/>
    </row>
    <row r="6" spans="2:9" ht="26.25" customHeight="1">
      <c r="B6" s="212">
        <v>722525</v>
      </c>
      <c r="C6" s="120" t="s">
        <v>448</v>
      </c>
      <c r="D6" s="186">
        <v>300</v>
      </c>
      <c r="E6" s="186">
        <v>350</v>
      </c>
      <c r="F6" s="245">
        <f t="shared" si="0"/>
        <v>116.66666666666667</v>
      </c>
      <c r="G6" s="107"/>
      <c r="H6" s="107"/>
      <c r="I6" s="107"/>
    </row>
    <row r="7" spans="2:9" ht="15" customHeight="1">
      <c r="B7" s="212">
        <v>722527</v>
      </c>
      <c r="C7" s="121" t="s">
        <v>714</v>
      </c>
      <c r="D7" s="186">
        <v>0</v>
      </c>
      <c r="E7" s="186">
        <v>50</v>
      </c>
      <c r="F7" s="245">
        <f>IF(D7=0,,E7/D7*100)</f>
        <v>0</v>
      </c>
      <c r="G7" s="107"/>
      <c r="H7" s="107"/>
      <c r="I7" s="107"/>
    </row>
    <row r="8" spans="2:9" ht="15" customHeight="1">
      <c r="B8" s="212">
        <v>722528</v>
      </c>
      <c r="C8" s="121" t="s">
        <v>432</v>
      </c>
      <c r="D8" s="186">
        <v>850</v>
      </c>
      <c r="E8" s="186">
        <v>800</v>
      </c>
      <c r="F8" s="245">
        <f t="shared" si="0"/>
        <v>94.11764705882352</v>
      </c>
      <c r="G8" s="107"/>
      <c r="H8" s="107"/>
      <c r="I8" s="107"/>
    </row>
    <row r="9" spans="2:9" ht="15" customHeight="1">
      <c r="B9" s="212">
        <v>722529</v>
      </c>
      <c r="C9" s="121" t="s">
        <v>433</v>
      </c>
      <c r="D9" s="186">
        <v>62500</v>
      </c>
      <c r="E9" s="186">
        <v>60400</v>
      </c>
      <c r="F9" s="245">
        <f t="shared" si="0"/>
        <v>96.64</v>
      </c>
      <c r="G9" s="107"/>
      <c r="H9" s="107"/>
      <c r="I9" s="107"/>
    </row>
    <row r="10" spans="2:9" ht="15" customHeight="1">
      <c r="B10" s="254">
        <v>722530</v>
      </c>
      <c r="C10" s="265" t="s">
        <v>434</v>
      </c>
      <c r="D10" s="246">
        <f>SUM(D11:D13)</f>
        <v>251100</v>
      </c>
      <c r="E10" s="246">
        <f>SUM(E11:E13)</f>
        <v>261200</v>
      </c>
      <c r="F10" s="261">
        <f t="shared" si="0"/>
        <v>104.02230187176424</v>
      </c>
      <c r="G10" s="107"/>
      <c r="H10" s="107"/>
      <c r="I10" s="107"/>
    </row>
    <row r="11" spans="2:9" ht="15" customHeight="1">
      <c r="B11" s="212">
        <v>722531</v>
      </c>
      <c r="C11" s="121" t="s">
        <v>435</v>
      </c>
      <c r="D11" s="186">
        <v>76700</v>
      </c>
      <c r="E11" s="186">
        <v>75700</v>
      </c>
      <c r="F11" s="245">
        <f t="shared" si="0"/>
        <v>98.69621903520208</v>
      </c>
      <c r="G11" s="107"/>
      <c r="H11" s="107"/>
      <c r="I11" s="107"/>
    </row>
    <row r="12" spans="2:9" ht="15" customHeight="1">
      <c r="B12" s="212">
        <v>722532</v>
      </c>
      <c r="C12" s="121" t="s">
        <v>436</v>
      </c>
      <c r="D12" s="186">
        <v>174300</v>
      </c>
      <c r="E12" s="186">
        <v>185400</v>
      </c>
      <c r="F12" s="245">
        <f t="shared" si="0"/>
        <v>106.36833046471601</v>
      </c>
      <c r="G12" s="107"/>
      <c r="H12" s="107"/>
      <c r="I12" s="107"/>
    </row>
    <row r="13" spans="2:9" ht="15" customHeight="1">
      <c r="B13" s="212">
        <v>722538</v>
      </c>
      <c r="C13" s="121" t="s">
        <v>437</v>
      </c>
      <c r="D13" s="186">
        <v>100</v>
      </c>
      <c r="E13" s="186">
        <v>100</v>
      </c>
      <c r="F13" s="245">
        <f t="shared" si="0"/>
        <v>100</v>
      </c>
      <c r="G13" s="107"/>
      <c r="H13" s="107"/>
      <c r="I13" s="107"/>
    </row>
    <row r="14" spans="2:9" ht="15" customHeight="1">
      <c r="B14" s="254">
        <v>722540</v>
      </c>
      <c r="C14" s="265" t="s">
        <v>438</v>
      </c>
      <c r="D14" s="246">
        <f>SUM(D15:D15)</f>
        <v>4000</v>
      </c>
      <c r="E14" s="246">
        <f>SUM(E15:E15)</f>
        <v>3900</v>
      </c>
      <c r="F14" s="261">
        <f t="shared" si="0"/>
        <v>97.5</v>
      </c>
      <c r="G14" s="107"/>
      <c r="H14" s="107"/>
      <c r="I14" s="107"/>
    </row>
    <row r="15" spans="2:9" ht="15" customHeight="1">
      <c r="B15" s="212">
        <v>722541</v>
      </c>
      <c r="C15" s="121" t="s">
        <v>439</v>
      </c>
      <c r="D15" s="186">
        <v>4000</v>
      </c>
      <c r="E15" s="186">
        <v>3900</v>
      </c>
      <c r="F15" s="245">
        <f t="shared" si="0"/>
        <v>97.5</v>
      </c>
      <c r="G15" s="107"/>
      <c r="H15" s="107"/>
      <c r="I15" s="107"/>
    </row>
    <row r="16" spans="2:9" ht="15" customHeight="1">
      <c r="B16" s="254">
        <v>722550</v>
      </c>
      <c r="C16" s="265" t="s">
        <v>440</v>
      </c>
      <c r="D16" s="246">
        <f>D17+D19+D21</f>
        <v>100000</v>
      </c>
      <c r="E16" s="246">
        <f>E17+E19+E21</f>
        <v>100000</v>
      </c>
      <c r="F16" s="261">
        <f t="shared" si="0"/>
        <v>100</v>
      </c>
      <c r="G16" s="107"/>
      <c r="H16" s="107"/>
      <c r="I16" s="107"/>
    </row>
    <row r="17" spans="2:9" ht="15" customHeight="1">
      <c r="B17" s="212">
        <v>722551</v>
      </c>
      <c r="C17" s="121" t="s">
        <v>441</v>
      </c>
      <c r="D17" s="186">
        <v>8900</v>
      </c>
      <c r="E17" s="186">
        <f>E18</f>
        <v>4000</v>
      </c>
      <c r="F17" s="245">
        <f t="shared" si="0"/>
        <v>44.9438202247191</v>
      </c>
      <c r="G17" s="107"/>
      <c r="H17" s="107"/>
      <c r="I17" s="107"/>
    </row>
    <row r="18" spans="2:10" ht="15.75" customHeight="1">
      <c r="B18" s="230"/>
      <c r="C18" s="257" t="s">
        <v>1</v>
      </c>
      <c r="D18" s="186">
        <v>8900</v>
      </c>
      <c r="E18" s="186">
        <v>4000</v>
      </c>
      <c r="F18" s="229">
        <f t="shared" si="0"/>
        <v>44.9438202247191</v>
      </c>
      <c r="G18" s="107"/>
      <c r="H18" s="107"/>
      <c r="I18" s="389"/>
      <c r="J18" s="107"/>
    </row>
    <row r="19" spans="2:9" ht="26.25" customHeight="1">
      <c r="B19" s="212">
        <v>722555</v>
      </c>
      <c r="C19" s="120" t="s">
        <v>449</v>
      </c>
      <c r="D19" s="186">
        <v>52510</v>
      </c>
      <c r="E19" s="186">
        <f>E20</f>
        <v>33200</v>
      </c>
      <c r="F19" s="245">
        <f t="shared" si="0"/>
        <v>63.22605218053704</v>
      </c>
      <c r="G19" s="107"/>
      <c r="H19" s="107"/>
      <c r="I19" s="389"/>
    </row>
    <row r="20" spans="2:10" ht="15.75" customHeight="1">
      <c r="B20" s="230"/>
      <c r="C20" s="257" t="s">
        <v>1</v>
      </c>
      <c r="D20" s="186">
        <v>52510</v>
      </c>
      <c r="E20" s="186">
        <v>33200</v>
      </c>
      <c r="F20" s="229">
        <f t="shared" si="0"/>
        <v>63.22605218053704</v>
      </c>
      <c r="G20" s="107"/>
      <c r="H20" s="107"/>
      <c r="I20" s="107"/>
      <c r="J20" s="107"/>
    </row>
    <row r="21" spans="2:9" ht="25.5" customHeight="1">
      <c r="B21" s="212">
        <v>722556</v>
      </c>
      <c r="C21" s="120" t="s">
        <v>450</v>
      </c>
      <c r="D21" s="186">
        <v>38590</v>
      </c>
      <c r="E21" s="186">
        <v>62800</v>
      </c>
      <c r="F21" s="395">
        <f t="shared" si="0"/>
        <v>162.73646022285567</v>
      </c>
      <c r="G21" s="107"/>
      <c r="H21" s="107"/>
      <c r="I21" s="107"/>
    </row>
    <row r="22" spans="2:10" ht="15.75" customHeight="1">
      <c r="B22" s="230"/>
      <c r="C22" s="257" t="s">
        <v>1</v>
      </c>
      <c r="D22" s="186">
        <v>38590</v>
      </c>
      <c r="E22" s="186">
        <v>62800</v>
      </c>
      <c r="F22" s="229">
        <f t="shared" si="0"/>
        <v>162.73646022285567</v>
      </c>
      <c r="G22" s="107"/>
      <c r="H22" s="107"/>
      <c r="I22" s="107"/>
      <c r="J22" s="107"/>
    </row>
    <row r="23" spans="2:9" ht="15" customHeight="1">
      <c r="B23" s="254">
        <v>722580</v>
      </c>
      <c r="C23" s="265" t="s">
        <v>451</v>
      </c>
      <c r="D23" s="246">
        <f>D24+D26+D27+D28+D29</f>
        <v>67250</v>
      </c>
      <c r="E23" s="246">
        <f>E24+E26+E27+E28+E29</f>
        <v>43000</v>
      </c>
      <c r="F23" s="261">
        <f t="shared" si="0"/>
        <v>63.94052044609665</v>
      </c>
      <c r="G23" s="107"/>
      <c r="H23" s="107"/>
      <c r="I23" s="107"/>
    </row>
    <row r="24" spans="2:9" ht="26.25" customHeight="1">
      <c r="B24" s="212">
        <v>722581</v>
      </c>
      <c r="C24" s="120" t="s">
        <v>452</v>
      </c>
      <c r="D24" s="186">
        <v>61300</v>
      </c>
      <c r="E24" s="186">
        <f>E25</f>
        <v>36600</v>
      </c>
      <c r="F24" s="245">
        <f t="shared" si="0"/>
        <v>59.70636215334421</v>
      </c>
      <c r="G24" s="107"/>
      <c r="H24" s="107"/>
      <c r="I24" s="107"/>
    </row>
    <row r="25" spans="2:10" ht="15" customHeight="1">
      <c r="B25" s="230"/>
      <c r="C25" s="257" t="s">
        <v>2</v>
      </c>
      <c r="D25" s="186">
        <v>61300</v>
      </c>
      <c r="E25" s="186">
        <f>45000-8400</f>
        <v>36600</v>
      </c>
      <c r="F25" s="245">
        <f t="shared" si="0"/>
        <v>59.70636215334421</v>
      </c>
      <c r="G25" s="319"/>
      <c r="H25" s="107"/>
      <c r="I25" s="107"/>
      <c r="J25" s="107"/>
    </row>
    <row r="26" spans="2:9" ht="38.25" customHeight="1">
      <c r="B26" s="212">
        <v>722582</v>
      </c>
      <c r="C26" s="120" t="s">
        <v>453</v>
      </c>
      <c r="D26" s="186">
        <v>3700</v>
      </c>
      <c r="E26" s="186">
        <v>3500</v>
      </c>
      <c r="F26" s="245">
        <f t="shared" si="0"/>
        <v>94.5945945945946</v>
      </c>
      <c r="G26" s="107"/>
      <c r="H26" s="107"/>
      <c r="I26" s="107"/>
    </row>
    <row r="27" spans="2:9" ht="25.5" customHeight="1">
      <c r="B27" s="212">
        <v>722583</v>
      </c>
      <c r="C27" s="120" t="s">
        <v>454</v>
      </c>
      <c r="D27" s="186">
        <v>1200</v>
      </c>
      <c r="E27" s="186">
        <v>1100</v>
      </c>
      <c r="F27" s="245">
        <f t="shared" si="0"/>
        <v>91.66666666666666</v>
      </c>
      <c r="G27" s="107"/>
      <c r="H27" s="107"/>
      <c r="I27" s="107"/>
    </row>
    <row r="28" spans="2:9" ht="26.25" customHeight="1">
      <c r="B28" s="212">
        <v>722584</v>
      </c>
      <c r="C28" s="120" t="s">
        <v>455</v>
      </c>
      <c r="D28" s="186">
        <v>950</v>
      </c>
      <c r="E28" s="186">
        <v>1500</v>
      </c>
      <c r="F28" s="245">
        <f t="shared" si="0"/>
        <v>157.89473684210526</v>
      </c>
      <c r="G28" s="107"/>
      <c r="H28" s="107"/>
      <c r="I28" s="107"/>
    </row>
    <row r="29" spans="2:9" ht="24" customHeight="1">
      <c r="B29" s="212">
        <v>722585</v>
      </c>
      <c r="C29" s="120" t="s">
        <v>456</v>
      </c>
      <c r="D29" s="186">
        <v>100</v>
      </c>
      <c r="E29" s="186">
        <v>300</v>
      </c>
      <c r="F29" s="245">
        <f t="shared" si="0"/>
        <v>300</v>
      </c>
      <c r="G29" s="107"/>
      <c r="H29" s="107"/>
      <c r="I29" s="107"/>
    </row>
    <row r="30" spans="2:10" ht="12.75">
      <c r="B30" s="218">
        <v>722600</v>
      </c>
      <c r="C30" s="76" t="s">
        <v>442</v>
      </c>
      <c r="D30" s="263">
        <f>D31+D32+D33+D34+D35</f>
        <v>429600</v>
      </c>
      <c r="E30" s="263">
        <f>E31+E32+E33+E34+E35</f>
        <v>441900</v>
      </c>
      <c r="F30" s="244">
        <f t="shared" si="0"/>
        <v>102.86312849162012</v>
      </c>
      <c r="G30" s="107"/>
      <c r="H30" s="181"/>
      <c r="J30" s="107"/>
    </row>
    <row r="31" spans="2:10" ht="12.75">
      <c r="B31" s="230">
        <v>722611</v>
      </c>
      <c r="C31" s="121" t="s">
        <v>457</v>
      </c>
      <c r="D31" s="186">
        <v>121800</v>
      </c>
      <c r="E31" s="186">
        <v>139700</v>
      </c>
      <c r="F31" s="229">
        <f t="shared" si="0"/>
        <v>114.69622331691298</v>
      </c>
      <c r="G31" s="107"/>
      <c r="H31" s="181"/>
      <c r="J31" s="107"/>
    </row>
    <row r="32" spans="2:10" ht="12.75">
      <c r="B32" s="230">
        <v>722612</v>
      </c>
      <c r="C32" s="121" t="s">
        <v>458</v>
      </c>
      <c r="D32" s="186">
        <v>22300</v>
      </c>
      <c r="E32" s="186">
        <v>35300</v>
      </c>
      <c r="F32" s="229">
        <f t="shared" si="0"/>
        <v>158.29596412556052</v>
      </c>
      <c r="G32" s="107"/>
      <c r="H32" s="181"/>
      <c r="J32" s="107"/>
    </row>
    <row r="33" spans="2:10" ht="12.75">
      <c r="B33" s="230">
        <v>722613</v>
      </c>
      <c r="C33" s="121" t="s">
        <v>459</v>
      </c>
      <c r="D33" s="186">
        <v>9200</v>
      </c>
      <c r="E33" s="186">
        <v>9500</v>
      </c>
      <c r="F33" s="229">
        <f t="shared" si="0"/>
        <v>103.26086956521738</v>
      </c>
      <c r="G33" s="107"/>
      <c r="H33" s="181"/>
      <c r="J33" s="107"/>
    </row>
    <row r="34" spans="2:10" ht="12.75">
      <c r="B34" s="230">
        <v>722621</v>
      </c>
      <c r="C34" s="121" t="s">
        <v>460</v>
      </c>
      <c r="D34" s="186">
        <v>235100</v>
      </c>
      <c r="E34" s="186">
        <v>215800</v>
      </c>
      <c r="F34" s="229">
        <f t="shared" si="0"/>
        <v>91.7907273500638</v>
      </c>
      <c r="G34" s="107"/>
      <c r="H34" s="181"/>
      <c r="J34" s="107"/>
    </row>
    <row r="35" spans="2:10" ht="12.75">
      <c r="B35" s="230">
        <v>722631</v>
      </c>
      <c r="C35" s="121" t="s">
        <v>461</v>
      </c>
      <c r="D35" s="186">
        <v>41200</v>
      </c>
      <c r="E35" s="186">
        <v>41600</v>
      </c>
      <c r="F35" s="229">
        <f t="shared" si="0"/>
        <v>100.97087378640776</v>
      </c>
      <c r="G35" s="107"/>
      <c r="H35" s="181"/>
      <c r="J35" s="107"/>
    </row>
    <row r="36" spans="2:10" ht="12.75">
      <c r="B36" s="254">
        <v>722700</v>
      </c>
      <c r="C36" s="76" t="s">
        <v>462</v>
      </c>
      <c r="D36" s="263">
        <f>SUM(D38:D39)</f>
        <v>3000</v>
      </c>
      <c r="E36" s="263">
        <f>SUM(E38:E39)</f>
        <v>5250</v>
      </c>
      <c r="F36" s="244">
        <f t="shared" si="0"/>
        <v>175</v>
      </c>
      <c r="G36" s="107"/>
      <c r="H36" s="181"/>
      <c r="J36" s="107"/>
    </row>
    <row r="37" spans="2:10" ht="12.75">
      <c r="B37" s="230">
        <v>722719</v>
      </c>
      <c r="C37" s="121" t="s">
        <v>715</v>
      </c>
      <c r="D37" s="186">
        <v>0</v>
      </c>
      <c r="E37" s="186">
        <v>200</v>
      </c>
      <c r="F37" s="229">
        <f>IF(D37=0,,E37/D37*100)</f>
        <v>0</v>
      </c>
      <c r="G37" s="107"/>
      <c r="H37" s="181"/>
      <c r="J37" s="107"/>
    </row>
    <row r="38" spans="2:10" ht="12.75">
      <c r="B38" s="230">
        <v>722732</v>
      </c>
      <c r="C38" s="121" t="s">
        <v>463</v>
      </c>
      <c r="D38" s="186">
        <v>500</v>
      </c>
      <c r="E38" s="186">
        <v>350</v>
      </c>
      <c r="F38" s="229">
        <f t="shared" si="0"/>
        <v>70</v>
      </c>
      <c r="G38" s="107"/>
      <c r="H38" s="181"/>
      <c r="J38" s="107"/>
    </row>
    <row r="39" spans="2:10" ht="12.75">
      <c r="B39" s="230">
        <v>722791</v>
      </c>
      <c r="C39" s="121" t="s">
        <v>464</v>
      </c>
      <c r="D39" s="186">
        <v>2500</v>
      </c>
      <c r="E39" s="186">
        <v>4900</v>
      </c>
      <c r="F39" s="229">
        <f t="shared" si="0"/>
        <v>196</v>
      </c>
      <c r="G39" s="107"/>
      <c r="H39" s="181"/>
      <c r="J39" s="107"/>
    </row>
    <row r="40" spans="2:8" ht="15" customHeight="1">
      <c r="B40" s="213">
        <v>723000</v>
      </c>
      <c r="C40" s="224" t="s">
        <v>205</v>
      </c>
      <c r="D40" s="222">
        <f>D41</f>
        <v>415100</v>
      </c>
      <c r="E40" s="222">
        <f>E41</f>
        <v>408100</v>
      </c>
      <c r="F40" s="223">
        <f>IF(D40=0,,E40/D40*100)</f>
        <v>98.31365935919055</v>
      </c>
      <c r="G40" s="107"/>
      <c r="H40" s="107"/>
    </row>
    <row r="41" spans="2:8" ht="15" customHeight="1">
      <c r="B41" s="237">
        <v>723100</v>
      </c>
      <c r="C41" s="264" t="s">
        <v>465</v>
      </c>
      <c r="D41" s="246">
        <f>D42+D43+D44+'prihodi-4'!D3</f>
        <v>415100</v>
      </c>
      <c r="E41" s="246">
        <f>E42+E43+E44+'prihodi-4'!E3</f>
        <v>408100</v>
      </c>
      <c r="F41" s="261">
        <f>IF(D41=0,,E41/D41*100)</f>
        <v>98.31365935919055</v>
      </c>
      <c r="G41" s="107"/>
      <c r="H41" s="107"/>
    </row>
    <row r="42" spans="2:8" ht="15" customHeight="1">
      <c r="B42" s="230">
        <v>723121</v>
      </c>
      <c r="C42" s="30" t="s">
        <v>466</v>
      </c>
      <c r="D42" s="233">
        <v>800</v>
      </c>
      <c r="E42" s="233">
        <v>500</v>
      </c>
      <c r="F42" s="232">
        <f>IF(D42=0,,E42/D42*100)</f>
        <v>62.5</v>
      </c>
      <c r="G42" s="107"/>
      <c r="H42" s="107"/>
    </row>
    <row r="43" spans="2:8" ht="15" customHeight="1">
      <c r="B43" s="230">
        <v>723122</v>
      </c>
      <c r="C43" s="30" t="s">
        <v>467</v>
      </c>
      <c r="D43" s="233">
        <v>100</v>
      </c>
      <c r="E43" s="228">
        <v>100</v>
      </c>
      <c r="F43" s="232">
        <f>IF(D43=0,,E43/D43*100)</f>
        <v>100</v>
      </c>
      <c r="G43" s="107"/>
      <c r="H43" s="107"/>
    </row>
    <row r="44" spans="2:8" ht="25.5" customHeight="1" thickBot="1">
      <c r="B44" s="343">
        <v>723123</v>
      </c>
      <c r="C44" s="347" t="s">
        <v>469</v>
      </c>
      <c r="D44" s="348">
        <v>398700</v>
      </c>
      <c r="E44" s="348">
        <v>389900</v>
      </c>
      <c r="F44" s="349">
        <f>IF(D44=0,,E44/D44*100)</f>
        <v>97.79282668673189</v>
      </c>
      <c r="G44" s="107"/>
      <c r="H44" s="107"/>
    </row>
    <row r="45" ht="12.75">
      <c r="E45" s="337"/>
    </row>
    <row r="46" spans="2:7" ht="12.75">
      <c r="B46"/>
      <c r="E46" s="107"/>
      <c r="F46" s="187"/>
      <c r="G46" s="188"/>
    </row>
    <row r="47" spans="5:7" ht="12.75">
      <c r="E47" s="107"/>
      <c r="F47" s="187"/>
      <c r="G47" s="188"/>
    </row>
    <row r="48" spans="6:7" ht="12.75">
      <c r="F48" s="187"/>
      <c r="G48" s="189"/>
    </row>
  </sheetData>
  <sheetProtection/>
  <printOptions/>
  <pageMargins left="0.44" right="0.3" top="0.59" bottom="0.47" header="0.5" footer="0.29"/>
  <pageSetup horizontalDpi="600" verticalDpi="600" orientation="portrait" paperSize="9" scale="91" r:id="rId1"/>
  <headerFooter alignWithMargins="0">
    <oddFooter>&amp;R4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B1:J49"/>
  <sheetViews>
    <sheetView zoomScalePageLayoutView="0" workbookViewId="0" topLeftCell="B13">
      <selection activeCell="G25" sqref="G25"/>
    </sheetView>
  </sheetViews>
  <sheetFormatPr defaultColWidth="9.140625" defaultRowHeight="12.75"/>
  <cols>
    <col min="1" max="1" width="0.42578125" style="0" hidden="1" customWidth="1"/>
    <col min="2" max="2" width="13.28125" style="58" customWidth="1"/>
    <col min="3" max="3" width="55.421875" style="0" customWidth="1"/>
    <col min="4" max="5" width="15.28125" style="0" customWidth="1"/>
    <col min="6" max="6" width="7.7109375" style="0" customWidth="1"/>
    <col min="7" max="7" width="11.00390625" style="0" customWidth="1"/>
    <col min="8" max="8" width="15.7109375" style="0" customWidth="1"/>
    <col min="9" max="9" width="17.28125" style="0" customWidth="1"/>
    <col min="10" max="10" width="15.28125" style="0" customWidth="1"/>
  </cols>
  <sheetData>
    <row r="1" spans="2:6" ht="76.5" customHeight="1">
      <c r="B1" s="88" t="s">
        <v>196</v>
      </c>
      <c r="C1" s="89" t="s">
        <v>88</v>
      </c>
      <c r="D1" s="145" t="s">
        <v>360</v>
      </c>
      <c r="E1" s="145" t="s">
        <v>628</v>
      </c>
      <c r="F1" s="44" t="s">
        <v>343</v>
      </c>
    </row>
    <row r="2" spans="2:6" ht="18" customHeight="1">
      <c r="B2" s="302">
        <v>1</v>
      </c>
      <c r="C2" s="303">
        <v>2</v>
      </c>
      <c r="D2" s="303">
        <v>3</v>
      </c>
      <c r="E2" s="304">
        <v>4</v>
      </c>
      <c r="F2" s="305">
        <v>5</v>
      </c>
    </row>
    <row r="3" spans="2:8" ht="15" customHeight="1">
      <c r="B3" s="230">
        <v>723129</v>
      </c>
      <c r="C3" s="30" t="s">
        <v>468</v>
      </c>
      <c r="D3" s="233">
        <v>15500</v>
      </c>
      <c r="E3" s="233">
        <v>17600</v>
      </c>
      <c r="F3" s="232">
        <f aca="true" t="shared" si="0" ref="F3:F44">IF(D3=0,,E3/D3*100)</f>
        <v>113.54838709677419</v>
      </c>
      <c r="G3" s="107"/>
      <c r="H3" s="107"/>
    </row>
    <row r="4" spans="2:8" ht="15" customHeight="1">
      <c r="B4" s="230"/>
      <c r="C4" s="211"/>
      <c r="D4" s="233"/>
      <c r="E4" s="233"/>
      <c r="F4" s="232"/>
      <c r="G4" s="107"/>
      <c r="H4" s="107"/>
    </row>
    <row r="5" spans="2:8" s="54" customFormat="1" ht="15" customHeight="1">
      <c r="B5" s="429" t="s">
        <v>524</v>
      </c>
      <c r="C5" s="430"/>
      <c r="D5" s="268">
        <f>'prihodi-1'!D5+'prihodi-2'!D6</f>
        <v>30774030</v>
      </c>
      <c r="E5" s="268">
        <f>'prihodi-1'!E5+'prihodi-2'!E6</f>
        <v>32889470</v>
      </c>
      <c r="F5" s="269">
        <f t="shared" si="0"/>
        <v>106.87410781103416</v>
      </c>
      <c r="G5" s="270"/>
      <c r="H5" s="390"/>
    </row>
    <row r="6" spans="2:7" ht="12.75">
      <c r="B6" s="77"/>
      <c r="C6" s="75"/>
      <c r="D6" s="98"/>
      <c r="E6" s="98"/>
      <c r="F6" s="79"/>
      <c r="G6" s="107"/>
    </row>
    <row r="7" spans="2:8" s="54" customFormat="1" ht="15" customHeight="1">
      <c r="B7" s="249">
        <v>730000</v>
      </c>
      <c r="C7" s="272" t="s">
        <v>605</v>
      </c>
      <c r="D7" s="251">
        <f>D8+D14+D32</f>
        <v>5744860</v>
      </c>
      <c r="E7" s="251">
        <f>E8+E14+E32</f>
        <v>5954910</v>
      </c>
      <c r="F7" s="252">
        <f t="shared" si="0"/>
        <v>103.65631190316213</v>
      </c>
      <c r="G7" s="253"/>
      <c r="H7" s="334"/>
    </row>
    <row r="8" spans="2:7" ht="27" customHeight="1">
      <c r="B8" s="52">
        <v>731000</v>
      </c>
      <c r="C8" s="239" t="s">
        <v>573</v>
      </c>
      <c r="D8" s="241">
        <f>D9</f>
        <v>250860</v>
      </c>
      <c r="E8" s="241">
        <f>E9</f>
        <v>133410</v>
      </c>
      <c r="F8" s="240">
        <f t="shared" si="0"/>
        <v>53.18105716335805</v>
      </c>
      <c r="G8" s="184"/>
    </row>
    <row r="9" spans="2:7" s="103" customFormat="1" ht="15" customHeight="1">
      <c r="B9" s="254">
        <v>731100</v>
      </c>
      <c r="C9" s="259" t="s">
        <v>574</v>
      </c>
      <c r="D9" s="246">
        <f>SUM(D10,D11)</f>
        <v>250860</v>
      </c>
      <c r="E9" s="246">
        <f>SUM(E10,E11)</f>
        <v>133410</v>
      </c>
      <c r="F9" s="261">
        <f t="shared" si="0"/>
        <v>53.18105716335805</v>
      </c>
      <c r="G9" s="185"/>
    </row>
    <row r="10" spans="2:8" ht="15" customHeight="1">
      <c r="B10" s="230">
        <v>731111</v>
      </c>
      <c r="C10" s="234" t="s">
        <v>575</v>
      </c>
      <c r="D10" s="233">
        <v>0</v>
      </c>
      <c r="E10" s="228">
        <v>0</v>
      </c>
      <c r="F10" s="232">
        <f t="shared" si="0"/>
        <v>0</v>
      </c>
      <c r="G10" s="107"/>
      <c r="H10" s="107"/>
    </row>
    <row r="11" spans="2:8" ht="15" customHeight="1">
      <c r="B11" s="230">
        <v>731121</v>
      </c>
      <c r="C11" s="234" t="s">
        <v>576</v>
      </c>
      <c r="D11" s="233">
        <f>D12+D13</f>
        <v>250860</v>
      </c>
      <c r="E11" s="233">
        <f>E12+E13</f>
        <v>133410</v>
      </c>
      <c r="F11" s="232">
        <f t="shared" si="0"/>
        <v>53.18105716335805</v>
      </c>
      <c r="G11" s="107"/>
      <c r="H11" s="107"/>
    </row>
    <row r="12" spans="2:10" ht="16.5" customHeight="1">
      <c r="B12" s="230"/>
      <c r="C12" s="257" t="s">
        <v>539</v>
      </c>
      <c r="D12" s="228">
        <v>48890</v>
      </c>
      <c r="E12" s="228">
        <v>0</v>
      </c>
      <c r="F12" s="232">
        <f t="shared" si="0"/>
        <v>0</v>
      </c>
      <c r="G12" s="107"/>
      <c r="H12" s="107"/>
      <c r="I12" s="107"/>
      <c r="J12" s="107"/>
    </row>
    <row r="13" spans="2:10" ht="16.5" customHeight="1">
      <c r="B13" s="230"/>
      <c r="C13" s="257" t="s">
        <v>716</v>
      </c>
      <c r="D13" s="228">
        <v>201970</v>
      </c>
      <c r="E13" s="228">
        <v>133410</v>
      </c>
      <c r="F13" s="232">
        <f t="shared" si="0"/>
        <v>66.05436450958064</v>
      </c>
      <c r="G13" s="107"/>
      <c r="H13" s="107"/>
      <c r="I13" s="107"/>
      <c r="J13" s="107"/>
    </row>
    <row r="14" spans="2:7" ht="15.75" customHeight="1">
      <c r="B14" s="242">
        <v>732000</v>
      </c>
      <c r="C14" s="239" t="s">
        <v>577</v>
      </c>
      <c r="D14" s="241">
        <f>D15</f>
        <v>5401000</v>
      </c>
      <c r="E14" s="241">
        <f>E15</f>
        <v>5796500</v>
      </c>
      <c r="F14" s="240">
        <f t="shared" si="0"/>
        <v>107.32271801518239</v>
      </c>
      <c r="G14" s="184"/>
    </row>
    <row r="15" spans="2:7" s="103" customFormat="1" ht="15" customHeight="1">
      <c r="B15" s="254">
        <v>732100</v>
      </c>
      <c r="C15" s="259" t="s">
        <v>578</v>
      </c>
      <c r="D15" s="246">
        <f>D16+D22+D30</f>
        <v>5401000</v>
      </c>
      <c r="E15" s="246">
        <f>E16+E22+E30</f>
        <v>5796500</v>
      </c>
      <c r="F15" s="275">
        <f t="shared" si="0"/>
        <v>107.32271801518239</v>
      </c>
      <c r="G15" s="185"/>
    </row>
    <row r="16" spans="2:9" ht="15" customHeight="1">
      <c r="B16" s="218">
        <v>732110</v>
      </c>
      <c r="C16" s="243" t="s">
        <v>579</v>
      </c>
      <c r="D16" s="263">
        <f>D17</f>
        <v>5389000</v>
      </c>
      <c r="E16" s="263">
        <f>E17</f>
        <v>5781500</v>
      </c>
      <c r="F16" s="244">
        <f t="shared" si="0"/>
        <v>107.28335498237149</v>
      </c>
      <c r="G16" s="107"/>
      <c r="H16" s="107"/>
      <c r="I16" s="107"/>
    </row>
    <row r="17" spans="2:8" ht="15" customHeight="1">
      <c r="B17" s="230">
        <v>732112</v>
      </c>
      <c r="C17" s="234" t="s">
        <v>580</v>
      </c>
      <c r="D17" s="233">
        <f>SUM(D18:D21)</f>
        <v>5389000</v>
      </c>
      <c r="E17" s="233">
        <f>SUM(E18:E21)</f>
        <v>5781500</v>
      </c>
      <c r="F17" s="232">
        <f t="shared" si="0"/>
        <v>107.28335498237149</v>
      </c>
      <c r="G17" s="107"/>
      <c r="H17" s="107"/>
    </row>
    <row r="18" spans="2:10" ht="27" customHeight="1">
      <c r="B18" s="230"/>
      <c r="C18" s="257" t="s">
        <v>515</v>
      </c>
      <c r="D18" s="228">
        <v>294000</v>
      </c>
      <c r="E18" s="228">
        <v>281500</v>
      </c>
      <c r="F18" s="232">
        <f t="shared" si="0"/>
        <v>95.74829931972789</v>
      </c>
      <c r="G18" s="107"/>
      <c r="H18" s="107"/>
      <c r="I18" s="107"/>
      <c r="J18" s="107"/>
    </row>
    <row r="19" spans="2:10" ht="27" customHeight="1">
      <c r="B19" s="230"/>
      <c r="C19" s="257" t="s">
        <v>610</v>
      </c>
      <c r="D19" s="228">
        <v>80000</v>
      </c>
      <c r="E19" s="228">
        <v>0</v>
      </c>
      <c r="F19" s="232">
        <f t="shared" si="0"/>
        <v>0</v>
      </c>
      <c r="G19" s="107"/>
      <c r="H19" s="107"/>
      <c r="I19" s="107"/>
      <c r="J19" s="107"/>
    </row>
    <row r="20" spans="2:10" ht="27" customHeight="1">
      <c r="B20" s="230"/>
      <c r="C20" s="257" t="s">
        <v>517</v>
      </c>
      <c r="D20" s="228">
        <v>15000</v>
      </c>
      <c r="E20" s="228">
        <v>0</v>
      </c>
      <c r="F20" s="232">
        <f t="shared" si="0"/>
        <v>0</v>
      </c>
      <c r="G20" s="107"/>
      <c r="H20" s="107"/>
      <c r="I20" s="107"/>
      <c r="J20" s="107"/>
    </row>
    <row r="21" spans="2:10" ht="16.5" customHeight="1">
      <c r="B21" s="230"/>
      <c r="C21" s="257" t="s">
        <v>516</v>
      </c>
      <c r="D21" s="228">
        <v>5000000</v>
      </c>
      <c r="E21" s="228">
        <v>5500000</v>
      </c>
      <c r="F21" s="190">
        <f t="shared" si="0"/>
        <v>110.00000000000001</v>
      </c>
      <c r="G21" s="107"/>
      <c r="H21" s="107"/>
      <c r="I21" s="107"/>
      <c r="J21" s="107"/>
    </row>
    <row r="22" spans="2:9" ht="15" customHeight="1">
      <c r="B22" s="218">
        <v>732120</v>
      </c>
      <c r="C22" s="243" t="s">
        <v>581</v>
      </c>
      <c r="D22" s="263">
        <f>D23+D24+D25+D26+D27+D28+D29</f>
        <v>0</v>
      </c>
      <c r="E22" s="263">
        <f>E23+E24+E25+E26+E27+E28+E29</f>
        <v>15000</v>
      </c>
      <c r="F22" s="244">
        <f t="shared" si="0"/>
        <v>0</v>
      </c>
      <c r="G22" s="107"/>
      <c r="H22" s="107"/>
      <c r="I22" s="107"/>
    </row>
    <row r="23" spans="2:9" s="103" customFormat="1" ht="15" customHeight="1">
      <c r="B23" s="238">
        <v>732121</v>
      </c>
      <c r="C23" s="234" t="s">
        <v>582</v>
      </c>
      <c r="D23" s="186">
        <v>0</v>
      </c>
      <c r="E23" s="186">
        <v>0</v>
      </c>
      <c r="F23" s="245">
        <f t="shared" si="0"/>
        <v>0</v>
      </c>
      <c r="G23" s="185"/>
      <c r="H23" s="185"/>
      <c r="I23" s="185"/>
    </row>
    <row r="24" spans="2:9" s="103" customFormat="1" ht="15" customHeight="1">
      <c r="B24" s="238">
        <v>732122</v>
      </c>
      <c r="C24" s="234" t="s">
        <v>583</v>
      </c>
      <c r="D24" s="186">
        <v>0</v>
      </c>
      <c r="E24" s="186">
        <v>0</v>
      </c>
      <c r="F24" s="245">
        <f t="shared" si="0"/>
        <v>0</v>
      </c>
      <c r="G24" s="185"/>
      <c r="H24" s="185"/>
      <c r="I24" s="185"/>
    </row>
    <row r="25" spans="2:9" s="103" customFormat="1" ht="15" customHeight="1">
      <c r="B25" s="238">
        <v>732123</v>
      </c>
      <c r="C25" s="234" t="s">
        <v>584</v>
      </c>
      <c r="D25" s="186">
        <v>0</v>
      </c>
      <c r="E25" s="186">
        <v>0</v>
      </c>
      <c r="F25" s="245">
        <f t="shared" si="0"/>
        <v>0</v>
      </c>
      <c r="G25" s="185"/>
      <c r="H25" s="185"/>
      <c r="I25" s="185"/>
    </row>
    <row r="26" spans="2:9" s="103" customFormat="1" ht="15" customHeight="1">
      <c r="B26" s="238">
        <v>732124</v>
      </c>
      <c r="C26" s="234" t="s">
        <v>585</v>
      </c>
      <c r="D26" s="186">
        <v>0</v>
      </c>
      <c r="E26" s="186">
        <v>0</v>
      </c>
      <c r="F26" s="245">
        <f t="shared" si="0"/>
        <v>0</v>
      </c>
      <c r="G26" s="185"/>
      <c r="H26" s="185"/>
      <c r="I26" s="185"/>
    </row>
    <row r="27" spans="2:7" s="103" customFormat="1" ht="15" customHeight="1">
      <c r="B27" s="238">
        <v>732125</v>
      </c>
      <c r="C27" s="256" t="s">
        <v>586</v>
      </c>
      <c r="D27" s="106">
        <v>0</v>
      </c>
      <c r="E27" s="106">
        <v>15000</v>
      </c>
      <c r="F27" s="79">
        <f t="shared" si="0"/>
        <v>0</v>
      </c>
      <c r="G27" s="185"/>
    </row>
    <row r="28" spans="2:7" s="103" customFormat="1" ht="15" customHeight="1">
      <c r="B28" s="238">
        <v>732126</v>
      </c>
      <c r="C28" s="234" t="s">
        <v>587</v>
      </c>
      <c r="D28" s="106">
        <v>0</v>
      </c>
      <c r="E28" s="106">
        <v>0</v>
      </c>
      <c r="F28" s="79">
        <f t="shared" si="0"/>
        <v>0</v>
      </c>
      <c r="G28" s="185"/>
    </row>
    <row r="29" spans="2:7" s="103" customFormat="1" ht="15" customHeight="1">
      <c r="B29" s="238">
        <v>732128</v>
      </c>
      <c r="C29" s="234" t="s">
        <v>588</v>
      </c>
      <c r="D29" s="106">
        <v>0</v>
      </c>
      <c r="E29" s="106">
        <v>0</v>
      </c>
      <c r="F29" s="79">
        <f t="shared" si="0"/>
        <v>0</v>
      </c>
      <c r="G29" s="185"/>
    </row>
    <row r="30" spans="2:9" ht="15" customHeight="1">
      <c r="B30" s="218">
        <v>732130</v>
      </c>
      <c r="C30" s="243" t="s">
        <v>589</v>
      </c>
      <c r="D30" s="263">
        <f>D31</f>
        <v>12000</v>
      </c>
      <c r="E30" s="263">
        <f>E31</f>
        <v>0</v>
      </c>
      <c r="F30" s="244">
        <f t="shared" si="0"/>
        <v>0</v>
      </c>
      <c r="G30" s="107"/>
      <c r="H30" s="107"/>
      <c r="I30" s="107"/>
    </row>
    <row r="31" spans="2:7" s="103" customFormat="1" ht="15" customHeight="1">
      <c r="B31" s="238">
        <v>732131</v>
      </c>
      <c r="C31" s="234" t="s">
        <v>590</v>
      </c>
      <c r="D31" s="106">
        <v>12000</v>
      </c>
      <c r="E31" s="186">
        <v>0</v>
      </c>
      <c r="F31" s="79">
        <f t="shared" si="0"/>
        <v>0</v>
      </c>
      <c r="G31" s="185"/>
    </row>
    <row r="32" spans="2:7" ht="15.75" customHeight="1">
      <c r="B32" s="242">
        <v>733000</v>
      </c>
      <c r="C32" s="239" t="s">
        <v>470</v>
      </c>
      <c r="D32" s="241">
        <f>D33</f>
        <v>93000</v>
      </c>
      <c r="E32" s="241">
        <f>E33</f>
        <v>25000</v>
      </c>
      <c r="F32" s="240">
        <f t="shared" si="0"/>
        <v>26.881720430107524</v>
      </c>
      <c r="G32" s="184"/>
    </row>
    <row r="33" spans="2:7" s="103" customFormat="1" ht="15" customHeight="1">
      <c r="B33" s="254">
        <v>733100</v>
      </c>
      <c r="C33" s="259" t="s">
        <v>471</v>
      </c>
      <c r="D33" s="246">
        <f>D34+D36</f>
        <v>93000</v>
      </c>
      <c r="E33" s="246">
        <f>E34+E36</f>
        <v>25000</v>
      </c>
      <c r="F33" s="261">
        <f t="shared" si="0"/>
        <v>26.881720430107524</v>
      </c>
      <c r="G33" s="185"/>
    </row>
    <row r="34" spans="2:9" ht="15" customHeight="1">
      <c r="B34" s="218">
        <v>733110</v>
      </c>
      <c r="C34" s="243" t="s">
        <v>472</v>
      </c>
      <c r="D34" s="263">
        <f>SUM(D35)</f>
        <v>51000</v>
      </c>
      <c r="E34" s="263">
        <f>SUM(E35)</f>
        <v>15000</v>
      </c>
      <c r="F34" s="244">
        <f t="shared" si="0"/>
        <v>29.411764705882355</v>
      </c>
      <c r="G34" s="107"/>
      <c r="H34" s="107"/>
      <c r="I34" s="107"/>
    </row>
    <row r="35" spans="2:10" ht="16.5" customHeight="1">
      <c r="B35" s="230"/>
      <c r="C35" s="257" t="s">
        <v>523</v>
      </c>
      <c r="D35" s="228">
        <v>51000</v>
      </c>
      <c r="E35" s="228">
        <v>15000</v>
      </c>
      <c r="F35" s="245">
        <f t="shared" si="0"/>
        <v>29.411764705882355</v>
      </c>
      <c r="G35" s="107"/>
      <c r="H35" s="107"/>
      <c r="I35" s="107"/>
      <c r="J35" s="107"/>
    </row>
    <row r="36" spans="2:9" ht="15" customHeight="1">
      <c r="B36" s="218">
        <v>733120</v>
      </c>
      <c r="C36" s="243" t="s">
        <v>473</v>
      </c>
      <c r="D36" s="263">
        <f>SUM(D37:D37)</f>
        <v>42000</v>
      </c>
      <c r="E36" s="263">
        <f>SUM(E37:E37)</f>
        <v>10000</v>
      </c>
      <c r="F36" s="244">
        <f t="shared" si="0"/>
        <v>23.809523809523807</v>
      </c>
      <c r="G36" s="107"/>
      <c r="H36" s="107"/>
      <c r="I36" s="107"/>
    </row>
    <row r="37" spans="2:10" ht="12.75">
      <c r="B37" s="213"/>
      <c r="C37" s="257" t="s">
        <v>523</v>
      </c>
      <c r="D37" s="186">
        <v>42000</v>
      </c>
      <c r="E37" s="186">
        <v>10000</v>
      </c>
      <c r="F37" s="215">
        <f t="shared" si="0"/>
        <v>23.809523809523807</v>
      </c>
      <c r="G37" s="107"/>
      <c r="H37" s="181"/>
      <c r="J37" s="107"/>
    </row>
    <row r="38" spans="2:7" ht="13.5" customHeight="1">
      <c r="B38" s="52"/>
      <c r="C38" s="76"/>
      <c r="D38" s="97"/>
      <c r="E38" s="97"/>
      <c r="F38" s="78">
        <f t="shared" si="0"/>
        <v>0</v>
      </c>
      <c r="G38" s="107"/>
    </row>
    <row r="39" spans="2:7" ht="15" customHeight="1">
      <c r="B39" s="249">
        <v>740000</v>
      </c>
      <c r="C39" s="272" t="s">
        <v>591</v>
      </c>
      <c r="D39" s="251">
        <f>D40+'prihodi-5'!D10</f>
        <v>1064450</v>
      </c>
      <c r="E39" s="251">
        <f>E40+'prihodi-5'!E10</f>
        <v>687630</v>
      </c>
      <c r="F39" s="252">
        <f t="shared" si="0"/>
        <v>64.59955845741932</v>
      </c>
      <c r="G39" s="184"/>
    </row>
    <row r="40" spans="2:7" ht="27" customHeight="1">
      <c r="B40" s="242">
        <v>741000</v>
      </c>
      <c r="C40" s="239" t="s">
        <v>592</v>
      </c>
      <c r="D40" s="241">
        <f>D41</f>
        <v>444760</v>
      </c>
      <c r="E40" s="241">
        <f>E41</f>
        <v>10000</v>
      </c>
      <c r="F40" s="240">
        <f t="shared" si="0"/>
        <v>2.2484036334202715</v>
      </c>
      <c r="G40" s="184"/>
    </row>
    <row r="41" spans="2:7" s="103" customFormat="1" ht="27" customHeight="1">
      <c r="B41" s="254">
        <v>741100</v>
      </c>
      <c r="C41" s="262" t="s">
        <v>593</v>
      </c>
      <c r="D41" s="246">
        <f>D42+'prihodi-5'!D7</f>
        <v>444760</v>
      </c>
      <c r="E41" s="246">
        <f>E42+'prihodi-5'!E7</f>
        <v>10000</v>
      </c>
      <c r="F41" s="261">
        <f t="shared" si="0"/>
        <v>2.2484036334202715</v>
      </c>
      <c r="G41" s="185"/>
    </row>
    <row r="42" spans="2:8" s="103" customFormat="1" ht="15" customHeight="1">
      <c r="B42" s="238">
        <v>741111</v>
      </c>
      <c r="C42" s="234" t="s">
        <v>594</v>
      </c>
      <c r="D42" s="106">
        <f>D43+D44+'prihodi-5'!D3+'prihodi-5'!D4+'prihodi-5'!D5+'prihodi-5'!D6</f>
        <v>312990</v>
      </c>
      <c r="E42" s="106">
        <f>E43+E44+'prihodi-5'!E3+'prihodi-5'!E4+'prihodi-5'!E5+'prihodi-5'!E6</f>
        <v>10000</v>
      </c>
      <c r="F42" s="79">
        <f t="shared" si="0"/>
        <v>3.194990255279721</v>
      </c>
      <c r="G42" s="185"/>
      <c r="H42" s="185"/>
    </row>
    <row r="43" spans="2:10" ht="27" customHeight="1">
      <c r="B43" s="230"/>
      <c r="C43" s="257" t="s">
        <v>717</v>
      </c>
      <c r="D43" s="228">
        <v>28880</v>
      </c>
      <c r="E43" s="228">
        <v>0</v>
      </c>
      <c r="F43" s="79">
        <f t="shared" si="0"/>
        <v>0</v>
      </c>
      <c r="G43" s="107"/>
      <c r="H43" s="107"/>
      <c r="I43" s="107"/>
      <c r="J43" s="107"/>
    </row>
    <row r="44" spans="2:10" ht="15" customHeight="1" thickBot="1">
      <c r="B44" s="343"/>
      <c r="C44" s="344" t="s">
        <v>527</v>
      </c>
      <c r="D44" s="350">
        <v>5000</v>
      </c>
      <c r="E44" s="350">
        <v>0</v>
      </c>
      <c r="F44" s="342">
        <f t="shared" si="0"/>
        <v>0</v>
      </c>
      <c r="G44" s="107"/>
      <c r="H44" s="107"/>
      <c r="I44" s="107"/>
      <c r="J44" s="107"/>
    </row>
    <row r="46" ht="12.75">
      <c r="E46" s="337"/>
    </row>
    <row r="47" spans="2:7" ht="12.75">
      <c r="B47"/>
      <c r="E47" s="107"/>
      <c r="F47" s="187"/>
      <c r="G47" s="188"/>
    </row>
    <row r="48" spans="5:7" ht="12.75">
      <c r="E48" s="107"/>
      <c r="F48" s="187"/>
      <c r="G48" s="188"/>
    </row>
    <row r="49" spans="6:7" ht="12.75">
      <c r="F49" s="187"/>
      <c r="G49" s="189"/>
    </row>
  </sheetData>
  <sheetProtection/>
  <mergeCells count="1">
    <mergeCell ref="B5:C5"/>
  </mergeCells>
  <printOptions/>
  <pageMargins left="0.44" right="0.3" top="0.59" bottom="0.54" header="0.5" footer="0.5"/>
  <pageSetup horizontalDpi="600" verticalDpi="600" orientation="portrait" paperSize="9" scale="91" r:id="rId1"/>
  <headerFooter alignWithMargins="0">
    <oddFooter>&amp;R5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B1:J46"/>
  <sheetViews>
    <sheetView zoomScalePageLayoutView="0" workbookViewId="0" topLeftCell="B25">
      <selection activeCell="E44" sqref="E44"/>
    </sheetView>
  </sheetViews>
  <sheetFormatPr defaultColWidth="9.140625" defaultRowHeight="12.75"/>
  <cols>
    <col min="1" max="1" width="0.42578125" style="0" hidden="1" customWidth="1"/>
    <col min="2" max="2" width="13.28125" style="58" customWidth="1"/>
    <col min="3" max="3" width="55.421875" style="0" customWidth="1"/>
    <col min="4" max="5" width="15.28125" style="0" customWidth="1"/>
    <col min="6" max="6" width="7.7109375" style="0" customWidth="1"/>
    <col min="7" max="7" width="11.00390625" style="0" customWidth="1"/>
    <col min="8" max="8" width="15.7109375" style="0" customWidth="1"/>
    <col min="9" max="9" width="17.28125" style="0" customWidth="1"/>
    <col min="10" max="10" width="15.28125" style="0" customWidth="1"/>
  </cols>
  <sheetData>
    <row r="1" spans="2:6" ht="76.5" customHeight="1">
      <c r="B1" s="88" t="s">
        <v>196</v>
      </c>
      <c r="C1" s="89" t="s">
        <v>88</v>
      </c>
      <c r="D1" s="145" t="s">
        <v>360</v>
      </c>
      <c r="E1" s="145" t="s">
        <v>628</v>
      </c>
      <c r="F1" s="44" t="s">
        <v>343</v>
      </c>
    </row>
    <row r="2" spans="2:6" ht="18" customHeight="1">
      <c r="B2" s="302">
        <v>1</v>
      </c>
      <c r="C2" s="303">
        <v>2</v>
      </c>
      <c r="D2" s="303">
        <v>3</v>
      </c>
      <c r="E2" s="304">
        <v>4</v>
      </c>
      <c r="F2" s="305">
        <v>5</v>
      </c>
    </row>
    <row r="3" spans="2:10" ht="17.25" customHeight="1">
      <c r="B3" s="356"/>
      <c r="C3" s="357" t="s">
        <v>719</v>
      </c>
      <c r="D3" s="358">
        <v>4890</v>
      </c>
      <c r="E3" s="358">
        <v>0</v>
      </c>
      <c r="F3" s="359">
        <f aca="true" t="shared" si="0" ref="F3:F15">IF(D3=0,,E3/D3*100)</f>
        <v>0</v>
      </c>
      <c r="G3" s="107"/>
      <c r="H3" s="107"/>
      <c r="I3" s="107"/>
      <c r="J3" s="107"/>
    </row>
    <row r="4" spans="2:10" ht="17.25" customHeight="1">
      <c r="B4" s="230"/>
      <c r="C4" s="257" t="s">
        <v>724</v>
      </c>
      <c r="D4" s="228">
        <v>53660</v>
      </c>
      <c r="E4" s="228">
        <v>0</v>
      </c>
      <c r="F4" s="79">
        <f t="shared" si="0"/>
        <v>0</v>
      </c>
      <c r="G4" s="107"/>
      <c r="H4" s="107"/>
      <c r="I4" s="107"/>
      <c r="J4" s="107"/>
    </row>
    <row r="5" spans="2:10" ht="27.75" customHeight="1">
      <c r="B5" s="230"/>
      <c r="C5" s="257" t="s">
        <v>3</v>
      </c>
      <c r="D5" s="228">
        <v>111800</v>
      </c>
      <c r="E5" s="228">
        <v>10000</v>
      </c>
      <c r="F5" s="79">
        <f t="shared" si="0"/>
        <v>8.94454382826476</v>
      </c>
      <c r="G5" s="107"/>
      <c r="H5" s="107"/>
      <c r="I5" s="107"/>
      <c r="J5" s="107"/>
    </row>
    <row r="6" spans="2:10" ht="15" customHeight="1">
      <c r="B6" s="230"/>
      <c r="C6" s="257" t="s">
        <v>529</v>
      </c>
      <c r="D6" s="228">
        <v>108760</v>
      </c>
      <c r="E6" s="228">
        <v>0</v>
      </c>
      <c r="F6" s="79">
        <f t="shared" si="0"/>
        <v>0</v>
      </c>
      <c r="G6" s="107"/>
      <c r="H6" s="107"/>
      <c r="I6" s="107"/>
      <c r="J6" s="107"/>
    </row>
    <row r="7" spans="2:8" s="103" customFormat="1" ht="15" customHeight="1">
      <c r="B7" s="238">
        <v>741121</v>
      </c>
      <c r="C7" s="234" t="s">
        <v>595</v>
      </c>
      <c r="D7" s="106">
        <f>D8+D9</f>
        <v>131770</v>
      </c>
      <c r="E7" s="106">
        <f>E8+E9</f>
        <v>0</v>
      </c>
      <c r="F7" s="353">
        <f t="shared" si="0"/>
        <v>0</v>
      </c>
      <c r="G7" s="185"/>
      <c r="H7" s="185"/>
    </row>
    <row r="8" spans="2:10" ht="17.25" customHeight="1">
      <c r="B8" s="230"/>
      <c r="C8" s="257" t="s">
        <v>718</v>
      </c>
      <c r="D8" s="228">
        <v>1770</v>
      </c>
      <c r="E8" s="228">
        <v>0</v>
      </c>
      <c r="F8" s="79">
        <f t="shared" si="0"/>
        <v>0</v>
      </c>
      <c r="G8" s="107"/>
      <c r="H8" s="107"/>
      <c r="I8" s="107"/>
      <c r="J8" s="107"/>
    </row>
    <row r="9" spans="2:10" ht="17.25" customHeight="1">
      <c r="B9" s="230"/>
      <c r="C9" s="257" t="s">
        <v>609</v>
      </c>
      <c r="D9" s="228">
        <v>130000</v>
      </c>
      <c r="E9" s="228">
        <v>0</v>
      </c>
      <c r="F9" s="79">
        <f t="shared" si="0"/>
        <v>0</v>
      </c>
      <c r="G9" s="107"/>
      <c r="H9" s="107"/>
      <c r="I9" s="107"/>
      <c r="J9" s="107"/>
    </row>
    <row r="10" spans="2:7" ht="15" customHeight="1">
      <c r="B10" s="242">
        <v>742000</v>
      </c>
      <c r="C10" s="239" t="s">
        <v>596</v>
      </c>
      <c r="D10" s="241">
        <f>D11</f>
        <v>619690</v>
      </c>
      <c r="E10" s="241">
        <f>E11</f>
        <v>677630</v>
      </c>
      <c r="F10" s="240">
        <f t="shared" si="0"/>
        <v>109.3498362084268</v>
      </c>
      <c r="G10" s="184"/>
    </row>
    <row r="11" spans="2:7" s="103" customFormat="1" ht="15.75" customHeight="1">
      <c r="B11" s="254">
        <v>742100</v>
      </c>
      <c r="C11" s="262" t="s">
        <v>597</v>
      </c>
      <c r="D11" s="246">
        <f>D12+D22</f>
        <v>619690</v>
      </c>
      <c r="E11" s="246">
        <f>E12+E22</f>
        <v>677630</v>
      </c>
      <c r="F11" s="261">
        <f t="shared" si="0"/>
        <v>109.3498362084268</v>
      </c>
      <c r="G11" s="185"/>
    </row>
    <row r="12" spans="2:7" s="103" customFormat="1" ht="15" customHeight="1">
      <c r="B12" s="238">
        <v>742112</v>
      </c>
      <c r="C12" s="234" t="s">
        <v>598</v>
      </c>
      <c r="D12" s="106">
        <f>D13+D14+D15+D16+D17+D18+D19+D20+D21</f>
        <v>609690</v>
      </c>
      <c r="E12" s="106">
        <f>E13+E14+E15+E16+E17+E18+E19+E20+E21</f>
        <v>677630</v>
      </c>
      <c r="F12" s="79">
        <f t="shared" si="0"/>
        <v>111.14336794108482</v>
      </c>
      <c r="G12" s="185"/>
    </row>
    <row r="13" spans="2:10" ht="27.75" customHeight="1">
      <c r="B13" s="218"/>
      <c r="C13" s="257" t="s">
        <v>518</v>
      </c>
      <c r="D13" s="186">
        <v>400000</v>
      </c>
      <c r="E13" s="186">
        <v>500000</v>
      </c>
      <c r="F13" s="79">
        <f t="shared" si="0"/>
        <v>125</v>
      </c>
      <c r="G13" s="107"/>
      <c r="H13" s="181"/>
      <c r="J13" s="107"/>
    </row>
    <row r="14" spans="2:10" ht="27.75" customHeight="1">
      <c r="B14" s="218"/>
      <c r="C14" s="257" t="s">
        <v>722</v>
      </c>
      <c r="D14" s="186">
        <v>0</v>
      </c>
      <c r="E14" s="186">
        <v>100000</v>
      </c>
      <c r="F14" s="79">
        <f>IF(D14=0,,E14/D14*100)</f>
        <v>0</v>
      </c>
      <c r="G14" s="107"/>
      <c r="H14" s="181"/>
      <c r="J14" s="107"/>
    </row>
    <row r="15" spans="2:10" ht="15" customHeight="1">
      <c r="B15" s="218"/>
      <c r="C15" s="257" t="s">
        <v>519</v>
      </c>
      <c r="D15" s="186">
        <v>35000</v>
      </c>
      <c r="E15" s="186">
        <v>30000</v>
      </c>
      <c r="F15" s="79">
        <f t="shared" si="0"/>
        <v>85.71428571428571</v>
      </c>
      <c r="G15" s="107"/>
      <c r="H15" s="181"/>
      <c r="J15" s="107"/>
    </row>
    <row r="16" spans="2:10" ht="26.25" customHeight="1">
      <c r="B16" s="218"/>
      <c r="C16" s="257" t="s">
        <v>528</v>
      </c>
      <c r="D16" s="186">
        <v>106080</v>
      </c>
      <c r="E16" s="186">
        <v>0</v>
      </c>
      <c r="F16" s="79">
        <f aca="true" t="shared" si="1" ref="F16:F24">IF(D16=0,,E16/D16*100)</f>
        <v>0</v>
      </c>
      <c r="G16" s="107"/>
      <c r="H16" s="181"/>
      <c r="J16" s="107"/>
    </row>
    <row r="17" spans="2:10" ht="15" customHeight="1">
      <c r="B17" s="230"/>
      <c r="C17" s="257" t="s">
        <v>527</v>
      </c>
      <c r="D17" s="228">
        <v>5000</v>
      </c>
      <c r="E17" s="228">
        <v>0</v>
      </c>
      <c r="F17" s="79">
        <f t="shared" si="1"/>
        <v>0</v>
      </c>
      <c r="G17" s="107"/>
      <c r="H17" s="107"/>
      <c r="I17" s="107"/>
      <c r="J17" s="107"/>
    </row>
    <row r="18" spans="2:10" ht="15.75" customHeight="1">
      <c r="B18" s="230"/>
      <c r="C18" s="257" t="s">
        <v>720</v>
      </c>
      <c r="D18" s="228">
        <v>2000</v>
      </c>
      <c r="E18" s="228">
        <v>0</v>
      </c>
      <c r="F18" s="79">
        <f t="shared" si="1"/>
        <v>0</v>
      </c>
      <c r="G18" s="107"/>
      <c r="H18" s="107"/>
      <c r="I18" s="107"/>
      <c r="J18" s="107"/>
    </row>
    <row r="19" spans="2:10" ht="17.25" customHeight="1">
      <c r="B19" s="230"/>
      <c r="C19" s="257" t="s">
        <v>725</v>
      </c>
      <c r="D19" s="228">
        <f>26610+35000</f>
        <v>61610</v>
      </c>
      <c r="E19" s="228">
        <v>35000</v>
      </c>
      <c r="F19" s="79">
        <f t="shared" si="1"/>
        <v>56.80895958448304</v>
      </c>
      <c r="G19" s="107"/>
      <c r="H19" s="107"/>
      <c r="I19" s="107"/>
      <c r="J19" s="107"/>
    </row>
    <row r="20" spans="2:10" ht="16.5" customHeight="1">
      <c r="B20" s="230"/>
      <c r="C20" s="257" t="s">
        <v>721</v>
      </c>
      <c r="D20" s="228">
        <v>0</v>
      </c>
      <c r="E20" s="228">
        <v>10000</v>
      </c>
      <c r="F20" s="79">
        <f>IF(D20=0,,E20/D20*100)</f>
        <v>0</v>
      </c>
      <c r="G20" s="107"/>
      <c r="H20" s="107"/>
      <c r="I20" s="107"/>
      <c r="J20" s="107"/>
    </row>
    <row r="21" spans="2:10" ht="16.5" customHeight="1">
      <c r="B21" s="230"/>
      <c r="C21" s="257" t="s">
        <v>723</v>
      </c>
      <c r="D21" s="228">
        <v>0</v>
      </c>
      <c r="E21" s="228">
        <v>2630</v>
      </c>
      <c r="F21" s="190">
        <f>IF(D21=0,,E21/D21*100)</f>
        <v>0</v>
      </c>
      <c r="G21" s="107"/>
      <c r="H21" s="107"/>
      <c r="I21" s="107"/>
      <c r="J21" s="107"/>
    </row>
    <row r="22" spans="2:7" s="103" customFormat="1" ht="15" customHeight="1">
      <c r="B22" s="238">
        <v>742114</v>
      </c>
      <c r="C22" s="234" t="s">
        <v>599</v>
      </c>
      <c r="D22" s="106">
        <f>SUM(D23:D24)</f>
        <v>10000</v>
      </c>
      <c r="E22" s="106">
        <f>SUM(E23:E24)</f>
        <v>0</v>
      </c>
      <c r="F22" s="79">
        <f t="shared" si="1"/>
        <v>0</v>
      </c>
      <c r="G22" s="185"/>
    </row>
    <row r="23" spans="2:10" ht="16.5" customHeight="1">
      <c r="B23" s="218"/>
      <c r="C23" s="257" t="s">
        <v>520</v>
      </c>
      <c r="D23" s="186">
        <v>5000</v>
      </c>
      <c r="E23" s="186">
        <v>0</v>
      </c>
      <c r="F23" s="79">
        <f t="shared" si="1"/>
        <v>0</v>
      </c>
      <c r="G23" s="107"/>
      <c r="H23" s="181"/>
      <c r="J23" s="107"/>
    </row>
    <row r="24" spans="2:10" ht="16.5" customHeight="1">
      <c r="B24" s="218"/>
      <c r="C24" s="257" t="s">
        <v>521</v>
      </c>
      <c r="D24" s="186">
        <v>5000</v>
      </c>
      <c r="E24" s="186">
        <v>0</v>
      </c>
      <c r="F24" s="79">
        <f t="shared" si="1"/>
        <v>0</v>
      </c>
      <c r="G24" s="107"/>
      <c r="H24" s="181"/>
      <c r="J24" s="107"/>
    </row>
    <row r="25" spans="2:10" ht="16.5" customHeight="1">
      <c r="B25" s="218"/>
      <c r="C25" s="257"/>
      <c r="D25" s="186"/>
      <c r="E25" s="186"/>
      <c r="F25" s="215"/>
      <c r="G25" s="107"/>
      <c r="H25" s="181"/>
      <c r="J25" s="107"/>
    </row>
    <row r="26" spans="2:7" s="273" customFormat="1" ht="15" customHeight="1">
      <c r="B26" s="249">
        <v>777000</v>
      </c>
      <c r="C26" s="250" t="s">
        <v>474</v>
      </c>
      <c r="D26" s="274">
        <f>SUM(D27:D28)</f>
        <v>1200</v>
      </c>
      <c r="E26" s="274">
        <f>SUM(E27:E28)</f>
        <v>1100</v>
      </c>
      <c r="F26" s="252">
        <f>IF(D26=0,,E26/D26*100)</f>
        <v>91.66666666666666</v>
      </c>
      <c r="G26" s="253"/>
    </row>
    <row r="27" spans="2:7" ht="15" customHeight="1">
      <c r="B27" s="212">
        <v>777778</v>
      </c>
      <c r="C27" s="256" t="s">
        <v>475</v>
      </c>
      <c r="D27" s="98">
        <v>1000</v>
      </c>
      <c r="E27" s="98">
        <v>1000</v>
      </c>
      <c r="F27" s="79">
        <f>IF(D27=0,,E27/D27*100)</f>
        <v>100</v>
      </c>
      <c r="G27" s="107"/>
    </row>
    <row r="28" spans="2:7" ht="15" customHeight="1">
      <c r="B28" s="212">
        <v>777779</v>
      </c>
      <c r="C28" s="234" t="s">
        <v>476</v>
      </c>
      <c r="D28" s="98">
        <v>200</v>
      </c>
      <c r="E28" s="98">
        <v>100</v>
      </c>
      <c r="F28" s="79">
        <f>IF(D28=0,,E28/D28*100)</f>
        <v>50</v>
      </c>
      <c r="G28" s="107"/>
    </row>
    <row r="29" spans="2:7" s="103" customFormat="1" ht="15" customHeight="1">
      <c r="B29" s="104"/>
      <c r="C29" s="105"/>
      <c r="D29" s="186"/>
      <c r="E29" s="186"/>
      <c r="F29" s="190"/>
      <c r="G29" s="185"/>
    </row>
    <row r="30" spans="2:8" s="54" customFormat="1" ht="15" customHeight="1">
      <c r="B30" s="429" t="s">
        <v>525</v>
      </c>
      <c r="C30" s="430"/>
      <c r="D30" s="268">
        <f>'prihodi-1'!D5+'prihodi-2'!D6+'prihodi-4'!D7+'prihodi-4'!D39+'prihodi-5'!D26</f>
        <v>37584540</v>
      </c>
      <c r="E30" s="268">
        <f>'prihodi-1'!E5+'prihodi-2'!E6+'prihodi-4'!E7+'prihodi-4'!E39+'prihodi-5'!E26</f>
        <v>39533110</v>
      </c>
      <c r="F30" s="269">
        <f>IF(D30=0,,E30/D30*100)</f>
        <v>105.18449873272363</v>
      </c>
      <c r="G30" s="270"/>
      <c r="H30" s="271"/>
    </row>
    <row r="31" spans="2:8" s="54" customFormat="1" ht="15">
      <c r="B31" s="266"/>
      <c r="C31" s="267"/>
      <c r="D31" s="268"/>
      <c r="E31" s="268"/>
      <c r="F31" s="269"/>
      <c r="G31" s="270"/>
      <c r="H31" s="271"/>
    </row>
    <row r="32" spans="2:7" s="54" customFormat="1" ht="15" customHeight="1">
      <c r="B32" s="249">
        <v>810000</v>
      </c>
      <c r="C32" s="250" t="s">
        <v>477</v>
      </c>
      <c r="D32" s="251">
        <f>D33</f>
        <v>0</v>
      </c>
      <c r="E32" s="251">
        <f>E33</f>
        <v>0</v>
      </c>
      <c r="F32" s="252">
        <f>IF(D32=0,,E32/D32*100)</f>
        <v>0</v>
      </c>
      <c r="G32" s="253"/>
    </row>
    <row r="33" spans="2:7" ht="15" customHeight="1">
      <c r="B33" s="52">
        <v>811000</v>
      </c>
      <c r="C33" s="239" t="s">
        <v>479</v>
      </c>
      <c r="D33" s="241">
        <f>D34+D35</f>
        <v>0</v>
      </c>
      <c r="E33" s="241">
        <f>E34+E35</f>
        <v>0</v>
      </c>
      <c r="F33" s="240">
        <f>IF(D33=0,,E33/D33*100)</f>
        <v>0</v>
      </c>
      <c r="G33" s="184"/>
    </row>
    <row r="34" spans="2:7" s="103" customFormat="1" ht="15" customHeight="1">
      <c r="B34" s="254">
        <v>811100</v>
      </c>
      <c r="C34" s="265" t="s">
        <v>478</v>
      </c>
      <c r="D34" s="263">
        <v>0</v>
      </c>
      <c r="E34" s="263">
        <v>0</v>
      </c>
      <c r="F34" s="275">
        <f>IF(D34=0,,E34/D34*100)</f>
        <v>0</v>
      </c>
      <c r="G34" s="185"/>
    </row>
    <row r="35" spans="2:7" s="103" customFormat="1" ht="15" customHeight="1">
      <c r="B35" s="254">
        <v>811900</v>
      </c>
      <c r="C35" s="265" t="s">
        <v>480</v>
      </c>
      <c r="D35" s="246">
        <v>0</v>
      </c>
      <c r="E35" s="246">
        <v>0</v>
      </c>
      <c r="F35" s="261">
        <f>IF(D35=0,,E35/D35*100)</f>
        <v>0</v>
      </c>
      <c r="G35" s="185"/>
    </row>
    <row r="36" spans="2:6" ht="13.5" thickBot="1">
      <c r="B36" s="363"/>
      <c r="C36" s="364"/>
      <c r="D36" s="364"/>
      <c r="E36" s="364"/>
      <c r="F36" s="365"/>
    </row>
    <row r="37" spans="2:8" ht="19.5" customHeight="1" thickBot="1">
      <c r="B37" s="431" t="s">
        <v>600</v>
      </c>
      <c r="C37" s="432"/>
      <c r="D37" s="361">
        <f>'prihodi-5'!D30+'prihodi-5'!D32</f>
        <v>37584540</v>
      </c>
      <c r="E37" s="456">
        <f>'prihodi-5'!E30+'prihodi-5'!E32</f>
        <v>39533110</v>
      </c>
      <c r="F37" s="362">
        <f>IF(D37=0,,E37/D37*100)</f>
        <v>105.18449873272363</v>
      </c>
      <c r="G37" s="184"/>
      <c r="H37" s="107"/>
    </row>
    <row r="43" ht="12.75">
      <c r="E43" s="337"/>
    </row>
    <row r="44" spans="2:7" ht="12.75">
      <c r="B44"/>
      <c r="E44" s="107"/>
      <c r="F44" s="187"/>
      <c r="G44" s="188"/>
    </row>
    <row r="45" spans="5:7" ht="12.75">
      <c r="E45" s="107"/>
      <c r="F45" s="187"/>
      <c r="G45" s="188"/>
    </row>
    <row r="46" spans="6:7" ht="12.75">
      <c r="F46" s="187"/>
      <c r="G46" s="189"/>
    </row>
  </sheetData>
  <sheetProtection/>
  <mergeCells count="2">
    <mergeCell ref="B30:C30"/>
    <mergeCell ref="B37:C37"/>
  </mergeCells>
  <printOptions/>
  <pageMargins left="0.44" right="0.3" top="0.59" bottom="0.56" header="0.5" footer="0.5"/>
  <pageSetup horizontalDpi="600" verticalDpi="600" orientation="portrait" paperSize="9" scale="91" r:id="rId1"/>
  <headerFooter alignWithMargins="0">
    <oddFooter>&amp;R6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B3:K65"/>
  <sheetViews>
    <sheetView zoomScalePageLayoutView="0" workbookViewId="0" topLeftCell="C1">
      <selection activeCell="I19" sqref="I19"/>
    </sheetView>
  </sheetViews>
  <sheetFormatPr defaultColWidth="9.140625" defaultRowHeight="12" customHeight="1"/>
  <cols>
    <col min="1" max="1" width="0.5625" style="13" hidden="1" customWidth="1"/>
    <col min="2" max="2" width="5.7109375" style="13" hidden="1" customWidth="1"/>
    <col min="3" max="3" width="10.7109375" style="24" customWidth="1"/>
    <col min="4" max="4" width="54.00390625" style="13" customWidth="1"/>
    <col min="5" max="6" width="15.7109375" style="13" customWidth="1"/>
    <col min="7" max="7" width="8.7109375" style="146" customWidth="1"/>
    <col min="8" max="8" width="9.140625" style="13" customWidth="1"/>
    <col min="9" max="9" width="13.140625" style="13" bestFit="1" customWidth="1"/>
    <col min="10" max="10" width="9.140625" style="13" customWidth="1"/>
    <col min="11" max="11" width="10.140625" style="13" bestFit="1" customWidth="1"/>
    <col min="12" max="16384" width="9.140625" style="13" customWidth="1"/>
  </cols>
  <sheetData>
    <row r="2" ht="2.25" customHeight="1"/>
    <row r="3" spans="3:7" s="1" customFormat="1" ht="30.75" customHeight="1" thickBot="1">
      <c r="C3" s="435" t="s">
        <v>84</v>
      </c>
      <c r="D3" s="435"/>
      <c r="E3" s="144"/>
      <c r="F3" s="433"/>
      <c r="G3" s="434"/>
    </row>
    <row r="4" spans="2:7" s="1" customFormat="1" ht="51.75" customHeight="1">
      <c r="B4" s="3" t="s">
        <v>85</v>
      </c>
      <c r="C4" s="42" t="s">
        <v>87</v>
      </c>
      <c r="D4" s="43" t="s">
        <v>88</v>
      </c>
      <c r="E4" s="180" t="s">
        <v>361</v>
      </c>
      <c r="F4" s="180" t="s">
        <v>629</v>
      </c>
      <c r="G4" s="147" t="s">
        <v>530</v>
      </c>
    </row>
    <row r="5" spans="2:7" s="2" customFormat="1" ht="13.5" customHeight="1">
      <c r="B5" s="8">
        <v>1</v>
      </c>
      <c r="C5" s="8">
        <v>1</v>
      </c>
      <c r="D5" s="9">
        <v>2</v>
      </c>
      <c r="E5" s="35">
        <v>3</v>
      </c>
      <c r="F5" s="9">
        <v>4</v>
      </c>
      <c r="G5" s="156">
        <v>5</v>
      </c>
    </row>
    <row r="6" spans="2:9" s="2" customFormat="1" ht="13.5" customHeight="1">
      <c r="B6" s="8"/>
      <c r="C6" s="8"/>
      <c r="D6" s="27" t="s">
        <v>170</v>
      </c>
      <c r="E6" s="25">
        <f>E8+E14+E19+E22+E40+'rashodi-2'!E18+'rashodi-2'!E23+'rashodi-2'!E30+'rashodi-2'!E36</f>
        <v>37494520</v>
      </c>
      <c r="F6" s="25">
        <f>F8+F14+F19+F22+F40+'rashodi-2'!F18+'rashodi-2'!F23+'rashodi-2'!F30+'rashodi-2'!F36</f>
        <v>39348510</v>
      </c>
      <c r="G6" s="174">
        <f>F6/E6*100</f>
        <v>104.9446959182302</v>
      </c>
      <c r="I6" s="335"/>
    </row>
    <row r="7" spans="2:9" s="2" customFormat="1" ht="13.5" customHeight="1">
      <c r="B7" s="8"/>
      <c r="C7" s="8"/>
      <c r="D7" s="27"/>
      <c r="E7" s="25"/>
      <c r="F7" s="25"/>
      <c r="G7" s="179"/>
      <c r="I7" s="143"/>
    </row>
    <row r="8" spans="2:9" s="2" customFormat="1" ht="13.5" customHeight="1">
      <c r="B8" s="8"/>
      <c r="C8" s="8">
        <v>600000</v>
      </c>
      <c r="D8" s="27" t="s">
        <v>131</v>
      </c>
      <c r="E8" s="25">
        <f>E9+E10+E11+E12</f>
        <v>295000</v>
      </c>
      <c r="F8" s="25">
        <f>F9+F10+F11+F12</f>
        <v>760000</v>
      </c>
      <c r="G8" s="174">
        <f>F8/E8*100</f>
        <v>257.62711864406776</v>
      </c>
      <c r="I8" s="335"/>
    </row>
    <row r="9" spans="2:11" s="2" customFormat="1" ht="13.5" customHeight="1">
      <c r="B9" s="8"/>
      <c r="C9" s="68">
        <v>600000</v>
      </c>
      <c r="D9" s="60" t="s">
        <v>105</v>
      </c>
      <c r="E9" s="67">
        <f>3!G8</f>
        <v>250000</v>
      </c>
      <c r="F9" s="67">
        <f>3!H8</f>
        <v>700000</v>
      </c>
      <c r="G9" s="179">
        <f>F9/E9*100</f>
        <v>280</v>
      </c>
      <c r="K9" s="143"/>
    </row>
    <row r="10" spans="2:10" s="2" customFormat="1" ht="13.5" customHeight="1">
      <c r="B10" s="8"/>
      <c r="C10" s="68">
        <v>600000</v>
      </c>
      <c r="D10" s="60" t="s">
        <v>106</v>
      </c>
      <c r="E10" s="398">
        <f>3!G9</f>
        <v>30000</v>
      </c>
      <c r="F10" s="67">
        <f>3!H9</f>
        <v>30000</v>
      </c>
      <c r="G10" s="179">
        <f>F10/E10*100</f>
        <v>100</v>
      </c>
      <c r="J10" s="143"/>
    </row>
    <row r="11" spans="2:11" s="2" customFormat="1" ht="13.5" customHeight="1">
      <c r="B11" s="8"/>
      <c r="C11" s="68">
        <v>600000</v>
      </c>
      <c r="D11" s="60" t="s">
        <v>132</v>
      </c>
      <c r="E11" s="67">
        <f>3!G10</f>
        <v>15000</v>
      </c>
      <c r="F11" s="67">
        <f>3!H10</f>
        <v>15000</v>
      </c>
      <c r="G11" s="179">
        <f>F11/E11*100</f>
        <v>100</v>
      </c>
      <c r="K11" s="143"/>
    </row>
    <row r="12" spans="2:7" s="2" customFormat="1" ht="13.5" customHeight="1">
      <c r="B12" s="8"/>
      <c r="C12" s="68">
        <v>600000</v>
      </c>
      <c r="D12" s="60" t="s">
        <v>118</v>
      </c>
      <c r="E12" s="67">
        <f>'16'!G8</f>
        <v>0</v>
      </c>
      <c r="F12" s="67">
        <f>'16'!H8</f>
        <v>15000</v>
      </c>
      <c r="G12" s="179"/>
    </row>
    <row r="13" spans="2:7" s="2" customFormat="1" ht="13.5" customHeight="1">
      <c r="B13" s="8"/>
      <c r="C13" s="68"/>
      <c r="D13" s="60"/>
      <c r="E13" s="140"/>
      <c r="F13" s="140"/>
      <c r="G13" s="179"/>
    </row>
    <row r="14" spans="2:9" s="1" customFormat="1" ht="13.5" customHeight="1">
      <c r="B14" s="10"/>
      <c r="C14" s="8">
        <v>611000</v>
      </c>
      <c r="D14" s="12" t="s">
        <v>174</v>
      </c>
      <c r="E14" s="114">
        <f>SUM(E15:E17)</f>
        <v>19436990</v>
      </c>
      <c r="F14" s="114">
        <f>SUM(F15:F17)</f>
        <v>19990350</v>
      </c>
      <c r="G14" s="174">
        <f>F14/E14*100</f>
        <v>102.8469428651247</v>
      </c>
      <c r="I14" s="96"/>
    </row>
    <row r="15" spans="2:9" ht="13.5" customHeight="1">
      <c r="B15" s="14"/>
      <c r="C15" s="37">
        <v>611100</v>
      </c>
      <c r="D15" s="26" t="s">
        <v>218</v>
      </c>
      <c r="E15" s="46">
        <f>1!G8+2!G8+3!G13+4!G8+5!G8+6!G8+8!G8+9!G8+'10'!G8+'11'!G8+'12'!G8+'13'!G8+'14'!G8+'15'!G8+'16'!G11+'17'!G8+'18'!G8+'19'!G8+'20'!G8+'22'!G8+'23'!G8+'21'!G8+'24'!G8+'25'!G8+'26'!G8+'27'!G8+'28'!G8+'29'!G8+'30'!G8+'31'!G8+'32'!G8+'33'!G8+'34'!G8+'35'!G8+'36'!G8+'37'!G8+7!G8</f>
        <v>15828330</v>
      </c>
      <c r="F15" s="46">
        <f>1!H8+2!H8+3!H13+4!H8+5!H8+6!H8+8!H8+9!H8+'10'!H8+'11'!H8+'12'!H8+'13'!H8+'14'!H8+'15'!H8+'16'!H11+'17'!H8+'18'!H8+'19'!H8+'20'!H8+'22'!H8+'23'!H8+'21'!H8+'24'!H8+'25'!H8+'26'!H8+'27'!H8+'28'!H8+'29'!H8+'30'!H8+'31'!H8+'32'!H8+'33'!H8+'34'!H8+'35'!H8+'36'!H8+'37'!H8+7!H8</f>
        <v>15804980</v>
      </c>
      <c r="G15" s="179">
        <f>F15/E15*100</f>
        <v>99.85247969937447</v>
      </c>
      <c r="I15" s="95"/>
    </row>
    <row r="16" spans="2:9" ht="13.5" customHeight="1">
      <c r="B16" s="14"/>
      <c r="C16" s="37">
        <v>611200</v>
      </c>
      <c r="D16" s="26" t="s">
        <v>219</v>
      </c>
      <c r="E16" s="46">
        <f>1!G9+2!G9+3!G14+4!G9+5!G9+6!G9+8!G9+9!G9+'10'!G9+'11'!G9+'12'!G9+'13'!G9+'14'!G9+'15'!G9+'16'!G12+'17'!G9+'18'!G9+'19'!G9+'20'!G9+'22'!G9+'23'!G9+'21'!G9+'24'!G9+'25'!G9+'26'!G9+'27'!G9+'28'!G9+'29'!G9+'30'!G9+'31'!G9+'32'!G9+'33'!G9+'34'!G9+'35'!G9+'36'!G9+'37'!G9+7!G9</f>
        <v>3369600</v>
      </c>
      <c r="F16" s="46">
        <f>1!H9+2!H9+3!H14+4!H9+5!H9+6!H9+8!H9+9!H9+'10'!H9+'11'!H9+'12'!H9+'13'!H9+'14'!H9+'15'!H9+'16'!H12+'17'!H9+'18'!H9+'19'!H9+'20'!H9+'22'!H9+'23'!H9+'21'!H9+'24'!H9+'25'!H9+'26'!H9+'27'!H9+'28'!H9+'29'!H9+'30'!H9+'31'!H9+'32'!H9+'33'!H9+'34'!H9+'35'!H9+'36'!H9+'37'!H9+7!H9</f>
        <v>3822860</v>
      </c>
      <c r="G16" s="179">
        <f>F16/E16*100</f>
        <v>113.45144824311491</v>
      </c>
      <c r="I16" s="95"/>
    </row>
    <row r="17" spans="2:9" ht="13.5" customHeight="1">
      <c r="B17" s="14"/>
      <c r="C17" s="37">
        <v>611200</v>
      </c>
      <c r="D17" s="26" t="s">
        <v>755</v>
      </c>
      <c r="E17" s="46">
        <f>1!G10+2!G10+3!G15+4!G10+5!G10+6!G10+8!G10+9!G10+'10'!G10+'11'!G10+'12'!G10+'13'!G10+'14'!G10+'15'!G10+'16'!G13+'17'!G10+'18'!G10+'19'!G10+'20'!G10+'22'!G10+'23'!G10+'21'!G10+'24'!G10+'25'!G10+'26'!G10+'27'!G10+'28'!G10+'29'!G10+'30'!G10+'31'!G10+'32'!G10+'33'!G10+'34'!G10+'35'!G10+'36'!G10+'37'!G10+7!G10</f>
        <v>239060</v>
      </c>
      <c r="F17" s="46">
        <f>1!H10+2!H10+3!H15+4!H10+5!H10+6!H10+8!H10+9!H10+'10'!H10+'11'!H10+'12'!H10+'13'!H10+'14'!H10+'15'!H10+'16'!H13+'17'!H10+'18'!H10+'19'!H10+'20'!H10+'22'!H10+'23'!H10+'21'!H10+'24'!H10+'25'!H10+'26'!H10+'27'!H10+'28'!H10+'29'!H10+'30'!H10+'31'!H10+'32'!H10+'33'!H10+'34'!H10+'35'!H10+'36'!H10+'37'!H10+7!H10</f>
        <v>362510</v>
      </c>
      <c r="G17" s="179">
        <f>F17/E17*100</f>
        <v>151.63975570986364</v>
      </c>
      <c r="I17" s="95"/>
    </row>
    <row r="18" spans="2:9" ht="13.5" customHeight="1">
      <c r="B18" s="14"/>
      <c r="C18" s="37"/>
      <c r="D18" s="15"/>
      <c r="E18" s="87"/>
      <c r="F18" s="87"/>
      <c r="G18" s="179"/>
      <c r="I18" s="95"/>
    </row>
    <row r="19" spans="2:10" ht="13.5" customHeight="1">
      <c r="B19" s="14"/>
      <c r="C19" s="8">
        <v>612000</v>
      </c>
      <c r="D19" s="12" t="s">
        <v>173</v>
      </c>
      <c r="E19" s="20">
        <f>E20</f>
        <v>1835600</v>
      </c>
      <c r="F19" s="20">
        <f>F20</f>
        <v>1837650</v>
      </c>
      <c r="G19" s="174">
        <f>F19/E19*100</f>
        <v>100.11168010459795</v>
      </c>
      <c r="I19" s="95"/>
      <c r="J19" s="95"/>
    </row>
    <row r="20" spans="2:7" s="1" customFormat="1" ht="13.5" customHeight="1">
      <c r="B20" s="17"/>
      <c r="C20" s="37">
        <v>612100</v>
      </c>
      <c r="D20" s="18" t="s">
        <v>91</v>
      </c>
      <c r="E20" s="46">
        <f>1!G13+2!G14+3!G19+4!G14+5!G14+6!G14+8!G14+9!G14+'10'!G14+'11'!G14+'12'!G14+'13'!G14+'14'!G14+'15'!G14+'16'!G17+'17'!G14+'18'!G14+'19'!G14+'20'!G14+'22'!G14+'23'!G14+'21'!G14+'24'!G14+'25'!G14+'26'!G14+'27'!G14+'28'!G14+'29'!G14+'30'!G14+'31'!G14+'32'!G13+'33'!G14+'34'!G14+'35'!G14+'36'!G14+'37'!G14+7!G14</f>
        <v>1835600</v>
      </c>
      <c r="F20" s="46">
        <f>1!H13+2!H14+3!H19+4!H14+5!H14+6!H14+8!H14+9!H14+'10'!H14+'11'!H14+'12'!H14+'13'!H14+'14'!H14+'15'!H14+'16'!H17+'17'!H14+'18'!H14+'19'!H14+'20'!H14+'22'!H14+'23'!H14+'21'!H14+'24'!H14+'25'!H14+'26'!H14+'27'!H14+'28'!H14+'29'!H14+'30'!H14+'31'!H14+'32'!H13+'33'!H14+'34'!H14+'35'!H14+'36'!H14+'37'!H14+7!H14</f>
        <v>1837650</v>
      </c>
      <c r="G20" s="179">
        <f>F20/E20*100</f>
        <v>100.11168010459795</v>
      </c>
    </row>
    <row r="21" spans="2:7" ht="13.5" customHeight="1">
      <c r="B21" s="14"/>
      <c r="C21" s="37"/>
      <c r="D21" s="26"/>
      <c r="E21" s="123"/>
      <c r="F21" s="394"/>
      <c r="G21" s="179"/>
    </row>
    <row r="22" spans="2:9" ht="13.5" customHeight="1">
      <c r="B22" s="14"/>
      <c r="C22" s="8">
        <v>613000</v>
      </c>
      <c r="D22" s="12" t="s">
        <v>175</v>
      </c>
      <c r="E22" s="20">
        <f>SUM(E23:E38)</f>
        <v>4934700</v>
      </c>
      <c r="F22" s="20">
        <f>SUM(F23:F38)</f>
        <v>4781430</v>
      </c>
      <c r="G22" s="174">
        <f aca="true" t="shared" si="0" ref="G22:G38">F22/E22*100</f>
        <v>96.89403611161774</v>
      </c>
      <c r="I22" s="95"/>
    </row>
    <row r="23" spans="2:9" s="1" customFormat="1" ht="13.5" customHeight="1">
      <c r="B23" s="17"/>
      <c r="C23" s="37">
        <v>613100</v>
      </c>
      <c r="D23" s="15" t="s">
        <v>92</v>
      </c>
      <c r="E23" s="123">
        <f>1!G17+2!G18+3!G23+4!G18+5!G18+6!G18+8!G18+9!G18+'10'!G18+'11'!G18+'12'!G18+'13'!G18+'14'!G18+'15'!G18+'16'!G21+'17'!G18+'18'!G18+'19'!G18+'20'!G18+'22'!G18+'23'!G18+'21'!G18+'24'!G18+'25'!G18+'26'!G18+'27'!G18+'28'!G18+'29'!G18+'30'!G18+'31'!G18+'32'!G17+'33'!G18+'34'!G18+'35'!G18+'36'!G18+'37'!G18+7!G18</f>
        <v>131700</v>
      </c>
      <c r="F23" s="46">
        <f>1!H17+2!H18+3!H23+4!H18+5!H18+6!H18+8!H18+9!H18+'10'!H18+'11'!H18+'12'!H18+'13'!H18+'14'!H18+'15'!H18+'16'!H21+'17'!H18+'18'!H18+'19'!H18+'20'!H18+'22'!H18+'23'!H18+'21'!H18+'24'!H18+'25'!H18+'26'!H18+'27'!H18+'28'!H18+'29'!H18+'30'!H18+'31'!H18+'32'!H17+'33'!H18+'34'!H18+'35'!H18+'36'!H18+'37'!H18+7!H18</f>
        <v>137200</v>
      </c>
      <c r="G23" s="179">
        <f t="shared" si="0"/>
        <v>104.17615793470007</v>
      </c>
      <c r="I23" s="96"/>
    </row>
    <row r="24" spans="2:7" ht="13.5" customHeight="1">
      <c r="B24" s="14"/>
      <c r="C24" s="37">
        <v>613200</v>
      </c>
      <c r="D24" s="15" t="s">
        <v>93</v>
      </c>
      <c r="E24" s="123">
        <f>1!G18+2!G19+3!G24+4!G19+5!G19+6!G19+8!G19+9!G19+'10'!G19+'11'!G19+'12'!G19+'13'!G19+'14'!G19+'15'!G19+'16'!G22+'17'!G19+'18'!G19+'19'!G19+'20'!G19+'22'!G19+'23'!G19+'21'!G19+'24'!G19+'25'!G19+'26'!G19+'27'!G19+'28'!G19+'29'!G19+'30'!G19+'31'!G19+'32'!G18+'33'!G19+'34'!G19+'35'!G19+'36'!G19+'37'!G19+7!G19</f>
        <v>746750</v>
      </c>
      <c r="F24" s="46">
        <f>1!H18+2!H19+3!H24+4!H19+5!H19+6!H19+8!H19+9!H19+'10'!H19+'11'!H19+'12'!H19+'13'!H19+'14'!H19+'15'!H19+'16'!H22+'17'!H19+'18'!H19+'19'!H19+'20'!H19+'22'!H19+'23'!H19+'21'!H19+'24'!H19+'25'!H19+'26'!H19+'27'!H19+'28'!H19+'29'!H19+'30'!H19+'31'!H19+'32'!H18+'33'!H19+'34'!H19+'35'!H19+'36'!H19+'37'!H19+7!H19</f>
        <v>731100</v>
      </c>
      <c r="G24" s="179">
        <f t="shared" si="0"/>
        <v>97.90425175761634</v>
      </c>
    </row>
    <row r="25" spans="2:7" ht="13.5" customHeight="1">
      <c r="B25" s="14"/>
      <c r="C25" s="37">
        <v>613300</v>
      </c>
      <c r="D25" s="26" t="s">
        <v>220</v>
      </c>
      <c r="E25" s="46">
        <f>1!G19+2!G20+3!G25+4!G20+5!G20+6!G20+8!G20+9!G20+'10'!G20+'11'!G20+'12'!G20+'13'!G20+'14'!G20+'15'!G20+'16'!G23+'17'!G20+'18'!G20+'19'!G20+'20'!G20+'22'!G20+'23'!G20+'21'!G20+'24'!G20+'25'!G20+'26'!G20+'27'!G20+'28'!G20+'29'!G20+'30'!G20+'31'!G20+'32'!G19+'33'!G20+'34'!G20+'35'!G20+'36'!G20+'37'!G20+7!G20</f>
        <v>451250</v>
      </c>
      <c r="F25" s="46">
        <f>1!H19+2!H20+3!H25+4!H20+5!H20+6!H20+8!H20+9!H20+'10'!H20+'11'!H20+'12'!H20+'13'!H20+'14'!H20+'15'!H20+'16'!H23+'17'!H20+'18'!H20+'19'!H20+'20'!H20+'22'!H20+'23'!H20+'21'!H20+'24'!H20+'25'!H20+'26'!H20+'27'!H20+'28'!H20+'29'!H20+'30'!H20+'31'!H20+'32'!H19+'33'!H20+'34'!H20+'35'!H20+'36'!H20+'37'!H20+7!H20</f>
        <v>447750</v>
      </c>
      <c r="G25" s="179">
        <f>48+203+123+56+58+49+53+105+35+43+45+21+39+73</f>
        <v>951</v>
      </c>
    </row>
    <row r="26" spans="2:7" ht="13.5" customHeight="1">
      <c r="B26" s="14"/>
      <c r="C26" s="37">
        <v>613400</v>
      </c>
      <c r="D26" s="26" t="s">
        <v>176</v>
      </c>
      <c r="E26" s="46">
        <f>1!G20+2!G21+3!G26+4!G21+5!G21+6!G21+8!G21+9!G21+'10'!G21+'11'!G21+'12'!G21+'13'!G21+'14'!G21+'15'!G21+'16'!G24+'17'!G21+'18'!G21+'19'!G21+'20'!G21+'22'!G21+'23'!G21+'21'!G21+'24'!G21+'25'!G21+'26'!G21+'27'!G21+'28'!G21+'29'!G21+'30'!G21+'31'!G21+'32'!G20+'33'!G21+'34'!G21+'35'!G21+'36'!G21+'37'!G21+7!G21</f>
        <v>529530</v>
      </c>
      <c r="F26" s="46">
        <f>1!H20+2!H21+3!H26+4!H21+5!H21+6!H21+8!H21+9!H21+'10'!H21+'11'!H21+'12'!H21+'13'!H21+'14'!H21+'15'!H21+'16'!H24+'17'!H21+'18'!H21+'19'!H21+'20'!H21+'22'!H21+'23'!H21+'21'!H21+'24'!H21+'25'!H21+'26'!H21+'27'!H21+'28'!H21+'29'!H21+'30'!H21+'31'!H21+'32'!H20+'33'!H21+'34'!H21+'35'!H21+'36'!H21+'37'!H21+7!H21</f>
        <v>498300</v>
      </c>
      <c r="G26" s="179">
        <f t="shared" si="0"/>
        <v>94.10231714917002</v>
      </c>
    </row>
    <row r="27" spans="2:7" ht="13.5" customHeight="1">
      <c r="B27" s="14"/>
      <c r="C27" s="126">
        <v>613500</v>
      </c>
      <c r="D27" s="19" t="s">
        <v>94</v>
      </c>
      <c r="E27" s="123">
        <f>1!G21+2!G22+3!G27+4!G22+5!G22+6!G22+8!G22+9!G22+'10'!G22+'11'!G22+'12'!G22+'13'!G22+'14'!G22+'15'!G22+'16'!G25+'17'!G22+'18'!G22+'19'!G22+'20'!G22+'22'!G22+'23'!G22+'21'!G22+'24'!G22+'25'!G22+'26'!G22+'27'!G22+'28'!G22+'29'!G22+'30'!G22+'31'!G22+'32'!G21+'33'!G22+'34'!G22+'35'!G22+'36'!G22+'37'!G22+7!G22</f>
        <v>247000</v>
      </c>
      <c r="F27" s="123">
        <f>1!H21+2!H22+3!H27+4!H22+5!H22+6!H22+8!H22+9!H22+'10'!H22+'11'!H22+'12'!H22+'13'!H22+'14'!H22+'15'!H22+'16'!H25+'17'!H22+'18'!H22+'19'!H22+'20'!H22+'22'!H22+'23'!H22+'21'!H22+'24'!H22+'25'!H22+'26'!H22+'27'!H22+'28'!H22+'29'!H22+'30'!H22+'31'!H22+'32'!H21+'33'!H22+'34'!H22+'35'!H22+'36'!H22+'37'!H22+7!H22</f>
        <v>202800</v>
      </c>
      <c r="G27" s="179">
        <f t="shared" si="0"/>
        <v>82.10526315789474</v>
      </c>
    </row>
    <row r="28" spans="2:7" ht="13.5" customHeight="1">
      <c r="B28" s="14"/>
      <c r="C28" s="37">
        <v>613600</v>
      </c>
      <c r="D28" s="116" t="s">
        <v>221</v>
      </c>
      <c r="E28" s="123">
        <f>1!G22+2!G23+3!G28+4!G23+5!G23+6!G23+8!G23+9!G23+'10'!G23+'11'!G23+'12'!G23+'13'!G23+'14'!G23+'15'!G23+'16'!G26+'17'!G23+'18'!G23+'19'!G23+'20'!G23+'22'!G23+'23'!G23+'21'!G23+'24'!G23+'25'!G23+'26'!G23+'27'!G23+'28'!G23+'29'!G23+'30'!G23+'31'!G23+'32'!G22+'33'!G23+'34'!G23+'35'!G23+'36'!G23+'37'!G23+7!G23</f>
        <v>32100</v>
      </c>
      <c r="F28" s="123">
        <f>1!H22+2!H23+3!H28+4!H23+5!H23+6!H23+8!H23+9!H23+'10'!H23+'11'!H23+'12'!H23+'13'!H23+'14'!H23+'15'!H23+'16'!H26+'17'!H23+'18'!H23+'19'!H23+'20'!H23+'22'!H23+'23'!H23+'21'!H23+'24'!H23+'25'!H23+'26'!H23+'27'!H23+'28'!H23+'29'!H23+'30'!H23+'31'!H23+'32'!H22+'33'!H23+'34'!H23+'35'!H23+'36'!H23+'37'!H23+7!H23</f>
        <v>32500</v>
      </c>
      <c r="G28" s="179">
        <f t="shared" si="0"/>
        <v>101.24610591900311</v>
      </c>
    </row>
    <row r="29" spans="2:7" ht="13.5" customHeight="1">
      <c r="B29" s="14"/>
      <c r="C29" s="37">
        <v>613700</v>
      </c>
      <c r="D29" s="19" t="s">
        <v>95</v>
      </c>
      <c r="E29" s="123">
        <f>1!G23+2!G24+3!G29+4!G24+5!G24+6!G24+8!G24+9!G24+'10'!G24+'11'!G24+'12'!G24+'13'!G24+'14'!G24+'15'!G24+'16'!G27+'17'!G24+'18'!G24+'19'!G24+'20'!G24+'22'!G24+'23'!G24+'21'!G24+'24'!G24+'25'!G24+'26'!G24+'27'!G24+'28'!G24+'29'!G24+'30'!G24+'31'!G24+'32'!G23+'33'!G24+'34'!G24+'35'!G24+'36'!G24+'37'!G24+7!G24</f>
        <v>335500</v>
      </c>
      <c r="F29" s="123">
        <f>1!H23+2!H24+3!H29+4!H24+5!H24+6!H24+8!H24+9!H24+'10'!H24+'11'!H24+'12'!H24+'13'!H24+'14'!H24+'15'!H24+'16'!H27+'17'!H24+'18'!H24+'19'!H24+'20'!H24+'22'!H24+'23'!H24+'21'!H24+'24'!H24+'25'!H24+'26'!H24+'27'!H24+'28'!H24+'29'!H24+'30'!H24+'31'!H24+'32'!H23+'33'!H24+'34'!H24+'35'!H24+'36'!H24+'37'!H24+7!H24</f>
        <v>329250</v>
      </c>
      <c r="G29" s="179">
        <f t="shared" si="0"/>
        <v>98.13710879284649</v>
      </c>
    </row>
    <row r="30" spans="2:7" ht="13.5" customHeight="1">
      <c r="B30" s="14"/>
      <c r="C30" s="37">
        <v>613700</v>
      </c>
      <c r="D30" s="19" t="s">
        <v>96</v>
      </c>
      <c r="E30" s="123">
        <f>'18'!G25</f>
        <v>500000</v>
      </c>
      <c r="F30" s="123">
        <f>'18'!H25</f>
        <v>450000</v>
      </c>
      <c r="G30" s="179">
        <f t="shared" si="0"/>
        <v>90</v>
      </c>
    </row>
    <row r="31" spans="2:7" ht="13.5" customHeight="1">
      <c r="B31" s="14"/>
      <c r="C31" s="37">
        <v>613800</v>
      </c>
      <c r="D31" s="116" t="s">
        <v>177</v>
      </c>
      <c r="E31" s="123">
        <f>1!G24+2!G25+3!G30+4!G25+5!G25+6!G25+8!G25+9!G25+'10'!G25+'11'!G25+'12'!G25+'13'!G25+'14'!G25+'15'!G25+'16'!G28+'17'!G25+'18'!G26+'19'!G25+'20'!G25+'22'!G25+'23'!G25+'21'!G25+'24'!G25+'25'!G25+'26'!G25+'27'!G25+'28'!G25+'29'!G25+'30'!G25+'31'!G25+'32'!G24+'33'!G25+'34'!G25+'35'!G25+'36'!G25+'37'!G25+7!G25</f>
        <v>40380</v>
      </c>
      <c r="F31" s="123">
        <f>1!H24+2!H25+3!H30+4!H25+5!H25+6!H25+8!H25+9!H25+'10'!H25+'11'!H25+'12'!H25+'13'!H25+'14'!H25+'15'!H25+'16'!H28+'17'!H25+'18'!H26+'19'!H25+'20'!H25+'22'!H25+'23'!H25+'21'!H25+'24'!H25+'25'!H25+'26'!H25+'27'!H25+'28'!H25+'29'!H25+'30'!H25+'31'!H25+'32'!H24+'33'!H25+'34'!H25+'35'!H25+'36'!H25+'37'!H25+7!H25</f>
        <v>41580</v>
      </c>
      <c r="G31" s="179">
        <f t="shared" si="0"/>
        <v>102.97176820208023</v>
      </c>
    </row>
    <row r="32" spans="2:7" ht="13.5" customHeight="1">
      <c r="B32" s="14"/>
      <c r="C32" s="37">
        <v>613800</v>
      </c>
      <c r="D32" s="26" t="s">
        <v>198</v>
      </c>
      <c r="E32" s="46">
        <f>'20'!G26</f>
        <v>0</v>
      </c>
      <c r="F32" s="46">
        <f>'20'!H26</f>
        <v>0</v>
      </c>
      <c r="G32" s="179"/>
    </row>
    <row r="33" spans="2:7" ht="13.5" customHeight="1">
      <c r="B33" s="14"/>
      <c r="C33" s="126">
        <v>613900</v>
      </c>
      <c r="D33" s="116" t="s">
        <v>178</v>
      </c>
      <c r="E33" s="127">
        <f>1!G25+2!G26+3!G31+4!G26+5!G26+6!G26+8!G26+9!G26+'10'!G26+'11'!G26+'12'!G26+'13'!G26+'14'!G26+'15'!G26+'16'!G29+'17'!G26+'18'!G27+'19'!G26+'20'!G27+'22'!G26+'23'!G26+'21'!G26+'24'!G26+'25'!G26+'26'!G26+'27'!G26+'28'!G26+'29'!G26+'30'!G26+'31'!G26+'32'!G25+'33'!G26+'34'!G26+'35'!G26+'36'!G26+'37'!G26+7!G26</f>
        <v>1391800</v>
      </c>
      <c r="F33" s="127">
        <f>1!H25+2!H26+3!H31+4!H26+5!H26+6!H26+8!H26+9!H26+'10'!H26+'11'!H26+'12'!H26+'13'!H26+'14'!H26+'15'!H26+'16'!H29+'17'!H26+'18'!H27+'19'!H26+'20'!H27+'22'!H26+'23'!H26+'21'!H26+'24'!H26+'25'!H26+'26'!H26+'27'!H26+'28'!H26+'29'!H26+'30'!H26+'31'!H26+'32'!H25+'33'!H26+'34'!H26+'35'!H26+'36'!H26+'37'!H26+7!H26</f>
        <v>1319250</v>
      </c>
      <c r="G33" s="179">
        <f t="shared" si="0"/>
        <v>94.78732576519616</v>
      </c>
    </row>
    <row r="34" spans="2:7" ht="13.5" customHeight="1">
      <c r="B34" s="14"/>
      <c r="C34" s="37">
        <v>613900</v>
      </c>
      <c r="D34" s="26" t="s">
        <v>228</v>
      </c>
      <c r="E34" s="46">
        <f>3!G32</f>
        <v>36000</v>
      </c>
      <c r="F34" s="46">
        <f>3!H32</f>
        <v>36000</v>
      </c>
      <c r="G34" s="179">
        <f t="shared" si="0"/>
        <v>100</v>
      </c>
    </row>
    <row r="35" spans="2:7" ht="13.5" customHeight="1">
      <c r="B35" s="14"/>
      <c r="C35" s="37">
        <v>613900</v>
      </c>
      <c r="D35" s="26" t="s">
        <v>192</v>
      </c>
      <c r="E35" s="123">
        <f>'16'!G30</f>
        <v>75300</v>
      </c>
      <c r="F35" s="46">
        <f>'16'!H30</f>
        <v>73500</v>
      </c>
      <c r="G35" s="179">
        <f t="shared" si="0"/>
        <v>97.60956175298804</v>
      </c>
    </row>
    <row r="36" spans="2:7" ht="13.5" customHeight="1">
      <c r="B36" s="14"/>
      <c r="C36" s="37">
        <v>613900</v>
      </c>
      <c r="D36" s="26" t="s">
        <v>191</v>
      </c>
      <c r="E36" s="46">
        <f>'20'!G28</f>
        <v>55000</v>
      </c>
      <c r="F36" s="46">
        <f>'20'!H28</f>
        <v>55000</v>
      </c>
      <c r="G36" s="179">
        <f t="shared" si="0"/>
        <v>100</v>
      </c>
    </row>
    <row r="37" spans="2:7" ht="13.5" customHeight="1">
      <c r="B37" s="14"/>
      <c r="C37" s="37">
        <v>613900</v>
      </c>
      <c r="D37" s="26" t="s">
        <v>756</v>
      </c>
      <c r="E37" s="123">
        <f>1!G26+2!G27+3!G33+4!G27+5!G27+6!G27+8!G27+9!G27+'10'!G27+'11'!G27+'12'!G27+'13'!G27+'14'!G27+'15'!G27+'16'!G31+'17'!G27+'18'!G28+'19'!G27+'20'!G29+'22'!G27+'23'!G27+'21'!G27+'24'!G27+'25'!G27+'26'!G27+'27'!G27+'28'!G27+'29'!G27+'30'!G27+'31'!G27+'32'!G26+'33'!G27+'34'!G27+'35'!G27+'36'!G27+'37'!G27+7!G27</f>
        <v>262390</v>
      </c>
      <c r="F37" s="46">
        <f>1!H26+2!H27+3!H33+4!H27+5!H27+6!H27+8!H27+9!H27+'10'!H27+'11'!H27+'12'!H27+'13'!H27+'14'!H27+'15'!H27+'16'!H31+'17'!H27+'18'!H28+'19'!H27+'20'!H29+'22'!H27+'23'!H27+'21'!H27+'24'!H27+'25'!H27+'26'!H27+'27'!H27+'28'!H27+'29'!H27+'30'!H27+'31'!H27+'32'!H26+'33'!H27+'34'!H27+'35'!H27+'36'!H27+'37'!H27+7!H27</f>
        <v>427200</v>
      </c>
      <c r="G37" s="179">
        <f t="shared" si="0"/>
        <v>162.8110827394337</v>
      </c>
    </row>
    <row r="38" spans="2:7" ht="13.5" customHeight="1">
      <c r="B38" s="14"/>
      <c r="C38" s="37">
        <v>613900</v>
      </c>
      <c r="D38" s="26" t="s">
        <v>608</v>
      </c>
      <c r="E38" s="46">
        <f>'15'!G28</f>
        <v>100000</v>
      </c>
      <c r="F38" s="46">
        <f>'15'!H28</f>
        <v>0</v>
      </c>
      <c r="G38" s="179">
        <f t="shared" si="0"/>
        <v>0</v>
      </c>
    </row>
    <row r="39" spans="2:7" ht="13.5" customHeight="1">
      <c r="B39" s="14"/>
      <c r="C39" s="37"/>
      <c r="D39" s="15"/>
      <c r="E39" s="87"/>
      <c r="F39" s="87"/>
      <c r="G39" s="179"/>
    </row>
    <row r="40" spans="2:9" ht="13.5" customHeight="1">
      <c r="B40" s="14"/>
      <c r="C40" s="8">
        <v>614000</v>
      </c>
      <c r="D40" s="12" t="s">
        <v>222</v>
      </c>
      <c r="E40" s="114">
        <f>E41+E42+E43+E44+E45+E46+E47+E48+E49+E50+E51+E52+E53+E54+E55+E56+E57+E58+E59+'rashodi-2'!E3+'rashodi-2'!E4+'rashodi-2'!E5+'rashodi-2'!E7+'rashodi-2'!E8+'rashodi-2'!E9+'rashodi-2'!E10+'rashodi-2'!E11+'rashodi-2'!E12+'rashodi-2'!E13+'rashodi-2'!E14+'rashodi-2'!E15+'rashodi-2'!E6</f>
        <v>7301800</v>
      </c>
      <c r="F40" s="114">
        <f>F41+F42+F43+F44+F45+F46+F47+F48+F49+F50+F51+F52+F53+F54+F55+F56+F57+F58+F59+'rashodi-2'!F3+'rashodi-2'!F4+'rashodi-2'!F5+'rashodi-2'!F7+'rashodi-2'!F8+'rashodi-2'!F9+'rashodi-2'!F10+'rashodi-2'!F11+'rashodi-2'!F12+'rashodi-2'!F13+'rashodi-2'!F14+'rashodi-2'!F15+'rashodi-2'!F6</f>
        <v>8653000</v>
      </c>
      <c r="G40" s="174">
        <f aca="true" t="shared" si="1" ref="G40:G45">F40/E40*100</f>
        <v>118.50502615793366</v>
      </c>
      <c r="I40" s="146"/>
    </row>
    <row r="41" spans="2:9" s="100" customFormat="1" ht="13.5" customHeight="1">
      <c r="B41" s="101"/>
      <c r="C41" s="68">
        <v>614100</v>
      </c>
      <c r="D41" s="18" t="s">
        <v>350</v>
      </c>
      <c r="E41" s="123">
        <f>3!G36</f>
        <v>350000</v>
      </c>
      <c r="F41" s="123">
        <f>3!H36</f>
        <v>250000</v>
      </c>
      <c r="G41" s="179">
        <f t="shared" si="1"/>
        <v>71.42857142857143</v>
      </c>
      <c r="I41" s="183"/>
    </row>
    <row r="42" spans="2:9" s="100" customFormat="1" ht="13.5" customHeight="1">
      <c r="B42" s="101"/>
      <c r="C42" s="68">
        <v>614100</v>
      </c>
      <c r="D42" s="122" t="s">
        <v>351</v>
      </c>
      <c r="E42" s="123">
        <f>3!G37</f>
        <v>200000</v>
      </c>
      <c r="F42" s="123">
        <f>3!H37</f>
        <v>200000</v>
      </c>
      <c r="G42" s="179">
        <f t="shared" si="1"/>
        <v>100</v>
      </c>
      <c r="I42" s="183"/>
    </row>
    <row r="43" spans="2:7" s="1" customFormat="1" ht="13.5" customHeight="1">
      <c r="B43" s="17"/>
      <c r="C43" s="37">
        <v>614100</v>
      </c>
      <c r="D43" s="30" t="s">
        <v>365</v>
      </c>
      <c r="E43" s="123">
        <f>'16'!G34</f>
        <v>350000</v>
      </c>
      <c r="F43" s="46">
        <f>'16'!H34</f>
        <v>300000</v>
      </c>
      <c r="G43" s="179">
        <f t="shared" si="1"/>
        <v>85.71428571428571</v>
      </c>
    </row>
    <row r="44" spans="2:7" s="1" customFormat="1" ht="13.5" customHeight="1">
      <c r="B44" s="17"/>
      <c r="C44" s="33">
        <v>614100</v>
      </c>
      <c r="D44" s="26" t="s">
        <v>236</v>
      </c>
      <c r="E44" s="46">
        <f>'17'!G30</f>
        <v>150000</v>
      </c>
      <c r="F44" s="46">
        <f>'17'!H30</f>
        <v>300000</v>
      </c>
      <c r="G44" s="179">
        <f t="shared" si="1"/>
        <v>200</v>
      </c>
    </row>
    <row r="45" spans="2:7" s="1" customFormat="1" ht="13.5" customHeight="1">
      <c r="B45" s="17"/>
      <c r="C45" s="37">
        <v>614100</v>
      </c>
      <c r="D45" s="72" t="s">
        <v>187</v>
      </c>
      <c r="E45" s="46">
        <f>'18'!G31</f>
        <v>100000</v>
      </c>
      <c r="F45" s="46">
        <f>'18'!H31</f>
        <v>100000</v>
      </c>
      <c r="G45" s="179">
        <f t="shared" si="1"/>
        <v>100</v>
      </c>
    </row>
    <row r="46" spans="2:7" s="1" customFormat="1" ht="13.5" customHeight="1">
      <c r="B46" s="17"/>
      <c r="C46" s="37">
        <v>614100</v>
      </c>
      <c r="D46" s="72" t="s">
        <v>242</v>
      </c>
      <c r="E46" s="46">
        <f>'18'!G32</f>
        <v>0</v>
      </c>
      <c r="F46" s="46">
        <f>'18'!H32</f>
        <v>10000</v>
      </c>
      <c r="G46" s="179"/>
    </row>
    <row r="47" spans="2:7" s="1" customFormat="1" ht="13.5" customHeight="1">
      <c r="B47" s="17"/>
      <c r="C47" s="68">
        <v>614100</v>
      </c>
      <c r="D47" s="122" t="s">
        <v>172</v>
      </c>
      <c r="E47" s="46">
        <f>'19'!G30</f>
        <v>100000</v>
      </c>
      <c r="F47" s="46">
        <f>'19'!H30</f>
        <v>100000</v>
      </c>
      <c r="G47" s="179">
        <f aca="true" t="shared" si="2" ref="G47:G59">F47/E47*100</f>
        <v>100</v>
      </c>
    </row>
    <row r="48" spans="2:7" s="1" customFormat="1" ht="26.25" customHeight="1">
      <c r="B48" s="17"/>
      <c r="C48" s="33">
        <v>614100</v>
      </c>
      <c r="D48" s="120" t="s">
        <v>246</v>
      </c>
      <c r="E48" s="46">
        <f>'20'!G32</f>
        <v>205000</v>
      </c>
      <c r="F48" s="46">
        <f>'20'!H32</f>
        <v>200000</v>
      </c>
      <c r="G48" s="179">
        <f t="shared" si="2"/>
        <v>97.5609756097561</v>
      </c>
    </row>
    <row r="49" spans="2:7" s="1" customFormat="1" ht="13.5" customHeight="1">
      <c r="B49" s="17"/>
      <c r="C49" s="128" t="s">
        <v>116</v>
      </c>
      <c r="D49" s="121" t="s">
        <v>108</v>
      </c>
      <c r="E49" s="123">
        <f>'20'!G33</f>
        <v>200000</v>
      </c>
      <c r="F49" s="123">
        <f>'20'!H33</f>
        <v>250000</v>
      </c>
      <c r="G49" s="179">
        <f t="shared" si="2"/>
        <v>125</v>
      </c>
    </row>
    <row r="50" spans="2:7" s="1" customFormat="1" ht="13.5" customHeight="1">
      <c r="B50" s="17"/>
      <c r="C50" s="128" t="s">
        <v>116</v>
      </c>
      <c r="D50" s="121" t="s">
        <v>535</v>
      </c>
      <c r="E50" s="123">
        <f>'20'!G34</f>
        <v>277000</v>
      </c>
      <c r="F50" s="123">
        <f>'20'!H34</f>
        <v>295000</v>
      </c>
      <c r="G50" s="179">
        <f t="shared" si="2"/>
        <v>106.49819494584838</v>
      </c>
    </row>
    <row r="51" spans="2:7" s="1" customFormat="1" ht="12.75" customHeight="1">
      <c r="B51" s="17"/>
      <c r="C51" s="128" t="s">
        <v>114</v>
      </c>
      <c r="D51" s="182" t="s">
        <v>354</v>
      </c>
      <c r="E51" s="123">
        <f>3!G38</f>
        <v>100000</v>
      </c>
      <c r="F51" s="123">
        <f>3!H38</f>
        <v>100000</v>
      </c>
      <c r="G51" s="179">
        <f t="shared" si="2"/>
        <v>100</v>
      </c>
    </row>
    <row r="52" spans="2:7" s="1" customFormat="1" ht="13.5" customHeight="1">
      <c r="B52" s="17"/>
      <c r="C52" s="33">
        <v>614200</v>
      </c>
      <c r="D52" s="30" t="s">
        <v>107</v>
      </c>
      <c r="E52" s="45">
        <f>4!G30</f>
        <v>15000</v>
      </c>
      <c r="F52" s="45">
        <f>4!H30</f>
        <v>12000</v>
      </c>
      <c r="G52" s="179">
        <f t="shared" si="2"/>
        <v>80</v>
      </c>
    </row>
    <row r="53" spans="2:7" s="1" customFormat="1" ht="13.5" customHeight="1">
      <c r="B53" s="17"/>
      <c r="C53" s="33" t="s">
        <v>114</v>
      </c>
      <c r="D53" s="26" t="s">
        <v>113</v>
      </c>
      <c r="E53" s="46">
        <f>'17'!G31</f>
        <v>1580000</v>
      </c>
      <c r="F53" s="46">
        <f>'17'!H31</f>
        <v>2080000</v>
      </c>
      <c r="G53" s="179">
        <f t="shared" si="2"/>
        <v>131.64556962025316</v>
      </c>
    </row>
    <row r="54" spans="2:7" s="1" customFormat="1" ht="13.5" customHeight="1">
      <c r="B54" s="17"/>
      <c r="C54" s="33" t="s">
        <v>114</v>
      </c>
      <c r="D54" s="30" t="s">
        <v>121</v>
      </c>
      <c r="E54" s="45">
        <f>'20'!G35</f>
        <v>117000</v>
      </c>
      <c r="F54" s="45">
        <f>'20'!H35</f>
        <v>120000</v>
      </c>
      <c r="G54" s="179">
        <f t="shared" si="2"/>
        <v>102.56410256410255</v>
      </c>
    </row>
    <row r="55" spans="2:7" s="1" customFormat="1" ht="26.25" customHeight="1">
      <c r="B55" s="17"/>
      <c r="C55" s="33" t="s">
        <v>114</v>
      </c>
      <c r="D55" s="74" t="s">
        <v>345</v>
      </c>
      <c r="E55" s="45">
        <f>'20'!G36</f>
        <v>15000</v>
      </c>
      <c r="F55" s="45">
        <f>'20'!H36</f>
        <v>15000</v>
      </c>
      <c r="G55" s="179">
        <f t="shared" si="2"/>
        <v>100</v>
      </c>
    </row>
    <row r="56" spans="2:7" s="1" customFormat="1" ht="13.5" customHeight="1">
      <c r="B56" s="17"/>
      <c r="C56" s="33">
        <v>614200</v>
      </c>
      <c r="D56" s="30" t="s">
        <v>124</v>
      </c>
      <c r="E56" s="45">
        <f>'31'!G30</f>
        <v>700000</v>
      </c>
      <c r="F56" s="45">
        <f>'31'!H30</f>
        <v>800000</v>
      </c>
      <c r="G56" s="179">
        <f t="shared" si="2"/>
        <v>114.28571428571428</v>
      </c>
    </row>
    <row r="57" spans="2:7" s="1" customFormat="1" ht="13.5" customHeight="1">
      <c r="B57" s="17"/>
      <c r="C57" s="33" t="s">
        <v>114</v>
      </c>
      <c r="D57" s="26" t="s">
        <v>125</v>
      </c>
      <c r="E57" s="45">
        <f>'33'!G30</f>
        <v>56300</v>
      </c>
      <c r="F57" s="45">
        <f>'33'!H30</f>
        <v>40000</v>
      </c>
      <c r="G57" s="179">
        <f t="shared" si="2"/>
        <v>71.04795737122558</v>
      </c>
    </row>
    <row r="58" spans="2:7" s="1" customFormat="1" ht="13.5" customHeight="1">
      <c r="B58" s="17"/>
      <c r="C58" s="33" t="s">
        <v>115</v>
      </c>
      <c r="D58" s="30" t="s">
        <v>104</v>
      </c>
      <c r="E58" s="46">
        <f>1!G29</f>
        <v>160000</v>
      </c>
      <c r="F58" s="46">
        <f>3!H45</f>
        <v>160000</v>
      </c>
      <c r="G58" s="179">
        <f t="shared" si="2"/>
        <v>100</v>
      </c>
    </row>
    <row r="59" spans="2:7" s="1" customFormat="1" ht="13.5" customHeight="1">
      <c r="B59" s="17"/>
      <c r="C59" s="33" t="s">
        <v>115</v>
      </c>
      <c r="D59" s="116" t="s">
        <v>117</v>
      </c>
      <c r="E59" s="45">
        <f>3!G39</f>
        <v>70000</v>
      </c>
      <c r="F59" s="45">
        <f>3!H39</f>
        <v>70000</v>
      </c>
      <c r="G59" s="179">
        <f t="shared" si="2"/>
        <v>100</v>
      </c>
    </row>
    <row r="60" spans="2:3" ht="12" customHeight="1">
      <c r="B60" s="14"/>
      <c r="C60" s="48"/>
    </row>
    <row r="61" spans="2:7" s="1" customFormat="1" ht="12" customHeight="1">
      <c r="B61" s="17"/>
      <c r="C61" s="24"/>
      <c r="D61" s="13"/>
      <c r="E61" s="13"/>
      <c r="F61" s="13"/>
      <c r="G61" s="146"/>
    </row>
    <row r="62" spans="2:7" s="1" customFormat="1" ht="12" customHeight="1">
      <c r="B62" s="28"/>
      <c r="C62" s="24"/>
      <c r="D62" s="13"/>
      <c r="E62" s="13"/>
      <c r="F62" s="13"/>
      <c r="G62" s="146"/>
    </row>
    <row r="63" spans="2:7" s="1" customFormat="1" ht="12" customHeight="1">
      <c r="B63" s="28"/>
      <c r="C63" s="24"/>
      <c r="D63" s="13"/>
      <c r="E63" s="13"/>
      <c r="F63" s="13"/>
      <c r="G63" s="146"/>
    </row>
    <row r="64" spans="2:7" s="1" customFormat="1" ht="12" customHeight="1">
      <c r="B64" s="28"/>
      <c r="C64" s="24"/>
      <c r="D64" s="13"/>
      <c r="E64" s="13"/>
      <c r="F64" s="13"/>
      <c r="G64" s="146"/>
    </row>
    <row r="65" ht="12" customHeight="1" thickBot="1">
      <c r="B65" s="21"/>
    </row>
  </sheetData>
  <sheetProtection/>
  <mergeCells count="2">
    <mergeCell ref="F3:G3"/>
    <mergeCell ref="C3:D3"/>
  </mergeCells>
  <printOptions/>
  <pageMargins left="0.67" right="0.16" top="0.54" bottom="0.56" header="0.5118110236220472" footer="0.4"/>
  <pageSetup horizontalDpi="600" verticalDpi="600" orientation="portrait" paperSize="9" scale="88" r:id="rId1"/>
  <headerFooter alignWithMargins="0">
    <oddFooter>&amp;R7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operater</dc:creator>
  <cp:keywords/>
  <dc:description/>
  <cp:lastModifiedBy>Ružica Živković</cp:lastModifiedBy>
  <cp:lastPrinted>2015-12-18T09:27:15Z</cp:lastPrinted>
  <dcterms:created xsi:type="dcterms:W3CDTF">2004-07-23T11:14:23Z</dcterms:created>
  <dcterms:modified xsi:type="dcterms:W3CDTF">2016-07-05T09:35:09Z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