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4785" tabRatio="964" activeTab="45"/>
  </bookViews>
  <sheets>
    <sheet name="Naslovnica" sheetId="1" r:id="rId1"/>
    <sheet name="Sadrzaj" sheetId="2" r:id="rId2"/>
    <sheet name="Uvod" sheetId="3" r:id="rId3"/>
    <sheet name="Prihodi" sheetId="4" r:id="rId4"/>
    <sheet name="Rashodi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  <sheet name="36" sheetId="41" r:id="rId41"/>
    <sheet name="37" sheetId="42" r:id="rId42"/>
    <sheet name="Sumarno" sheetId="43" r:id="rId43"/>
    <sheet name="Funkcijska" sheetId="44" r:id="rId44"/>
    <sheet name="Kap.pror." sheetId="45" r:id="rId45"/>
    <sheet name="Kraj" sheetId="46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'Funkcijska'!$1:$6</definedName>
    <definedName name="_xlnm.Print_Titles" localSheetId="3">'Prihodi'!$2:$4</definedName>
    <definedName name="_xlnm.Print_Titles" localSheetId="4">'Rashodi'!$1:$5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9">'15'!$B$1:$J$41</definedName>
    <definedName name="_xlnm.Print_Area" localSheetId="20">'16'!$A$1:$J$54</definedName>
    <definedName name="_xlnm.Print_Area" localSheetId="21">'17'!$A$1:$J$43</definedName>
    <definedName name="_xlnm.Print_Area" localSheetId="25">'21'!$A$1:$J$45</definedName>
    <definedName name="_xlnm.Print_Area" localSheetId="37">'33'!$A$1:$J$43</definedName>
    <definedName name="_xlnm.Print_Area" localSheetId="43">'Funkcijska'!$A$7:$F$114</definedName>
    <definedName name="_xlnm.Print_Area" localSheetId="3">'Prihodi'!$B$4:$F$216</definedName>
    <definedName name="_xlnm.Print_Area" localSheetId="4">'Rashodi'!$C$6:$H$117</definedName>
    <definedName name="_xlnm.Print_Area" localSheetId="1">'Sadrzaj'!$A$1:$J$47</definedName>
    <definedName name="_xlnm.Print_Area" localSheetId="2">'Uvod'!$A$1:$D$56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<sst xmlns="http://schemas.openxmlformats.org/spreadsheetml/2006/main" count="2194" uniqueCount="763">
  <si>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</si>
  <si>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</si>
  <si>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</si>
  <si>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</si>
  <si>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</si>
  <si>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</si>
  <si>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</si>
  <si>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</si>
  <si>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</si>
  <si>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</si>
  <si>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</si>
  <si>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</si>
  <si>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</si>
  <si>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</si>
  <si>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</si>
  <si>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</si>
  <si>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</si>
  <si>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</si>
  <si>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</si>
  <si>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</si>
  <si>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</si>
  <si>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</si>
  <si>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</si>
  <si>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</si>
  <si>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</si>
  <si>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</si>
  <si>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</si>
  <si>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</si>
  <si>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</si>
  <si>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</si>
  <si>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</si>
  <si>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</si>
  <si>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</si>
  <si>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</si>
  <si>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</si>
  <si>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</si>
  <si>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</si>
  <si>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</si>
  <si>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</si>
  <si>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</si>
  <si>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</si>
  <si>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</si>
  <si>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</si>
  <si>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</si>
  <si>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</si>
  <si>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</si>
  <si>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</si>
  <si>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</si>
  <si>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</si>
  <si>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</si>
  <si>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</si>
  <si>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</si>
  <si>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</si>
  <si>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</si>
  <si>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</si>
  <si>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</si>
  <si>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</si>
  <si>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</si>
  <si>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</si>
  <si>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</si>
  <si>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</si>
  <si>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</si>
  <si>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</si>
  <si>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</si>
  <si>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</si>
  <si>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</si>
  <si>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</si>
  <si>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 xml:space="preserve">Usluge prouvpožarne zaštite 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</si>
  <si>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</si>
  <si>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</si>
  <si>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</si>
  <si>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</si>
  <si>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</si>
  <si>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</si>
  <si>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</si>
  <si>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</si>
  <si>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</si>
  <si>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</si>
  <si>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</si>
  <si>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</si>
  <si>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</si>
  <si>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</si>
  <si>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</si>
  <si>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</si>
  <si>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</si>
  <si>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</si>
  <si>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</si>
  <si>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</si>
  <si>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</si>
  <si>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</si>
  <si>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</si>
  <si>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</si>
  <si>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</si>
  <si>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</si>
  <si>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</si>
  <si>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</si>
  <si>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</si>
  <si>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</si>
  <si>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</si>
  <si>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</si>
  <si>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</si>
  <si>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</si>
  <si>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</si>
  <si>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</si>
  <si>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</si>
  <si>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</si>
  <si>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</si>
  <si>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</si>
  <si>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</si>
  <si>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</si>
  <si>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</si>
  <si>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Grantovi neprofitnim org. i udruženjima građana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</si>
  <si>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</si>
  <si>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</si>
  <si>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</si>
  <si>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</si>
  <si>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</si>
  <si>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</si>
  <si>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</si>
  <si>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</si>
  <si>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</si>
  <si>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</si>
  <si>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</si>
  <si>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</si>
  <si>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</si>
  <si>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</si>
  <si>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</si>
  <si>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</si>
  <si>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</si>
  <si>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</si>
  <si>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</si>
  <si>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</si>
  <si>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</si>
  <si>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</si>
  <si>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</si>
  <si>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</si>
  <si>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</si>
  <si>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</si>
  <si>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</si>
  <si>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</si>
  <si>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</si>
  <si>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</si>
  <si>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</si>
  <si>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</si>
  <si>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</si>
  <si>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</si>
  <si>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</si>
  <si>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</si>
  <si>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</si>
  <si>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</si>
  <si>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</si>
  <si>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</si>
  <si>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</si>
  <si>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</si>
  <si>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</si>
  <si>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</si>
  <si>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</si>
  <si>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</si>
  <si>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</si>
  <si>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</si>
  <si>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</si>
  <si>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</si>
  <si>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</si>
  <si>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</si>
  <si>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</si>
  <si>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</si>
  <si>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</si>
  <si>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</si>
  <si>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</si>
  <si>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</si>
  <si>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</si>
  <si>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</si>
  <si>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</si>
  <si>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</si>
  <si>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</si>
  <si>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</si>
  <si>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</si>
  <si>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</si>
  <si>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</si>
  <si>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</si>
  <si>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</si>
  <si>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</si>
  <si>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</si>
  <si>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</si>
  <si>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</si>
  <si>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</si>
  <si>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 xml:space="preserve"> Podrška trezoru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</si>
  <si>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</si>
  <si>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</si>
  <si>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</si>
  <si>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</si>
  <si>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</si>
  <si>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</si>
  <si>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</si>
  <si>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</si>
  <si>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</si>
  <si>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</si>
  <si>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</si>
  <si>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</si>
  <si>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</si>
  <si>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</si>
  <si>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</si>
  <si>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</si>
  <si>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</si>
  <si>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</si>
  <si>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</si>
  <si>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</si>
  <si>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</si>
  <si>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</si>
  <si>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</si>
  <si>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</si>
  <si>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</si>
  <si>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</si>
  <si>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</si>
  <si>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 xml:space="preserve"> Agencija za državnu službu</t>
  </si>
  <si>
    <t>615100</t>
  </si>
  <si>
    <t>1.Prihodi od poduzetničkih aktivnosti i imovine i prihodi od pozitivnih tečajnih razlika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</si>
  <si>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</si>
  <si>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</si>
  <si>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</si>
  <si>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</si>
  <si>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</si>
  <si>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</si>
  <si>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</si>
  <si>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</si>
  <si>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</si>
  <si>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</si>
  <si>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</si>
  <si>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Grantovi za financiranje višeg i visokog obrazovanja i Zavoda za
 školstvo</t>
  </si>
  <si>
    <t xml:space="preserve"> Grant za Crveni križ Županije Posavske</t>
  </si>
  <si>
    <t>ŽUPANIJSKO PRAVOBRANITELJSTVO</t>
  </si>
  <si>
    <t xml:space="preserve"> Grant za Gospodarsku komoru ŽP</t>
  </si>
  <si>
    <t>Bosna i Hercegovina
Federacija Bosne i Hercegovine
Županija Posavska
V L A D A</t>
  </si>
  <si>
    <t>Bosnia and Herzegovina
Federation of Bosnia and Herzegovina
Posavina County
G O V E R N M E N T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</si>
  <si>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</si>
  <si>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</si>
  <si>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</si>
  <si>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</si>
  <si>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</si>
  <si>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</si>
  <si>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</si>
  <si>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</si>
  <si>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</si>
  <si>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</si>
  <si>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</si>
  <si>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</si>
  <si>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Stručna služba Skupštine Županije Posavske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</si>
  <si>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</si>
  <si>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</si>
  <si>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</si>
  <si>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</si>
  <si>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</si>
  <si>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</si>
  <si>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</si>
  <si>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</si>
  <si>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</si>
  <si>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</si>
  <si>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</si>
  <si>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</si>
  <si>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</si>
  <si>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</si>
  <si>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</si>
  <si>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</si>
  <si>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</si>
  <si>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</si>
  <si>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</si>
  <si>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</si>
  <si>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</si>
  <si>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</si>
  <si>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</si>
  <si>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</si>
  <si>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</si>
  <si>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</si>
  <si>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</si>
  <si>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</si>
  <si>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</si>
  <si>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</si>
  <si>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</si>
  <si>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</si>
  <si>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</si>
  <si>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</si>
  <si>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</si>
  <si>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</si>
  <si>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</si>
  <si>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</si>
  <si>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</si>
  <si>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</si>
  <si>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</si>
  <si>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</si>
  <si>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</si>
  <si>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</si>
  <si>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</si>
  <si>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</si>
  <si>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</si>
  <si>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</si>
  <si>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</si>
  <si>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</si>
  <si>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</si>
  <si>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</si>
  <si>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</si>
  <si>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</si>
  <si>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</si>
  <si>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</si>
  <si>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</si>
  <si>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</si>
  <si>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</si>
  <si>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</si>
  <si>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</si>
  <si>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</si>
  <si>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</si>
  <si>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</si>
  <si>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</si>
  <si>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</si>
  <si>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</si>
  <si>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</si>
  <si>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</si>
  <si>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</si>
  <si>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</si>
  <si>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41.</t>
  </si>
  <si>
    <t>Ministarstvo prosvjete - Školski centar Fra Martina Nedića Orašje</t>
  </si>
  <si>
    <t>Ministarstvo prosvjete - Srednja strukovna škola Orašje</t>
  </si>
  <si>
    <t>Otplate domaćeg pozajmljivanja-MMF</t>
  </si>
  <si>
    <t>INDEKS
4/3</t>
  </si>
  <si>
    <t xml:space="preserve"> Grant za sufinanciranje osn.i srednjeg obrazovanja
 djece s posebnim potrebama</t>
  </si>
  <si>
    <t xml:space="preserve"> Grant za sufinanciranje osn.i srednjeg obrazovanja djece s 
 posebnim potrebama</t>
  </si>
  <si>
    <t xml:space="preserve"> Grant za Udrugu roditelja djece s posebnim potrebama Orašje</t>
  </si>
  <si>
    <t xml:space="preserve"> Grant za Udr.roditelja djece s pos.potrebama Orašje</t>
  </si>
  <si>
    <t xml:space="preserve"> Otplate domaćeg pozajmljivanja - MMF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</si>
  <si>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</si>
  <si>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</si>
  <si>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</si>
  <si>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</si>
  <si>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</si>
  <si>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 xml:space="preserve"> Grant za sufinanciranje nabavke udžbenika učenicima </t>
  </si>
  <si>
    <t>Ured za gospodarski razvoj Županije Posavske</t>
  </si>
  <si>
    <t>42.</t>
  </si>
  <si>
    <t>URED ZA GOSPODARSKI RAZVOJ ŽUPANIJE POSAVSKE</t>
  </si>
  <si>
    <t xml:space="preserve"> Grantovi nižim razinama vlast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</si>
  <si>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</si>
  <si>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</si>
  <si>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</si>
  <si>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</si>
  <si>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</si>
  <si>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</si>
  <si>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</si>
  <si>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</si>
  <si>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</si>
  <si>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</si>
  <si>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</si>
  <si>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</si>
  <si>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</si>
  <si>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</si>
  <si>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</si>
  <si>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</si>
  <si>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</si>
  <si>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</si>
  <si>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</si>
  <si>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</si>
  <si>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</si>
  <si>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</si>
  <si>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</si>
  <si>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</si>
  <si>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</si>
  <si>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</si>
  <si>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</si>
  <si>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</si>
  <si>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</si>
  <si>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</si>
  <si>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</si>
  <si>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</si>
  <si>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</si>
  <si>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</si>
  <si>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</si>
  <si>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</si>
  <si>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</si>
  <si>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</si>
  <si>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</si>
  <si>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</si>
  <si>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</si>
  <si>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</si>
  <si>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</si>
  <si>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</si>
  <si>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</si>
  <si>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</si>
  <si>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</si>
  <si>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</si>
  <si>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</si>
  <si>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</si>
  <si>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</si>
  <si>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</si>
  <si>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</si>
  <si>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</si>
  <si>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</si>
  <si>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</si>
  <si>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</si>
  <si>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</si>
  <si>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Naknade i pristojbe po Federalnim zakonima i drugim    
  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</si>
  <si>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</si>
  <si>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</si>
  <si>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</si>
  <si>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</si>
  <si>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</si>
  <si>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</si>
  <si>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</si>
  <si>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</si>
  <si>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</si>
  <si>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</si>
  <si>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</si>
  <si>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</si>
  <si>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</si>
  <si>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</si>
  <si>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</si>
  <si>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</si>
  <si>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</si>
  <si>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</si>
  <si>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Posebna vodna naknada za korištenje površ.i podzem.voda za
   flaš.vode i min.vode za uzgoj ribe u ribnj.za navod.i dr.namj.</t>
  </si>
  <si>
    <t xml:space="preserve">   Posebna vodna naknada za korištenje površinskih i podzemnih 
   voda za industrijske procese, uključujući i termoelektrane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</si>
  <si>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</si>
  <si>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</si>
  <si>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</si>
  <si>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Posebna naknada za zaštitu od prirodnih i drugih nesreća gdje 
   je osnovica sumarni iznos neto plaće za isplatu</t>
  </si>
  <si>
    <t xml:space="preserve">   Posebna naknada za zaštitu od prirodnih i drugih nesreća gdje 
   je osnovica sumarni iznos neto prim.po osnovi dr.samostalne 
   djelatnosti i povremenog samostalnog rada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</si>
  <si>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</si>
  <si>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</si>
  <si>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</si>
  <si>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</si>
  <si>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</si>
  <si>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</si>
  <si>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</si>
  <si>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</si>
  <si>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</si>
  <si>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</si>
  <si>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</si>
  <si>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</si>
  <si>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</si>
  <si>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</si>
  <si>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</si>
  <si>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</si>
  <si>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</si>
  <si>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</si>
  <si>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</si>
  <si>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</si>
  <si>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</si>
  <si>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</si>
  <si>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</si>
  <si>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</si>
  <si>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</si>
  <si>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</si>
  <si>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</si>
  <si>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</si>
  <si>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</si>
  <si>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</si>
  <si>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</si>
  <si>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INDEKS
(3/2)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</si>
  <si>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</si>
  <si>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</si>
  <si>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</si>
  <si>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</si>
  <si>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</si>
  <si>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</si>
  <si>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</si>
  <si>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</si>
  <si>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</si>
  <si>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</si>
  <si>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</si>
  <si>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</si>
  <si>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</si>
  <si>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</si>
  <si>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</si>
  <si>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</si>
  <si>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</si>
  <si>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</si>
  <si>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</si>
  <si>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</si>
  <si>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</si>
  <si>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</si>
  <si>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 xml:space="preserve">      17010001 Ministarstvo zdravstva, rada i socijalne politike - 
      Civilne žrtve rata</t>
  </si>
  <si>
    <t xml:space="preserve">      99999999 Riznica ŽP - Proračunska potpora</t>
  </si>
  <si>
    <t xml:space="preserve">      20030002 Osnovna škola Vladimira Nazora Odžak</t>
  </si>
  <si>
    <t>7. UKUPAN SUFICIT/DEFICIT (3+6)</t>
  </si>
  <si>
    <t xml:space="preserve">      99999999 Riznica ŽP - Sanacija šteta od poplava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</si>
  <si>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</si>
  <si>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</si>
  <si>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</si>
  <si>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</si>
  <si>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</si>
  <si>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</si>
  <si>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</si>
  <si>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</si>
  <si>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</si>
  <si>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Stručna služba Skupštine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</si>
  <si>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</si>
  <si>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</si>
  <si>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</si>
  <si>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</si>
  <si>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</si>
  <si>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</si>
  <si>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</si>
  <si>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</si>
  <si>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</si>
  <si>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</si>
  <si>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</si>
  <si>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</si>
  <si>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</si>
  <si>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</si>
  <si>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</si>
  <si>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</si>
  <si>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</si>
  <si>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</si>
  <si>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</si>
  <si>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</si>
  <si>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</si>
  <si>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</si>
  <si>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</si>
  <si>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43.</t>
  </si>
  <si>
    <t>44.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</si>
  <si>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</si>
  <si>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</si>
  <si>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</si>
  <si>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</si>
  <si>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</si>
  <si>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</si>
  <si>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</si>
  <si>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</si>
  <si>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</si>
  <si>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</si>
  <si>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</si>
  <si>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 xml:space="preserve">   Primljeni namjenski grantovi za obrazovanje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</si>
  <si>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</si>
  <si>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</si>
  <si>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</si>
  <si>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</si>
  <si>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</si>
  <si>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</si>
  <si>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</si>
  <si>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</si>
  <si>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r>
      <t>Minist.prosvj., znanosti, kulture i športa - Osnovna škola A.G.Matoša Vidovice</t>
    </r>
    <r>
      <rPr>
        <b/>
        <sz val="10"/>
        <rFont val="Arial"/>
        <family val="2"/>
      </rPr>
      <t xml:space="preserve"> (razgraničenja)</t>
    </r>
  </si>
  <si>
    <r>
      <t xml:space="preserve">Minist.prosv., znan., kulture i športa - Osnovna škola Braće Radića Domaljevac </t>
    </r>
    <r>
      <rPr>
        <b/>
        <sz val="10"/>
        <rFont val="Arial"/>
        <family val="2"/>
      </rPr>
      <t>(razgraničenja)</t>
    </r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</si>
  <si>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</si>
  <si>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</si>
  <si>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</si>
  <si>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</si>
  <si>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</si>
  <si>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>PRORAČUN za 
2016.godinu</t>
  </si>
  <si>
    <t>PRORAČUN za
2016.</t>
  </si>
  <si>
    <t>PRORAČUN za 2016.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</si>
  <si>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</si>
  <si>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</si>
  <si>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</si>
  <si>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</si>
  <si>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</si>
  <si>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</si>
  <si>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</si>
  <si>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</si>
  <si>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</si>
  <si>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</si>
  <si>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</si>
  <si>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</si>
  <si>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</si>
  <si>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</si>
  <si>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</si>
  <si>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</si>
  <si>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</si>
  <si>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</si>
  <si>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</si>
  <si>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</si>
  <si>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</si>
  <si>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Javni red i sigurnost       (18+….+23)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</si>
  <si>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</si>
  <si>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</si>
  <si>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</si>
  <si>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</si>
  <si>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</si>
  <si>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</si>
  <si>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</si>
  <si>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</si>
  <si>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</si>
  <si>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</si>
  <si>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</si>
  <si>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</si>
  <si>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</si>
  <si>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</si>
  <si>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</si>
  <si>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</si>
  <si>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</si>
  <si>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</si>
  <si>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</si>
  <si>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</si>
  <si>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</si>
  <si>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</si>
  <si>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</si>
  <si>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</si>
  <si>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</si>
  <si>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</si>
  <si>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</si>
  <si>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</si>
  <si>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</si>
  <si>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</si>
  <si>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</si>
  <si>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</si>
  <si>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</si>
  <si>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</si>
  <si>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</si>
  <si>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</si>
  <si>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</si>
  <si>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</si>
  <si>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</si>
  <si>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</si>
  <si>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</si>
  <si>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</si>
  <si>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</si>
  <si>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</si>
  <si>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</si>
  <si>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</si>
  <si>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</si>
  <si>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</si>
  <si>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</si>
  <si>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</si>
  <si>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</si>
  <si>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</si>
  <si>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</si>
  <si>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</si>
  <si>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</si>
  <si>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</si>
  <si>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</si>
  <si>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</si>
  <si>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Grant za Udr.roditelja djece s pos.potrebama 
 Angelus Domaljevac</t>
  </si>
  <si>
    <t xml:space="preserve"> Ostali grantovi-izvršenje sudskih presuda i rješenja o izvršenju</t>
  </si>
  <si>
    <t xml:space="preserve"> Grant za Udrugu roditelja djece s posebnim potrebama Angelus Domaljevac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</si>
  <si>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</si>
  <si>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</si>
  <si>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</si>
  <si>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19010001 Ministarstvo poljopr., vodoprivrede i šumarstva 
      </t>
    </r>
    <r>
      <rPr>
        <b/>
        <sz val="10"/>
        <color indexed="8"/>
        <rFont val="Calibri"/>
        <family val="2"/>
      </rPr>
      <t>(razgraničenja)</t>
    </r>
  </si>
  <si>
    <t xml:space="preserve">   Ostali prihodi za korištenje, zaštitu i unapređenje šuma po 
   županijskim propisima</t>
  </si>
  <si>
    <r>
      <t xml:space="preserve">      99999999 Riznica </t>
    </r>
    <r>
      <rPr>
        <b/>
        <sz val="10"/>
        <color indexed="8"/>
        <rFont val="Calibri"/>
        <family val="2"/>
      </rPr>
      <t>(razgraničenja)</t>
    </r>
  </si>
  <si>
    <t xml:space="preserve">   Posebna vodna naknada za vađenje materijala iz vodotoka</t>
  </si>
  <si>
    <r>
      <t xml:space="preserve">      23010001 Uprava za civilnu zaštitu </t>
    </r>
    <r>
      <rPr>
        <b/>
        <sz val="10"/>
        <color indexed="8"/>
        <rFont val="Calibri"/>
        <family val="2"/>
      </rPr>
      <t>(razgraničenja)</t>
    </r>
  </si>
  <si>
    <t xml:space="preserve">   Ostali povrati</t>
  </si>
  <si>
    <t xml:space="preserve">     19010001 Min.poljoprivrede, vodoprivrede i šumarstva - DR.SHARE</t>
  </si>
  <si>
    <t xml:space="preserve">      27010001 Kant.tužiteljstvo - IPA</t>
  </si>
  <si>
    <t xml:space="preserve">      20010001 Ministarstvo prosvjete, znanosti, kulture i športa - 
      Nabavka sigurnosnih golova</t>
  </si>
  <si>
    <r>
      <t xml:space="preserve">      20030007 Osnovna škola Braće Radića Domaljevac
      </t>
    </r>
    <r>
      <rPr>
        <b/>
        <sz val="10"/>
        <color indexed="8"/>
        <rFont val="Calibri"/>
        <family val="2"/>
      </rPr>
      <t>(razgraničenja)</t>
    </r>
  </si>
  <si>
    <t xml:space="preserve">      20030002 Osnovna škola Vladimira Nazora Odžak </t>
  </si>
  <si>
    <t xml:space="preserve">      20030001 Osnovna škola Orašje</t>
  </si>
  <si>
    <t xml:space="preserve">      11010001 Vlada ŽP - Fed.minist.prostornog uređenja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</si>
  <si>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</rPr>
      <t>- GSM licence</t>
    </r>
  </si>
  <si>
    <t xml:space="preserve">      18010001 Ministarstvo prometa, veza, turizma i zašt.okoliša
      - Federalno ministarstvo raseljenih osoba i izbjeglica</t>
  </si>
  <si>
    <t xml:space="preserve">      20030005 Osnovna škola Stjepana Radića O.Luka-Bok</t>
  </si>
  <si>
    <t xml:space="preserve">      20030006 Osnovna škola A.G.Matoša Vidovice</t>
  </si>
  <si>
    <t xml:space="preserve">      20030007 Osnovna škola Braće Radića Domaljevac</t>
  </si>
  <si>
    <t>2.1.  Rashodi - Tekuća pričuva</t>
  </si>
  <si>
    <t>2.2.  Plaće i naknade troškova zaposlenih</t>
  </si>
  <si>
    <t>2.3.  Doprinosi poslodavca i ostali doprinosi</t>
  </si>
  <si>
    <t>2.4.  Izdaci za materijal, sitan inventar i usluge</t>
  </si>
  <si>
    <t>2.5.  Tekući grantovi i drugi tekući rashodi</t>
  </si>
  <si>
    <t>2.6.  Kapitalni grantovi</t>
  </si>
  <si>
    <t>2.7.  Izdaci za kamate</t>
  </si>
  <si>
    <t xml:space="preserve">       5.1.  Izdaci za nabavku stalnih sredstava</t>
  </si>
  <si>
    <t>UKUPNO POKRIĆE DEFICITA</t>
  </si>
  <si>
    <t>UKUPNO RASHODI I IZDACI</t>
  </si>
  <si>
    <t xml:space="preserve"> Županije Posavske za 2016. godinu</t>
  </si>
  <si>
    <t>Funkcijska klasifikacija rashoda i izdataka Proračuna Županije Posavske za 2016. godinu</t>
  </si>
  <si>
    <t>Izdaci za nabavku stalnih sredstava za 2016.g.(po pror.korisn.i izv.financiranja)</t>
  </si>
  <si>
    <t>FUNKCIJSKA KLASIFIKACIJA RASHODA I IZDATAKA PRORAČUNA ŽUPANIJE POSAVSKE ZA 2016.GODINU</t>
  </si>
  <si>
    <t>IZDACI ZA NABAVKU STALNIH SREDSTAVA ŽUPANIJE POSAVSKE ZA 2016. GODINU (po proračunskim korisnicima i izvorima financiranja)</t>
  </si>
  <si>
    <t xml:space="preserve"> Naknade troškova zaposlenih - volonteri (0) (1)</t>
  </si>
  <si>
    <t xml:space="preserve"> Ugovorene i druge posebne usluge-volonteri (0) (1)</t>
  </si>
  <si>
    <t xml:space="preserve"> Naknade troškova zaposlenih - volonteri (0) (7)</t>
  </si>
  <si>
    <t xml:space="preserve"> Ugovorene i druge posebne usluge-volonteri (0) (7)</t>
  </si>
  <si>
    <t xml:space="preserve"> Naknade troškova zaposlenih - volonteri (0) (0)</t>
  </si>
  <si>
    <t xml:space="preserve"> Ugovorene i druge posebne usluge-volonteri (0) (0)</t>
  </si>
  <si>
    <t xml:space="preserve"> Naknade troškova zaposlenih - volonteri (0) (3)</t>
  </si>
  <si>
    <t xml:space="preserve"> Ugovorene i druge posebne usluge-volonteri (0) (3)</t>
  </si>
  <si>
    <t xml:space="preserve"> Naknade troškova zaposlenih - volonteri (4) (2)</t>
  </si>
  <si>
    <t xml:space="preserve"> Ugovorene i druge posebne usluge-volonteri (4) (2)</t>
  </si>
  <si>
    <t xml:space="preserve"> Naknade troškova zaposlenih - volonteri (0) (4)</t>
  </si>
  <si>
    <t xml:space="preserve"> Ugovorene i druge posebne usluge-volonteri (0) (4)</t>
  </si>
  <si>
    <t xml:space="preserve"> Naknade troškova zaposlenih - volonteri (0) (5)</t>
  </si>
  <si>
    <t xml:space="preserve"> Ugovorene i druge posebne usluge-volonteri (0) (5)</t>
  </si>
  <si>
    <t xml:space="preserve"> Naknade troškova zaposlenih - volonteri (0) (2)</t>
  </si>
  <si>
    <t xml:space="preserve"> Ugovorene i druge posebne usluge-volonteri (0) (2)</t>
  </si>
  <si>
    <t xml:space="preserve"> Naknade troškova zaposlenih - volonteri (1) (8)</t>
  </si>
  <si>
    <t xml:space="preserve"> Ugovorene i druge posebne usluge-volonteri (1) (8)</t>
  </si>
  <si>
    <t xml:space="preserve"> Naknade troškova zaposlenih - volonteri (4) (0)</t>
  </si>
  <si>
    <t xml:space="preserve"> Ugovorene i druge posebne usluge-volonteri (4) (0)</t>
  </si>
  <si>
    <t xml:space="preserve"> Naknade troškova zaposlenih - volonteri (2) (2)</t>
  </si>
  <si>
    <t xml:space="preserve"> Ugovorene i druge posebne usluge-volonteri (2) (2)</t>
  </si>
  <si>
    <t xml:space="preserve"> Ugovorene i druge posebne usluge-volonterski rad (13) (122)</t>
  </si>
  <si>
    <t xml:space="preserve">   Prihodi od zakupa javnog vodnog dobra na površinskim vodama I kategorije</t>
  </si>
  <si>
    <t xml:space="preserve">   Prihodi od prodaje stanova koji su u vlasništvu nadležne razine vlasti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</si>
  <si>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</si>
  <si>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</si>
  <si>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</si>
  <si>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20030002 Osnovna škola Vladimira Nazora Odžak - Federalno ministarstvo 
      obrazovanja i nauke</t>
  </si>
  <si>
    <t xml:space="preserve">      20030007 Osnovna škola Braće Radića Domaljevac - Federalno ministarstvo 
      obrazovanja i nauke</t>
  </si>
  <si>
    <t xml:space="preserve">      99999999 Riznica ŽP - Federalni stožer civilne zaštite</t>
  </si>
  <si>
    <t xml:space="preserve">   Primljeni kapitalni grantovi od općina</t>
  </si>
  <si>
    <t xml:space="preserve">      11010001 Vlada ŽP - Ured za Hrvate izvan RH</t>
  </si>
  <si>
    <r>
      <t xml:space="preserve">      99999999 Riznica ŽP - Sanacija šteta od poplava </t>
    </r>
    <r>
      <rPr>
        <b/>
        <sz val="10"/>
        <color indexed="8"/>
        <rFont val="Calibri"/>
        <family val="2"/>
      </rPr>
      <t>(razgraničenja)</t>
    </r>
  </si>
  <si>
    <t xml:space="preserve">   Primljeni kapitalni grantovi od Države</t>
  </si>
  <si>
    <r>
      <t xml:space="preserve">      20030006 Osnovna škola A.G.Matoša Vidovice </t>
    </r>
    <r>
      <rPr>
        <b/>
        <sz val="10"/>
        <color indexed="8"/>
        <rFont val="Calibri"/>
        <family val="2"/>
      </rPr>
      <t>(razgraničenja)</t>
    </r>
  </si>
  <si>
    <r>
      <t xml:space="preserve">      20030005 Osnovna škola Stjepana Radića O.Luka-Bok </t>
    </r>
    <r>
      <rPr>
        <b/>
        <sz val="10"/>
        <color indexed="8"/>
        <rFont val="Calibri"/>
        <family val="2"/>
      </rPr>
      <t>(razgraničenja)</t>
    </r>
  </si>
  <si>
    <r>
      <t xml:space="preserve">   Naknada u postupku promjene namjene šumskog zemljišta (krčenje šuma) 
   </t>
    </r>
    <r>
      <rPr>
        <b/>
        <sz val="10"/>
        <color indexed="8"/>
        <rFont val="Calibri"/>
        <family val="2"/>
      </rPr>
      <t>(razgraničenja)</t>
    </r>
  </si>
  <si>
    <r>
      <t xml:space="preserve">   Prihodi od iznajmljivanja zemljišta </t>
    </r>
    <r>
      <rPr>
        <b/>
        <sz val="10"/>
        <color indexed="8"/>
        <rFont val="Calibri"/>
        <family val="2"/>
      </rPr>
      <t>(razgraničenja)</t>
    </r>
  </si>
  <si>
    <t xml:space="preserve">      20020002 Srednja škola Pere Zečevića Odžak - Federalno ministarstvo 
      obrazovanja i nauke</t>
  </si>
  <si>
    <t xml:space="preserve"> Naknade troškova zaposlenih - volonteri (0) (12)</t>
  </si>
  <si>
    <t xml:space="preserve"> Ugovorene i druge posebne usluge-volonteri (0) (12)</t>
  </si>
  <si>
    <t xml:space="preserve"> Naknade troškova zaposlenih - volonteri (0) (6)</t>
  </si>
  <si>
    <t xml:space="preserve"> Ugovorene i druge posebne usluge-volonteri (0) (6)</t>
  </si>
  <si>
    <t xml:space="preserve"> Naknade troškova zaposlenih - volonteri (0) (16)</t>
  </si>
  <si>
    <t xml:space="preserve"> Ugovorene i druge posebne usluge-volonteri (0) (16)</t>
  </si>
  <si>
    <t xml:space="preserve"> Naknade troškova zaposlenih - volonteri (1) (5)</t>
  </si>
  <si>
    <t xml:space="preserve"> Ugovorene i druge posebne usluge-volonteri (1) (5)</t>
  </si>
  <si>
    <t xml:space="preserve"> Naknade troškova zaposlenih - volonteri (13) (118)</t>
  </si>
  <si>
    <t xml:space="preserve"> Naknade troškova zaposlenih - volonteri (1) (7)</t>
  </si>
  <si>
    <t xml:space="preserve"> Ugovorene i druge posebne usluge-volonteri (1) (7)</t>
  </si>
  <si>
    <t>Minist.prosv., znanosti, kulture i športa - Osnovna škola fra Ilije Starčevića Tolisa</t>
  </si>
  <si>
    <t>54 (61)</t>
  </si>
  <si>
    <t>55 (56)</t>
  </si>
  <si>
    <t>45 (53)</t>
  </si>
  <si>
    <t>54 (54)</t>
  </si>
  <si>
    <t>107 (114)</t>
  </si>
  <si>
    <t>33 (33)</t>
  </si>
  <si>
    <t>44 (44)</t>
  </si>
  <si>
    <t>46 (47)</t>
  </si>
  <si>
    <t>21 (21)</t>
  </si>
  <si>
    <t>32 (32)</t>
  </si>
  <si>
    <t>927 (951)</t>
  </si>
  <si>
    <t xml:space="preserve">   Primici od prodaje zemljišta</t>
  </si>
  <si>
    <t xml:space="preserve">   Primici od prodaje prometnih vozila</t>
  </si>
  <si>
    <t xml:space="preserve">      11010001 Vlada Županije Posavske</t>
  </si>
  <si>
    <t xml:space="preserve"> Ostali grantovi-izvrš.sud.presuda i rješenja o izvršenju</t>
  </si>
  <si>
    <t>Grantovi i donacije</t>
  </si>
  <si>
    <t>Minist.prosv., znan., kult.i šp.- Osnovna škola Stjepana Radića Oštra Luka-Bok</t>
  </si>
  <si>
    <t xml:space="preserve">      23010001 Uprava za civilnu zaštitu -  Ambasada Švicarske u Sarajevu</t>
  </si>
  <si>
    <t>Namjenski prihodi</t>
  </si>
  <si>
    <t xml:space="preserve">   Primljeni tekući grantovi od inozemnih vlada</t>
  </si>
  <si>
    <t>Izvršenje PRORAČUNA za 2016.</t>
  </si>
  <si>
    <t>PRORAČUN za 2016. (NNŽP 10/16)</t>
  </si>
  <si>
    <t>PRORAČUN za 2016. (nakon preraspodjela)</t>
  </si>
  <si>
    <t>INDEKS 8/7</t>
  </si>
  <si>
    <t>INDEKS 5/4</t>
  </si>
  <si>
    <r>
      <t>IZVJEŠĆE O IZVRŠENJU PRORAČUNA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2016. godinu</t>
    </r>
  </si>
  <si>
    <t>TABLIČNI PREGLED</t>
  </si>
  <si>
    <t>Izvršenje Proračuna ŽP za 2016. godinu (po korisnicima i ekonom.klasifikacijama 
izdataka)</t>
  </si>
  <si>
    <t>IZVRŠENJE PRORAČUNA ŽUPANIJE POSAVSKE ZA 2016. GODINU (po korisnicima i ekonomskim klasifikacijama izdataka)</t>
  </si>
  <si>
    <t>Izvješće o izvršenju Proračuna</t>
  </si>
  <si>
    <t>IZVRŠENJE PRORAČUNA za 
2016.godinu</t>
  </si>
  <si>
    <t>IZVRŠENJE PRORAČUNA za
2016.</t>
  </si>
  <si>
    <t xml:space="preserve">   Prihodi od korištenja sportsko-gospodarskih lovišta</t>
  </si>
  <si>
    <t>IZVRŠENJE PRORAČUNA za 2016.</t>
  </si>
  <si>
    <t>IZVRŠENJE PRORAČUNA za 2016. godinu</t>
  </si>
  <si>
    <t>56 (62)</t>
  </si>
  <si>
    <t>46 (53)</t>
  </si>
  <si>
    <t>55 (57)</t>
  </si>
  <si>
    <t>108 (115)</t>
  </si>
  <si>
    <t>45 (45)</t>
  </si>
  <si>
    <t>47 (48)</t>
  </si>
  <si>
    <t>32 (33)</t>
  </si>
  <si>
    <t>931 (955)</t>
  </si>
  <si>
    <t>2. PRORAČUNSKI RASHODI (2.1.+2.2….+2.7.)</t>
  </si>
  <si>
    <t>Orašje, ožujak 2017.godine</t>
  </si>
  <si>
    <t>Orašje, ožujak 2017. godine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</si>
</sst>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  <numFmt numFmtId="211" formatCode="0.0%"/>
    <numFmt numFmtId="212" formatCode="0.000%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1" fillId="0" borderId="11" xfId="53" applyFont="1" applyBorder="1" applyAlignment="1">
      <alignment horizontal="center" vertical="center" textRotation="90" wrapText="1"/>
      <protection/>
    </xf>
    <xf numFmtId="0" fontId="1" fillId="0" borderId="11" xfId="53" applyFont="1" applyFill="1" applyBorder="1" applyAlignment="1">
      <alignment horizontal="center" vertical="center" textRotation="90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3" xfId="53" applyNumberFormat="1" applyFont="1" applyBorder="1" applyAlignment="1">
      <alignment horizontal="center"/>
      <protection/>
    </xf>
    <xf numFmtId="0" fontId="1" fillId="0" borderId="13" xfId="53" applyFont="1" applyBorder="1">
      <alignment/>
      <protection/>
    </xf>
    <xf numFmtId="0" fontId="0" fillId="0" borderId="0" xfId="53">
      <alignment/>
      <protection/>
    </xf>
    <xf numFmtId="0" fontId="0" fillId="0" borderId="12" xfId="53" applyBorder="1">
      <alignment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1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3" applyFill="1" applyBorder="1">
      <alignment/>
      <protection/>
    </xf>
    <xf numFmtId="3" fontId="1" fillId="0" borderId="13" xfId="53" applyNumberFormat="1" applyFont="1" applyBorder="1">
      <alignment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5" xfId="53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3" fontId="1" fillId="0" borderId="13" xfId="53" applyNumberFormat="1" applyFont="1" applyBorder="1" applyAlignment="1">
      <alignment horizontal="right"/>
      <protection/>
    </xf>
    <xf numFmtId="0" fontId="0" fillId="0" borderId="13" xfId="53" applyFont="1" applyBorder="1">
      <alignment/>
      <protection/>
    </xf>
    <xf numFmtId="0" fontId="1" fillId="0" borderId="13" xfId="53" applyFont="1" applyBorder="1" applyAlignment="1">
      <alignment horizontal="left"/>
      <protection/>
    </xf>
    <xf numFmtId="0" fontId="1" fillId="0" borderId="16" xfId="53" applyFont="1" applyBorder="1">
      <alignment/>
      <protection/>
    </xf>
    <xf numFmtId="0" fontId="0" fillId="33" borderId="13" xfId="53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7" xfId="53" applyBorder="1">
      <alignment/>
      <protection/>
    </xf>
    <xf numFmtId="0" fontId="1" fillId="0" borderId="17" xfId="53" applyFont="1" applyBorder="1">
      <alignment/>
      <protection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53" applyFon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2" xfId="53" applyBorder="1" applyAlignment="1">
      <alignment horizontal="center"/>
      <protection/>
    </xf>
    <xf numFmtId="49" fontId="0" fillId="0" borderId="12" xfId="53" applyNumberFormat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49" fontId="1" fillId="0" borderId="12" xfId="0" applyNumberFormat="1" applyFont="1" applyBorder="1" applyAlignment="1">
      <alignment horizontal="center"/>
    </xf>
    <xf numFmtId="0" fontId="0" fillId="0" borderId="14" xfId="53" applyBorder="1" applyAlignment="1">
      <alignment horizont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9" xfId="53" applyFont="1" applyFill="1" applyBorder="1" applyAlignment="1">
      <alignment horizontal="center" vertical="center" wrapText="1"/>
      <protection/>
    </xf>
    <xf numFmtId="3" fontId="0" fillId="0" borderId="13" xfId="53" applyNumberFormat="1" applyBorder="1">
      <alignment/>
      <protection/>
    </xf>
    <xf numFmtId="3" fontId="0" fillId="0" borderId="13" xfId="53" applyNumberFormat="1" applyFont="1" applyBorder="1">
      <alignment/>
      <protection/>
    </xf>
    <xf numFmtId="3" fontId="0" fillId="0" borderId="15" xfId="53" applyNumberFormat="1" applyBorder="1">
      <alignment/>
      <protection/>
    </xf>
    <xf numFmtId="0" fontId="0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3" fontId="0" fillId="0" borderId="18" xfId="53" applyNumberFormat="1" applyBorder="1">
      <alignment/>
      <protection/>
    </xf>
    <xf numFmtId="3" fontId="1" fillId="33" borderId="13" xfId="53" applyNumberFormat="1" applyFont="1" applyFill="1" applyBorder="1">
      <alignment/>
      <protection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21" xfId="53" applyFont="1" applyBorder="1" applyAlignment="1">
      <alignment horizontal="center"/>
      <protection/>
    </xf>
    <xf numFmtId="0" fontId="0" fillId="0" borderId="22" xfId="53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20" xfId="53" applyFill="1" applyBorder="1">
      <alignment/>
      <protection/>
    </xf>
    <xf numFmtId="0" fontId="0" fillId="0" borderId="21" xfId="53" applyBorder="1" applyAlignment="1">
      <alignment horizontal="center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2" xfId="53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22" xfId="53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22" xfId="53" applyFont="1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23" xfId="53" applyBorder="1" applyAlignment="1">
      <alignment horizontal="center"/>
      <protection/>
    </xf>
    <xf numFmtId="0" fontId="0" fillId="0" borderId="24" xfId="53" applyBorder="1">
      <alignment/>
      <protection/>
    </xf>
    <xf numFmtId="0" fontId="0" fillId="0" borderId="0" xfId="53" applyBorder="1">
      <alignment/>
      <protection/>
    </xf>
    <xf numFmtId="49" fontId="0" fillId="0" borderId="12" xfId="0" applyNumberFormat="1" applyFont="1" applyBorder="1" applyAlignment="1">
      <alignment horizontal="center"/>
    </xf>
    <xf numFmtId="0" fontId="0" fillId="0" borderId="0" xfId="53" applyFont="1">
      <alignment/>
      <protection/>
    </xf>
    <xf numFmtId="3" fontId="0" fillId="0" borderId="13" xfId="53" applyNumberFormat="1" applyFill="1" applyBorder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25" xfId="53" applyNumberFormat="1" applyBorder="1">
      <alignment/>
      <protection/>
    </xf>
    <xf numFmtId="2" fontId="1" fillId="0" borderId="0" xfId="53" applyNumberFormat="1" applyFont="1">
      <alignment/>
      <protection/>
    </xf>
    <xf numFmtId="3" fontId="0" fillId="0" borderId="0" xfId="53" applyNumberFormat="1">
      <alignment/>
      <protection/>
    </xf>
    <xf numFmtId="3" fontId="1" fillId="0" borderId="0" xfId="53" applyNumberFormat="1" applyFont="1">
      <alignment/>
      <protection/>
    </xf>
    <xf numFmtId="3" fontId="1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12" xfId="53" applyFont="1" applyBorder="1">
      <alignment/>
      <protection/>
    </xf>
    <xf numFmtId="0" fontId="1" fillId="0" borderId="26" xfId="53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22" xfId="0" applyNumberFormat="1" applyBorder="1" applyAlignment="1">
      <alignment horizontal="center"/>
    </xf>
    <xf numFmtId="0" fontId="1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3" fontId="1" fillId="0" borderId="13" xfId="53" applyNumberFormat="1" applyFont="1" applyFill="1" applyBorder="1">
      <alignment/>
      <protection/>
    </xf>
    <xf numFmtId="3" fontId="0" fillId="0" borderId="13" xfId="53" applyNumberFormat="1" applyFont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0" xfId="53" applyFont="1" applyFill="1">
      <alignment/>
      <protection/>
    </xf>
    <xf numFmtId="0" fontId="0" fillId="0" borderId="0" xfId="53" applyFill="1">
      <alignment/>
      <protection/>
    </xf>
    <xf numFmtId="0" fontId="1" fillId="0" borderId="0" xfId="53" applyFont="1" applyFill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53" applyFont="1" applyFill="1" applyBorder="1">
      <alignment/>
      <protection/>
    </xf>
    <xf numFmtId="3" fontId="0" fillId="0" borderId="13" xfId="53" applyNumberFormat="1" applyFont="1" applyFill="1" applyBorder="1">
      <alignment/>
      <protection/>
    </xf>
    <xf numFmtId="0" fontId="0" fillId="0" borderId="22" xfId="53" applyFill="1" applyBorder="1" applyAlignment="1">
      <alignment horizontal="center"/>
      <protection/>
    </xf>
    <xf numFmtId="0" fontId="0" fillId="0" borderId="13" xfId="53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3" fontId="0" fillId="0" borderId="13" xfId="53" applyNumberFormat="1" applyFont="1" applyFill="1" applyBorder="1" applyProtection="1">
      <alignment/>
      <protection locked="0"/>
    </xf>
    <xf numFmtId="49" fontId="0" fillId="0" borderId="12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22" xfId="53" applyFont="1" applyFill="1" applyBorder="1" applyAlignment="1">
      <alignment horizontal="center"/>
      <protection/>
    </xf>
    <xf numFmtId="1" fontId="0" fillId="0" borderId="0" xfId="53" applyNumberFormat="1" applyFont="1">
      <alignment/>
      <protection/>
    </xf>
    <xf numFmtId="2" fontId="0" fillId="0" borderId="0" xfId="53" applyNumberFormat="1" applyFont="1">
      <alignment/>
      <protection/>
    </xf>
    <xf numFmtId="3" fontId="1" fillId="0" borderId="13" xfId="53" applyNumberFormat="1" applyFont="1" applyFill="1" applyBorder="1" applyAlignment="1">
      <alignment horizontal="right"/>
      <protection/>
    </xf>
    <xf numFmtId="49" fontId="1" fillId="0" borderId="12" xfId="53" applyNumberFormat="1" applyFont="1" applyFill="1" applyBorder="1" applyAlignment="1">
      <alignment horizontal="center"/>
      <protection/>
    </xf>
    <xf numFmtId="49" fontId="1" fillId="0" borderId="13" xfId="53" applyNumberFormat="1" applyFont="1" applyFill="1" applyBorder="1" applyAlignment="1">
      <alignment horizontal="center"/>
      <protection/>
    </xf>
    <xf numFmtId="3" fontId="1" fillId="0" borderId="0" xfId="53" applyNumberFormat="1" applyFont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" fillId="34" borderId="11" xfId="0" applyFont="1" applyFill="1" applyBorder="1" applyAlignment="1">
      <alignment horizontal="center" vertical="center" wrapText="1"/>
    </xf>
    <xf numFmtId="4" fontId="0" fillId="0" borderId="0" xfId="53" applyNumberFormat="1">
      <alignment/>
      <protection/>
    </xf>
    <xf numFmtId="4" fontId="1" fillId="34" borderId="19" xfId="53" applyNumberFormat="1" applyFont="1" applyFill="1" applyBorder="1" applyAlignment="1">
      <alignment horizontal="center" vertical="center" wrapText="1"/>
      <protection/>
    </xf>
    <xf numFmtId="4" fontId="0" fillId="0" borderId="29" xfId="53" applyNumberFormat="1" applyBorder="1">
      <alignment/>
      <protection/>
    </xf>
    <xf numFmtId="4" fontId="1" fillId="0" borderId="29" xfId="53" applyNumberFormat="1" applyFont="1" applyBorder="1">
      <alignment/>
      <protection/>
    </xf>
    <xf numFmtId="4" fontId="0" fillId="0" borderId="30" xfId="53" applyNumberFormat="1" applyBorder="1">
      <alignment/>
      <protection/>
    </xf>
    <xf numFmtId="4" fontId="6" fillId="0" borderId="0" xfId="53" applyNumberFormat="1" applyFont="1" applyAlignment="1">
      <alignment horizontal="left"/>
      <protection/>
    </xf>
    <xf numFmtId="4" fontId="1" fillId="0" borderId="0" xfId="53" applyNumberFormat="1" applyFont="1" applyAlignment="1">
      <alignment horizontal="left"/>
      <protection/>
    </xf>
    <xf numFmtId="4" fontId="1" fillId="0" borderId="0" xfId="53" applyNumberFormat="1" applyFont="1" applyFill="1" applyAlignment="1">
      <alignment horizontal="left"/>
      <protection/>
    </xf>
    <xf numFmtId="4" fontId="0" fillId="0" borderId="25" xfId="53" applyNumberFormat="1" applyBorder="1">
      <alignment/>
      <protection/>
    </xf>
    <xf numFmtId="4" fontId="1" fillId="0" borderId="31" xfId="53" applyNumberFormat="1" applyFont="1" applyFill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/>
      <protection/>
    </xf>
    <xf numFmtId="4" fontId="1" fillId="0" borderId="32" xfId="53" applyNumberFormat="1" applyFont="1" applyBorder="1" applyAlignment="1">
      <alignment horizontal="center"/>
      <protection/>
    </xf>
    <xf numFmtId="4" fontId="1" fillId="0" borderId="32" xfId="53" applyNumberFormat="1" applyFont="1" applyFill="1" applyBorder="1">
      <alignment/>
      <protection/>
    </xf>
    <xf numFmtId="4" fontId="0" fillId="0" borderId="32" xfId="53" applyNumberFormat="1" applyFont="1" applyFill="1" applyBorder="1">
      <alignment/>
      <protection/>
    </xf>
    <xf numFmtId="4" fontId="0" fillId="0" borderId="32" xfId="53" applyNumberFormat="1" applyBorder="1">
      <alignment/>
      <protection/>
    </xf>
    <xf numFmtId="4" fontId="1" fillId="0" borderId="32" xfId="53" applyNumberFormat="1" applyFont="1" applyBorder="1">
      <alignment/>
      <protection/>
    </xf>
    <xf numFmtId="4" fontId="0" fillId="0" borderId="33" xfId="53" applyNumberFormat="1" applyBorder="1">
      <alignment/>
      <protection/>
    </xf>
    <xf numFmtId="3" fontId="0" fillId="0" borderId="20" xfId="53" applyNumberFormat="1" applyBorder="1">
      <alignment/>
      <protection/>
    </xf>
    <xf numFmtId="3" fontId="1" fillId="33" borderId="20" xfId="53" applyNumberFormat="1" applyFont="1" applyFill="1" applyBorder="1">
      <alignment/>
      <protection/>
    </xf>
    <xf numFmtId="3" fontId="0" fillId="0" borderId="20" xfId="53" applyNumberFormat="1" applyFont="1" applyBorder="1">
      <alignment/>
      <protection/>
    </xf>
    <xf numFmtId="3" fontId="0" fillId="0" borderId="20" xfId="53" applyNumberFormat="1" applyFill="1" applyBorder="1">
      <alignment/>
      <protection/>
    </xf>
    <xf numFmtId="0" fontId="1" fillId="0" borderId="20" xfId="53" applyFont="1" applyBorder="1" applyAlignment="1">
      <alignment horizontal="center"/>
      <protection/>
    </xf>
    <xf numFmtId="3" fontId="1" fillId="0" borderId="20" xfId="53" applyNumberFormat="1" applyFont="1" applyFill="1" applyBorder="1" applyAlignment="1">
      <alignment horizontal="right"/>
      <protection/>
    </xf>
    <xf numFmtId="3" fontId="1" fillId="0" borderId="20" xfId="53" applyNumberFormat="1" applyFont="1" applyBorder="1">
      <alignment/>
      <protection/>
    </xf>
    <xf numFmtId="3" fontId="0" fillId="0" borderId="20" xfId="53" applyNumberFormat="1" applyFont="1" applyFill="1" applyBorder="1">
      <alignment/>
      <protection/>
    </xf>
    <xf numFmtId="3" fontId="1" fillId="0" borderId="13" xfId="53" applyNumberFormat="1" applyFont="1" applyBorder="1" applyAlignment="1">
      <alignment horizontal="center"/>
      <protection/>
    </xf>
    <xf numFmtId="3" fontId="0" fillId="0" borderId="13" xfId="53" applyNumberFormat="1" applyFont="1" applyFill="1" applyBorder="1">
      <alignment/>
      <protection/>
    </xf>
    <xf numFmtId="3" fontId="1" fillId="0" borderId="13" xfId="53" applyNumberFormat="1" applyFont="1" applyFill="1" applyBorder="1">
      <alignment/>
      <protection/>
    </xf>
    <xf numFmtId="4" fontId="1" fillId="0" borderId="32" xfId="53" applyNumberFormat="1" applyFont="1" applyBorder="1" applyAlignment="1">
      <alignment horizontal="right"/>
      <protection/>
    </xf>
    <xf numFmtId="3" fontId="0" fillId="0" borderId="13" xfId="53" applyNumberFormat="1" applyFont="1" applyFill="1" applyBorder="1">
      <alignment/>
      <protection/>
    </xf>
    <xf numFmtId="4" fontId="1" fillId="0" borderId="32" xfId="53" applyNumberFormat="1" applyFont="1" applyFill="1" applyBorder="1" applyAlignment="1">
      <alignment horizontal="right"/>
      <protection/>
    </xf>
    <xf numFmtId="4" fontId="1" fillId="0" borderId="33" xfId="53" applyNumberFormat="1" applyFont="1" applyBorder="1">
      <alignment/>
      <protection/>
    </xf>
    <xf numFmtId="3" fontId="1" fillId="0" borderId="15" xfId="53" applyNumberFormat="1" applyFont="1" applyBorder="1">
      <alignment/>
      <protection/>
    </xf>
    <xf numFmtId="4" fontId="0" fillId="0" borderId="32" xfId="53" applyNumberFormat="1" applyFont="1" applyBorder="1" applyAlignment="1">
      <alignment horizontal="right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wrapText="1"/>
      <protection/>
    </xf>
    <xf numFmtId="3" fontId="0" fillId="0" borderId="0" xfId="53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7" fillId="0" borderId="24" xfId="53" applyNumberFormat="1" applyFont="1" applyBorder="1" applyAlignment="1">
      <alignment/>
      <protection/>
    </xf>
    <xf numFmtId="164" fontId="11" fillId="0" borderId="24" xfId="0" applyNumberFormat="1" applyFont="1" applyBorder="1" applyAlignment="1">
      <alignment/>
    </xf>
    <xf numFmtId="0" fontId="0" fillId="0" borderId="12" xfId="53" applyBorder="1" applyAlignment="1">
      <alignment vertical="center"/>
      <protection/>
    </xf>
    <xf numFmtId="0" fontId="0" fillId="0" borderId="13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0" fillId="0" borderId="13" xfId="53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3" applyNumberFormat="1" applyFont="1" applyFill="1" applyBorder="1" applyAlignment="1">
      <alignment vertical="center"/>
      <protection/>
    </xf>
    <xf numFmtId="4" fontId="0" fillId="0" borderId="32" xfId="53" applyNumberFormat="1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Font="1" applyFill="1" applyBorder="1" applyAlignment="1">
      <alignment vertical="center" wrapText="1"/>
      <protection/>
    </xf>
    <xf numFmtId="3" fontId="0" fillId="0" borderId="20" xfId="53" applyNumberFormat="1" applyFont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3" fontId="0" fillId="0" borderId="0" xfId="53" applyNumberFormat="1" applyFont="1" applyAlignment="1">
      <alignment vertical="center"/>
      <protection/>
    </xf>
    <xf numFmtId="4" fontId="1" fillId="0" borderId="32" xfId="53" applyNumberFormat="1" applyFont="1" applyFill="1" applyBorder="1">
      <alignment/>
      <protection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horizontal="right"/>
    </xf>
    <xf numFmtId="3" fontId="1" fillId="0" borderId="1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3" fontId="12" fillId="0" borderId="17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35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12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12" fillId="0" borderId="12" xfId="0" applyFont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3" fontId="8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35" borderId="13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left" vertical="center"/>
    </xf>
    <xf numFmtId="3" fontId="1" fillId="35" borderId="34" xfId="0" applyNumberFormat="1" applyFont="1" applyFill="1" applyBorder="1" applyAlignment="1">
      <alignment/>
    </xf>
    <xf numFmtId="0" fontId="1" fillId="35" borderId="35" xfId="0" applyFont="1" applyFill="1" applyBorder="1" applyAlignment="1">
      <alignment/>
    </xf>
    <xf numFmtId="3" fontId="1" fillId="35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4" fontId="0" fillId="0" borderId="36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/>
    </xf>
    <xf numFmtId="2" fontId="1" fillId="35" borderId="13" xfId="0" applyNumberFormat="1" applyFont="1" applyFill="1" applyBorder="1" applyAlignment="1">
      <alignment horizontal="right"/>
    </xf>
    <xf numFmtId="2" fontId="1" fillId="35" borderId="34" xfId="0" applyNumberFormat="1" applyFont="1" applyFill="1" applyBorder="1" applyAlignment="1">
      <alignment horizontal="right"/>
    </xf>
    <xf numFmtId="2" fontId="1" fillId="35" borderId="35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/>
    </xf>
    <xf numFmtId="4" fontId="1" fillId="0" borderId="0" xfId="53" applyNumberFormat="1" applyFont="1" applyAlignment="1">
      <alignment horizontal="center"/>
      <protection/>
    </xf>
    <xf numFmtId="0" fontId="1" fillId="35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53" applyNumberFormat="1" applyFont="1">
      <alignment/>
      <protection/>
    </xf>
    <xf numFmtId="3" fontId="0" fillId="0" borderId="0" xfId="53" applyNumberFormat="1" applyFill="1">
      <alignment/>
      <protection/>
    </xf>
    <xf numFmtId="4" fontId="0" fillId="0" borderId="0" xfId="53" applyNumberFormat="1" applyFill="1">
      <alignment/>
      <protection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209" fontId="1" fillId="34" borderId="13" xfId="0" applyNumberFormat="1" applyFont="1" applyFill="1" applyBorder="1" applyAlignment="1">
      <alignment horizontal="left" vertical="center" wrapText="1"/>
    </xf>
    <xf numFmtId="3" fontId="1" fillId="34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9" fontId="0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4" fontId="1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1" fillId="34" borderId="13" xfId="0" applyNumberFormat="1" applyFont="1" applyFill="1" applyBorder="1" applyAlignment="1">
      <alignment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>
      <alignment/>
      <protection/>
    </xf>
    <xf numFmtId="0" fontId="0" fillId="0" borderId="13" xfId="53" applyFont="1" applyFill="1" applyBorder="1" applyAlignment="1">
      <alignment wrapText="1"/>
      <protection/>
    </xf>
    <xf numFmtId="0" fontId="14" fillId="0" borderId="40" xfId="54" applyFont="1" applyFill="1" applyBorder="1" applyAlignment="1">
      <alignment horizontal="center" vertical="center" wrapText="1"/>
      <protection/>
    </xf>
    <xf numFmtId="0" fontId="14" fillId="0" borderId="2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8" fillId="0" borderId="13" xfId="0" applyFont="1" applyBorder="1" applyAlignment="1">
      <alignment/>
    </xf>
    <xf numFmtId="4" fontId="0" fillId="0" borderId="0" xfId="0" applyNumberFormat="1" applyFill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 wrapText="1"/>
    </xf>
    <xf numFmtId="3" fontId="1" fillId="0" borderId="0" xfId="0" applyNumberFormat="1" applyFont="1" applyFill="1" applyAlignment="1">
      <alignment/>
    </xf>
    <xf numFmtId="43" fontId="1" fillId="0" borderId="0" xfId="67" applyFont="1" applyFill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43" fontId="1" fillId="0" borderId="0" xfId="67" applyFont="1" applyAlignment="1">
      <alignment/>
    </xf>
    <xf numFmtId="0" fontId="18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0" fillId="0" borderId="37" xfId="0" applyBorder="1" applyAlignment="1">
      <alignment horizontal="right"/>
    </xf>
    <xf numFmtId="0" fontId="18" fillId="0" borderId="22" xfId="0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22" xfId="0" applyFill="1" applyBorder="1" applyAlignment="1">
      <alignment wrapText="1"/>
    </xf>
    <xf numFmtId="3" fontId="0" fillId="0" borderId="40" xfId="0" applyNumberFormat="1" applyFont="1" applyFill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22" xfId="0" applyBorder="1" applyAlignment="1">
      <alignment/>
    </xf>
    <xf numFmtId="3" fontId="0" fillId="0" borderId="40" xfId="0" applyNumberFormat="1" applyFont="1" applyBorder="1" applyAlignment="1">
      <alignment/>
    </xf>
    <xf numFmtId="4" fontId="8" fillId="36" borderId="29" xfId="0" applyNumberFormat="1" applyFont="1" applyFill="1" applyBorder="1" applyAlignment="1">
      <alignment/>
    </xf>
    <xf numFmtId="4" fontId="1" fillId="36" borderId="29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0" fontId="0" fillId="0" borderId="13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4" fontId="14" fillId="36" borderId="29" xfId="0" applyNumberFormat="1" applyFont="1" applyFill="1" applyBorder="1" applyAlignment="1">
      <alignment/>
    </xf>
    <xf numFmtId="4" fontId="13" fillId="0" borderId="29" xfId="0" applyNumberFormat="1" applyFont="1" applyBorder="1" applyAlignment="1">
      <alignment/>
    </xf>
    <xf numFmtId="4" fontId="13" fillId="0" borderId="29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/>
    </xf>
    <xf numFmtId="3" fontId="8" fillId="36" borderId="13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wrapText="1"/>
    </xf>
    <xf numFmtId="3" fontId="1" fillId="36" borderId="17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3" xfId="35" applyNumberFormat="1" applyFont="1" applyFill="1" applyBorder="1" applyAlignment="1">
      <alignment wrapText="1"/>
    </xf>
    <xf numFmtId="3" fontId="1" fillId="36" borderId="13" xfId="0" applyNumberFormat="1" applyFont="1" applyFill="1" applyBorder="1" applyAlignment="1">
      <alignment/>
    </xf>
    <xf numFmtId="0" fontId="8" fillId="36" borderId="13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wrapText="1"/>
    </xf>
    <xf numFmtId="3" fontId="1" fillId="36" borderId="17" xfId="0" applyNumberFormat="1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3" fontId="8" fillId="36" borderId="17" xfId="0" applyNumberFormat="1" applyFont="1" applyFill="1" applyBorder="1" applyAlignment="1">
      <alignment/>
    </xf>
    <xf numFmtId="3" fontId="8" fillId="36" borderId="4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53" applyNumberFormat="1" applyFont="1" applyFill="1">
      <alignment/>
      <protection/>
    </xf>
    <xf numFmtId="2" fontId="1" fillId="0" borderId="0" xfId="53" applyNumberFormat="1" applyFont="1" applyFill="1">
      <alignment/>
      <protection/>
    </xf>
    <xf numFmtId="3" fontId="0" fillId="0" borderId="13" xfId="53" applyNumberFormat="1" applyFont="1" applyBorder="1">
      <alignment/>
      <protection/>
    </xf>
    <xf numFmtId="3" fontId="0" fillId="0" borderId="20" xfId="0" applyNumberFormat="1" applyBorder="1" applyAlignment="1">
      <alignment/>
    </xf>
    <xf numFmtId="3" fontId="0" fillId="0" borderId="20" xfId="53" applyNumberFormat="1" applyFont="1" applyBorder="1" applyAlignment="1">
      <alignment horizontal="right"/>
      <protection/>
    </xf>
    <xf numFmtId="3" fontId="1" fillId="0" borderId="20" xfId="53" applyNumberFormat="1" applyFont="1" applyBorder="1" applyAlignment="1">
      <alignment horizontal="right"/>
      <protection/>
    </xf>
    <xf numFmtId="3" fontId="0" fillId="0" borderId="20" xfId="53" applyNumberFormat="1" applyFont="1" applyBorder="1" applyAlignment="1">
      <alignment horizontal="right"/>
      <protection/>
    </xf>
    <xf numFmtId="3" fontId="0" fillId="0" borderId="20" xfId="53" applyNumberFormat="1" applyBorder="1" applyAlignment="1">
      <alignment horizontal="right"/>
      <protection/>
    </xf>
    <xf numFmtId="3" fontId="0" fillId="0" borderId="20" xfId="53" applyNumberFormat="1" applyFont="1" applyBorder="1" applyAlignment="1">
      <alignment horizontal="right"/>
      <protection/>
    </xf>
    <xf numFmtId="3" fontId="0" fillId="0" borderId="20" xfId="53" applyNumberFormat="1" applyFill="1" applyBorder="1" applyAlignment="1">
      <alignment horizontal="right"/>
      <protection/>
    </xf>
    <xf numFmtId="3" fontId="0" fillId="0" borderId="20" xfId="53" applyNumberFormat="1" applyFont="1" applyFill="1" applyBorder="1" applyAlignment="1">
      <alignment horizontal="right"/>
      <protection/>
    </xf>
    <xf numFmtId="3" fontId="0" fillId="0" borderId="20" xfId="53" applyNumberFormat="1" applyFont="1" applyFill="1" applyBorder="1" applyAlignment="1">
      <alignment horizontal="right"/>
      <protection/>
    </xf>
    <xf numFmtId="3" fontId="0" fillId="0" borderId="20" xfId="53" applyNumberFormat="1" applyFont="1" applyFill="1" applyBorder="1" applyAlignment="1">
      <alignment horizontal="right" vertical="center" wrapText="1"/>
      <protection/>
    </xf>
    <xf numFmtId="3" fontId="0" fillId="33" borderId="20" xfId="53" applyNumberFormat="1" applyFont="1" applyFill="1" applyBorder="1" applyAlignment="1">
      <alignment horizontal="right"/>
      <protection/>
    </xf>
    <xf numFmtId="3" fontId="0" fillId="0" borderId="20" xfId="53" applyNumberFormat="1" applyFont="1" applyFill="1" applyBorder="1" applyAlignment="1">
      <alignment horizontal="right"/>
      <protection/>
    </xf>
    <xf numFmtId="0" fontId="0" fillId="0" borderId="20" xfId="53" applyFont="1" applyFill="1" applyBorder="1" applyAlignment="1">
      <alignment horizontal="right" wrapText="1"/>
      <protection/>
    </xf>
    <xf numFmtId="0" fontId="0" fillId="0" borderId="20" xfId="53" applyFont="1" applyFill="1" applyBorder="1" applyAlignment="1">
      <alignment horizontal="right"/>
      <protection/>
    </xf>
    <xf numFmtId="0" fontId="0" fillId="0" borderId="20" xfId="53" applyFont="1" applyFill="1" applyBorder="1" applyAlignment="1">
      <alignment horizontal="right"/>
      <protection/>
    </xf>
    <xf numFmtId="3" fontId="0" fillId="0" borderId="13" xfId="53" applyNumberFormat="1" applyBorder="1" applyAlignment="1">
      <alignment horizontal="right"/>
      <protection/>
    </xf>
    <xf numFmtId="4" fontId="1" fillId="0" borderId="31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196" fontId="4" fillId="0" borderId="24" xfId="35" applyNumberFormat="1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8" fillId="0" borderId="44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8" fillId="36" borderId="23" xfId="0" applyFont="1" applyFill="1" applyBorder="1" applyAlignment="1">
      <alignment horizontal="right" wrapText="1"/>
    </xf>
    <xf numFmtId="0" fontId="8" fillId="36" borderId="45" xfId="0" applyFont="1" applyFill="1" applyBorder="1" applyAlignment="1">
      <alignment horizontal="right" wrapText="1"/>
    </xf>
    <xf numFmtId="3" fontId="4" fillId="0" borderId="24" xfId="53" applyNumberFormat="1" applyFont="1" applyBorder="1" applyAlignment="1">
      <alignment horizontal="left"/>
      <protection/>
    </xf>
    <xf numFmtId="3" fontId="0" fillId="0" borderId="24" xfId="0" applyNumberFormat="1" applyBorder="1" applyAlignment="1">
      <alignment/>
    </xf>
    <xf numFmtId="0" fontId="4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0" fillId="0" borderId="0" xfId="54" applyFont="1" applyFill="1" applyAlignment="1">
      <alignment horizontal="justify" vertical="top" wrapText="1"/>
      <protection/>
    </xf>
    <xf numFmtId="0" fontId="0" fillId="0" borderId="0" xfId="0" applyFill="1" applyAlignment="1">
      <alignment horizontal="justify" vertical="top"/>
    </xf>
    <xf numFmtId="0" fontId="1" fillId="0" borderId="0" xfId="53" applyFont="1" applyAlignment="1">
      <alignment horizontal="left"/>
      <protection/>
    </xf>
    <xf numFmtId="0" fontId="1" fillId="0" borderId="24" xfId="53" applyFont="1" applyBorder="1" applyAlignment="1">
      <alignment horizontal="right"/>
      <protection/>
    </xf>
    <xf numFmtId="0" fontId="1" fillId="0" borderId="0" xfId="53" applyFont="1" applyFill="1" applyAlignment="1">
      <alignment horizontal="left"/>
      <protection/>
    </xf>
    <xf numFmtId="0" fontId="11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senje300903-s planom" xfId="34"/>
    <cellStyle name="Comma_izvrsenje300903-s planom 2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sablon1-230704" xfId="53"/>
    <cellStyle name="Normal_sablon1-230704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161925</xdr:rowOff>
    </xdr:from>
    <xdr:to>
      <xdr:col>6</xdr:col>
      <xdr:colOff>295275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61925"/>
          <a:ext cx="13811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161925</xdr:rowOff>
    </xdr:from>
    <xdr:to>
      <xdr:col>6</xdr:col>
      <xdr:colOff>295275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61925"/>
          <a:ext cx="13811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3">
      <selection activeCell="I34" sqref="I34"/>
    </sheetView>
  </sheetViews>
  <sheetFormatPr defaultColWidth="9.140625" defaultRowHeight="12.75"/>
  <cols>
    <col min="3" max="3" width="12.57421875" style="0" customWidth="1"/>
    <col min="4" max="4" width="4.57421875" style="0" customWidth="1"/>
    <col min="6" max="6" width="4.421875" style="0" customWidth="1"/>
    <col min="9" max="9" width="20.00390625" style="0" customWidth="1"/>
  </cols>
  <sheetData>
    <row r="1" spans="1:9" ht="12.75">
      <c r="A1" s="418"/>
      <c r="B1" s="418"/>
      <c r="C1" s="418"/>
      <c r="D1" s="418"/>
      <c r="E1" s="418"/>
      <c r="F1" s="418"/>
      <c r="G1" s="418"/>
      <c r="H1" s="418"/>
      <c r="I1" s="418"/>
    </row>
    <row r="2" spans="1:9" ht="12.75">
      <c r="A2" s="419" t="s">
        <v>232</v>
      </c>
      <c r="B2" s="420"/>
      <c r="C2" s="420"/>
      <c r="G2" s="419" t="s">
        <v>233</v>
      </c>
      <c r="H2" s="420"/>
      <c r="I2" s="420"/>
    </row>
    <row r="3" spans="1:9" ht="12.75">
      <c r="A3" s="420"/>
      <c r="B3" s="420"/>
      <c r="C3" s="420"/>
      <c r="G3" s="420"/>
      <c r="H3" s="420"/>
      <c r="I3" s="420"/>
    </row>
    <row r="4" spans="1:9" ht="12.75">
      <c r="A4" s="420"/>
      <c r="B4" s="420"/>
      <c r="C4" s="420"/>
      <c r="G4" s="420"/>
      <c r="H4" s="420"/>
      <c r="I4" s="420"/>
    </row>
    <row r="5" spans="1:9" ht="12.75">
      <c r="A5" s="420"/>
      <c r="B5" s="420"/>
      <c r="C5" s="420"/>
      <c r="G5" s="420"/>
      <c r="H5" s="420"/>
      <c r="I5" s="420"/>
    </row>
    <row r="6" spans="1:9" ht="12.75">
      <c r="A6" s="420"/>
      <c r="B6" s="420"/>
      <c r="C6" s="420"/>
      <c r="G6" s="420"/>
      <c r="H6" s="420"/>
      <c r="I6" s="420"/>
    </row>
    <row r="7" spans="1:9" ht="12.75">
      <c r="A7" s="420"/>
      <c r="B7" s="420"/>
      <c r="C7" s="420"/>
      <c r="G7" s="420"/>
      <c r="H7" s="420"/>
      <c r="I7" s="420"/>
    </row>
    <row r="8" spans="1:9" ht="12.75">
      <c r="A8" s="124"/>
      <c r="B8" s="124"/>
      <c r="C8" s="124"/>
      <c r="D8" s="124"/>
      <c r="E8" s="124"/>
      <c r="F8" s="124"/>
      <c r="G8" s="124"/>
      <c r="H8" s="124"/>
      <c r="I8" s="124"/>
    </row>
    <row r="12" spans="7:9" ht="18.75">
      <c r="G12" s="415"/>
      <c r="H12" s="416"/>
      <c r="I12" s="416"/>
    </row>
    <row r="20" spans="1:9" ht="12.75" customHeight="1">
      <c r="A20" s="421" t="s">
        <v>742</v>
      </c>
      <c r="B20" s="422"/>
      <c r="C20" s="422"/>
      <c r="D20" s="422"/>
      <c r="E20" s="422"/>
      <c r="F20" s="422"/>
      <c r="G20" s="422"/>
      <c r="H20" s="422"/>
      <c r="I20" s="422"/>
    </row>
    <row r="21" spans="1:9" ht="12.75">
      <c r="A21" s="422"/>
      <c r="B21" s="422"/>
      <c r="C21" s="422"/>
      <c r="D21" s="422"/>
      <c r="E21" s="422"/>
      <c r="F21" s="422"/>
      <c r="G21" s="422"/>
      <c r="H21" s="422"/>
      <c r="I21" s="422"/>
    </row>
    <row r="22" spans="1:9" ht="12.75">
      <c r="A22" s="418"/>
      <c r="B22" s="418"/>
      <c r="C22" s="418"/>
      <c r="D22" s="418"/>
      <c r="E22" s="418"/>
      <c r="F22" s="418"/>
      <c r="G22" s="418"/>
      <c r="H22" s="418"/>
      <c r="I22" s="418"/>
    </row>
    <row r="23" spans="1:9" ht="12.75">
      <c r="A23" s="418"/>
      <c r="B23" s="418"/>
      <c r="C23" s="418"/>
      <c r="D23" s="418"/>
      <c r="E23" s="418"/>
      <c r="F23" s="418"/>
      <c r="G23" s="418"/>
      <c r="H23" s="418"/>
      <c r="I23" s="418"/>
    </row>
    <row r="24" spans="1:9" ht="12.75">
      <c r="A24" s="418"/>
      <c r="B24" s="418"/>
      <c r="C24" s="418"/>
      <c r="D24" s="418"/>
      <c r="E24" s="418"/>
      <c r="F24" s="418"/>
      <c r="G24" s="418"/>
      <c r="H24" s="418"/>
      <c r="I24" s="418"/>
    </row>
    <row r="25" spans="1:9" ht="12.75">
      <c r="A25" s="418"/>
      <c r="B25" s="418"/>
      <c r="C25" s="418"/>
      <c r="D25" s="418"/>
      <c r="E25" s="418"/>
      <c r="F25" s="418"/>
      <c r="G25" s="418"/>
      <c r="H25" s="418"/>
      <c r="I25" s="418"/>
    </row>
    <row r="26" spans="1:9" ht="12.75">
      <c r="A26" s="418"/>
      <c r="B26" s="418"/>
      <c r="C26" s="418"/>
      <c r="D26" s="418"/>
      <c r="E26" s="418"/>
      <c r="F26" s="418"/>
      <c r="G26" s="418"/>
      <c r="H26" s="418"/>
      <c r="I26" s="418"/>
    </row>
    <row r="31" spans="1:9" ht="15">
      <c r="A31" s="423" t="s">
        <v>743</v>
      </c>
      <c r="B31" s="423"/>
      <c r="C31" s="423"/>
      <c r="D31" s="423"/>
      <c r="E31" s="423"/>
      <c r="F31" s="423"/>
      <c r="G31" s="423"/>
      <c r="H31" s="423"/>
      <c r="I31" s="423"/>
    </row>
    <row r="54" spans="1:9" ht="12.75">
      <c r="A54" s="417" t="s">
        <v>761</v>
      </c>
      <c r="B54" s="418"/>
      <c r="C54" s="418"/>
      <c r="D54" s="418"/>
      <c r="E54" s="418"/>
      <c r="F54" s="418"/>
      <c r="G54" s="418"/>
      <c r="H54" s="418"/>
      <c r="I54" s="418"/>
    </row>
    <row r="55" spans="1:9" ht="12.75">
      <c r="A55" s="418"/>
      <c r="B55" s="418"/>
      <c r="C55" s="418"/>
      <c r="D55" s="418"/>
      <c r="E55" s="418"/>
      <c r="F55" s="418"/>
      <c r="G55" s="418"/>
      <c r="H55" s="418"/>
      <c r="I55" s="418"/>
    </row>
    <row r="56" spans="1:9" ht="15.75">
      <c r="A56" s="125"/>
      <c r="B56" s="125"/>
      <c r="C56" s="125"/>
      <c r="D56" s="125"/>
      <c r="E56" s="125"/>
      <c r="F56" s="125"/>
      <c r="G56" s="125"/>
      <c r="H56" s="125"/>
      <c r="I56" s="125"/>
    </row>
  </sheetData>
  <sheetProtection/>
  <mergeCells count="7">
    <mergeCell ref="G12:I12"/>
    <mergeCell ref="A54:I55"/>
    <mergeCell ref="A1:I1"/>
    <mergeCell ref="A2:C7"/>
    <mergeCell ref="G2:I7"/>
    <mergeCell ref="A20:I26"/>
    <mergeCell ref="A31:I31"/>
  </mergeCells>
  <printOptions/>
  <pageMargins left="0.66" right="0.4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L47"/>
  <sheetViews>
    <sheetView workbookViewId="0" topLeftCell="A7">
      <selection activeCell="K86" sqref="K8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128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129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30840</v>
      </c>
      <c r="H7" s="20">
        <f>SUM(H8:H11)</f>
        <v>30840</v>
      </c>
      <c r="I7" s="20">
        <f>SUM(I8:I11)</f>
        <v>29968</v>
      </c>
      <c r="J7" s="201">
        <f aca="true" t="shared" si="0" ref="J7:J42">IF(H7=0,"",I7/H7*100)</f>
        <v>97.17250324254215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395">
        <v>27800</v>
      </c>
      <c r="H8" s="84">
        <v>27800</v>
      </c>
      <c r="I8" s="84">
        <v>27071</v>
      </c>
      <c r="J8" s="154">
        <f t="shared" si="0"/>
        <v>97.37769784172662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5">
        <v>3040</v>
      </c>
      <c r="H9" s="84">
        <f>2800+240</f>
        <v>3040</v>
      </c>
      <c r="I9" s="84">
        <v>2897</v>
      </c>
      <c r="J9" s="154">
        <f t="shared" si="0"/>
        <v>95.29605263157895</v>
      </c>
    </row>
    <row r="10" spans="2:12" ht="12.75" customHeight="1">
      <c r="B10" s="14"/>
      <c r="C10" s="15"/>
      <c r="D10" s="15"/>
      <c r="E10" s="16">
        <v>611200</v>
      </c>
      <c r="F10" s="366" t="s">
        <v>669</v>
      </c>
      <c r="G10" s="110">
        <v>0</v>
      </c>
      <c r="H10" s="84">
        <v>0</v>
      </c>
      <c r="I10" s="84">
        <v>0</v>
      </c>
      <c r="J10" s="154">
        <f t="shared" si="0"/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3100</v>
      </c>
      <c r="H13" s="20">
        <f>H14</f>
        <v>3100</v>
      </c>
      <c r="I13" s="20">
        <f>I14</f>
        <v>2856</v>
      </c>
      <c r="J13" s="201">
        <f t="shared" si="0"/>
        <v>92.12903225806451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3100</v>
      </c>
      <c r="H14" s="45">
        <v>3100</v>
      </c>
      <c r="I14" s="45">
        <v>2856</v>
      </c>
      <c r="J14" s="154">
        <f t="shared" si="0"/>
        <v>92.12903225806451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23300</v>
      </c>
      <c r="H17" s="51">
        <f>SUM(H18:H27)</f>
        <v>21100</v>
      </c>
      <c r="I17" s="51">
        <f>SUM(I18:I27)</f>
        <v>20126</v>
      </c>
      <c r="J17" s="201">
        <f t="shared" si="0"/>
        <v>95.38388625592417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300</v>
      </c>
      <c r="H18" s="45">
        <v>300</v>
      </c>
      <c r="I18" s="45">
        <v>0</v>
      </c>
      <c r="J18" s="154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0</v>
      </c>
      <c r="H20" s="45">
        <v>0</v>
      </c>
      <c r="I20" s="45">
        <v>0</v>
      </c>
      <c r="J20" s="154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0</v>
      </c>
      <c r="H21" s="45">
        <v>0</v>
      </c>
      <c r="I21" s="45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0</v>
      </c>
      <c r="H24" s="45">
        <v>0</v>
      </c>
      <c r="I24" s="45">
        <v>0</v>
      </c>
      <c r="J24" s="154">
        <f t="shared" si="0"/>
      </c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  <c r="L25" s="83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45">
        <v>23000</v>
      </c>
      <c r="H26" s="45">
        <f>23000-2200</f>
        <v>20800</v>
      </c>
      <c r="I26" s="45">
        <v>20126</v>
      </c>
      <c r="J26" s="154">
        <f t="shared" si="0"/>
        <v>96.75961538461539</v>
      </c>
      <c r="L26" s="91"/>
    </row>
    <row r="27" spans="2:10" ht="12.75" customHeight="1">
      <c r="B27" s="14"/>
      <c r="C27" s="15"/>
      <c r="D27" s="15"/>
      <c r="E27" s="16">
        <v>613900</v>
      </c>
      <c r="F27" s="366" t="s">
        <v>670</v>
      </c>
      <c r="G27" s="110">
        <v>0</v>
      </c>
      <c r="H27" s="46">
        <v>0</v>
      </c>
      <c r="I27" s="46">
        <v>0</v>
      </c>
      <c r="J27" s="154">
        <f t="shared" si="0"/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45"/>
      <c r="I28" s="45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45"/>
      <c r="I29" s="45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45"/>
      <c r="I30" s="45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45"/>
      <c r="I34" s="45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0</v>
      </c>
      <c r="H36" s="20">
        <f>SUM(H37:H38)</f>
        <v>0</v>
      </c>
      <c r="I36" s="20">
        <f>SUM(I37:I38)</f>
        <v>0</v>
      </c>
      <c r="J36" s="201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0</v>
      </c>
      <c r="H38" s="45">
        <v>0</v>
      </c>
      <c r="I38" s="45">
        <v>0</v>
      </c>
      <c r="J38" s="154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</v>
      </c>
      <c r="H41" s="20">
        <v>1</v>
      </c>
      <c r="I41" s="20">
        <v>1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57240</v>
      </c>
      <c r="H42" s="20">
        <f>H7+H13+H17+H36</f>
        <v>55040</v>
      </c>
      <c r="I42" s="20">
        <f>I7+I13+I17+I36</f>
        <v>52950</v>
      </c>
      <c r="J42" s="201">
        <f t="shared" si="0"/>
        <v>96.20276162790698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B2:L50"/>
  <sheetViews>
    <sheetView workbookViewId="0" topLeftCell="A10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165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130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75820</v>
      </c>
      <c r="H7" s="20">
        <f>SUM(H8:H11)</f>
        <v>75820</v>
      </c>
      <c r="I7" s="20">
        <f>SUM(I8:I11)</f>
        <v>74462</v>
      </c>
      <c r="J7" s="201">
        <f aca="true" t="shared" si="0" ref="J7:J42">IF(H7=0,"",I7/H7*100)</f>
        <v>98.20891585333685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61200</v>
      </c>
      <c r="H8" s="84">
        <v>61200</v>
      </c>
      <c r="I8" s="84">
        <v>60467</v>
      </c>
      <c r="J8" s="154">
        <f t="shared" si="0"/>
        <v>98.80228758169935</v>
      </c>
      <c r="K8" s="91"/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5">
        <v>11520</v>
      </c>
      <c r="H9" s="84">
        <f>10800+3*240</f>
        <v>11520</v>
      </c>
      <c r="I9" s="84">
        <v>11096</v>
      </c>
      <c r="J9" s="154">
        <f t="shared" si="0"/>
        <v>96.31944444444444</v>
      </c>
      <c r="K9" s="95"/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110">
        <v>3100</v>
      </c>
      <c r="H10" s="84">
        <v>3100</v>
      </c>
      <c r="I10" s="84">
        <v>2899</v>
      </c>
      <c r="J10" s="154">
        <f t="shared" si="0"/>
        <v>93.51612903225806</v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6800</v>
      </c>
      <c r="H13" s="20">
        <f>H14</f>
        <v>6800</v>
      </c>
      <c r="I13" s="20">
        <f>I14</f>
        <v>6390</v>
      </c>
      <c r="J13" s="201">
        <f t="shared" si="0"/>
        <v>93.97058823529412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6800</v>
      </c>
      <c r="H14" s="84">
        <v>6800</v>
      </c>
      <c r="I14" s="84">
        <v>6390</v>
      </c>
      <c r="J14" s="154">
        <f t="shared" si="0"/>
        <v>93.97058823529412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16200</v>
      </c>
      <c r="H17" s="51">
        <f>SUM(H18:H27)</f>
        <v>16200</v>
      </c>
      <c r="I17" s="51">
        <f>SUM(I18:I27)</f>
        <v>14864</v>
      </c>
      <c r="J17" s="201">
        <f t="shared" si="0"/>
        <v>91.75308641975309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950</v>
      </c>
      <c r="H18" s="84">
        <v>950</v>
      </c>
      <c r="I18" s="84">
        <v>880</v>
      </c>
      <c r="J18" s="154">
        <f t="shared" si="0"/>
        <v>92.63157894736842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2500</v>
      </c>
      <c r="H20" s="45">
        <v>2500</v>
      </c>
      <c r="I20" s="45">
        <v>1410</v>
      </c>
      <c r="J20" s="154">
        <f t="shared" si="0"/>
        <v>56.39999999999999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0</v>
      </c>
      <c r="H21" s="84">
        <v>0</v>
      </c>
      <c r="I21" s="84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400</v>
      </c>
      <c r="H24" s="45">
        <v>400</v>
      </c>
      <c r="I24" s="45">
        <v>400</v>
      </c>
      <c r="J24" s="154">
        <f t="shared" si="0"/>
        <v>100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8800</v>
      </c>
      <c r="H26" s="84">
        <v>8800</v>
      </c>
      <c r="I26" s="84">
        <v>8656</v>
      </c>
      <c r="J26" s="154">
        <f t="shared" si="0"/>
        <v>98.36363636363636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0">
        <v>3550</v>
      </c>
      <c r="H27" s="118">
        <v>3550</v>
      </c>
      <c r="I27" s="118">
        <v>3518</v>
      </c>
      <c r="J27" s="154">
        <f t="shared" si="0"/>
        <v>99.09859154929578</v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84"/>
      <c r="I28" s="84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84"/>
      <c r="I29" s="84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84"/>
      <c r="I30" s="84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84"/>
      <c r="I33" s="84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84"/>
      <c r="I34" s="84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4450</v>
      </c>
      <c r="H36" s="109">
        <f>SUM(H37:H38)</f>
        <v>4450</v>
      </c>
      <c r="I36" s="109">
        <f>SUM(I37:I38)</f>
        <v>4438</v>
      </c>
      <c r="J36" s="201">
        <f t="shared" si="0"/>
        <v>99.73033707865169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4450</v>
      </c>
      <c r="H38" s="84">
        <v>4450</v>
      </c>
      <c r="I38" s="84">
        <v>4438</v>
      </c>
      <c r="J38" s="154">
        <f t="shared" si="0"/>
        <v>99.73033707865169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109">
        <v>3</v>
      </c>
      <c r="I41" s="109">
        <v>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103270</v>
      </c>
      <c r="H42" s="20">
        <f>H7+H13+H17+H36</f>
        <v>103270</v>
      </c>
      <c r="I42" s="20">
        <f>I7+I13+I17+I36</f>
        <v>100154</v>
      </c>
      <c r="J42" s="201">
        <f t="shared" si="0"/>
        <v>96.98266679577806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3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20"/>
      <c r="J44" s="153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B2:L50"/>
  <sheetViews>
    <sheetView workbookViewId="0" topLeftCell="A7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336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151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76860</v>
      </c>
      <c r="H7" s="20">
        <f>SUM(H8:H11)</f>
        <v>76860</v>
      </c>
      <c r="I7" s="20">
        <f>SUM(I8:I11)</f>
        <v>73874</v>
      </c>
      <c r="J7" s="153">
        <f aca="true" t="shared" si="0" ref="J7:J44">IF(H7=0,"",I7/H7*100)</f>
        <v>96.11501431173562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52300</v>
      </c>
      <c r="H8" s="84">
        <v>52300</v>
      </c>
      <c r="I8" s="84">
        <v>51558</v>
      </c>
      <c r="J8" s="154">
        <f t="shared" si="0"/>
        <v>98.5812619502868</v>
      </c>
      <c r="K8" s="91"/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5">
        <v>15760</v>
      </c>
      <c r="H9" s="84">
        <f>13600+1200+4*240</f>
        <v>15760</v>
      </c>
      <c r="I9" s="84">
        <v>13757</v>
      </c>
      <c r="J9" s="154">
        <f t="shared" si="0"/>
        <v>87.29060913705584</v>
      </c>
      <c r="K9" s="95"/>
    </row>
    <row r="10" spans="2:12" ht="12.75" customHeight="1">
      <c r="B10" s="14"/>
      <c r="C10" s="15"/>
      <c r="D10" s="15"/>
      <c r="E10" s="16">
        <v>611200</v>
      </c>
      <c r="F10" s="366" t="s">
        <v>671</v>
      </c>
      <c r="G10" s="110">
        <v>8800</v>
      </c>
      <c r="H10" s="84">
        <v>8800</v>
      </c>
      <c r="I10" s="84">
        <v>8559</v>
      </c>
      <c r="J10" s="154">
        <f t="shared" si="0"/>
        <v>97.26136363636364</v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45"/>
      <c r="I11" s="45"/>
      <c r="J11" s="153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3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5900</v>
      </c>
      <c r="H13" s="20">
        <f>H14</f>
        <v>5900</v>
      </c>
      <c r="I13" s="20">
        <f>I14</f>
        <v>5463</v>
      </c>
      <c r="J13" s="153">
        <f t="shared" si="0"/>
        <v>92.59322033898304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5900</v>
      </c>
      <c r="H14" s="84">
        <v>5900</v>
      </c>
      <c r="I14" s="84">
        <v>5463</v>
      </c>
      <c r="J14" s="154">
        <f t="shared" si="0"/>
        <v>92.59322033898304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3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51"/>
      <c r="I16" s="51"/>
      <c r="J16" s="153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13900</v>
      </c>
      <c r="H17" s="51">
        <f>SUM(H18:H27)</f>
        <v>13900</v>
      </c>
      <c r="I17" s="51">
        <f>SUM(I18:I27)</f>
        <v>12123</v>
      </c>
      <c r="J17" s="153">
        <f t="shared" si="0"/>
        <v>87.21582733812949</v>
      </c>
    </row>
    <row r="18" spans="2:11" ht="12.75" customHeight="1">
      <c r="B18" s="14"/>
      <c r="C18" s="15"/>
      <c r="D18" s="15"/>
      <c r="E18" s="16">
        <v>613100</v>
      </c>
      <c r="F18" s="15" t="s">
        <v>86</v>
      </c>
      <c r="G18" s="45">
        <v>2800</v>
      </c>
      <c r="H18" s="84">
        <v>2800</v>
      </c>
      <c r="I18" s="84">
        <v>1889</v>
      </c>
      <c r="J18" s="154">
        <f t="shared" si="0"/>
        <v>67.46428571428571</v>
      </c>
      <c r="K18" s="91"/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600</v>
      </c>
      <c r="H20" s="45">
        <v>600</v>
      </c>
      <c r="I20" s="45">
        <v>506</v>
      </c>
      <c r="J20" s="154">
        <f t="shared" si="0"/>
        <v>84.33333333333334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600</v>
      </c>
      <c r="H21" s="84">
        <v>600</v>
      </c>
      <c r="I21" s="84">
        <v>558</v>
      </c>
      <c r="J21" s="154">
        <f t="shared" si="0"/>
        <v>93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300</v>
      </c>
      <c r="H24" s="45">
        <v>300</v>
      </c>
      <c r="I24" s="45">
        <v>0</v>
      </c>
      <c r="J24" s="154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1500</v>
      </c>
      <c r="H26" s="84">
        <v>1500</v>
      </c>
      <c r="I26" s="84">
        <v>1119</v>
      </c>
      <c r="J26" s="154">
        <f t="shared" si="0"/>
        <v>74.6</v>
      </c>
    </row>
    <row r="27" spans="2:10" ht="12.75" customHeight="1">
      <c r="B27" s="14"/>
      <c r="C27" s="15"/>
      <c r="D27" s="15"/>
      <c r="E27" s="16">
        <v>613900</v>
      </c>
      <c r="F27" s="366" t="s">
        <v>672</v>
      </c>
      <c r="G27" s="110">
        <v>8100</v>
      </c>
      <c r="H27" s="118">
        <v>8100</v>
      </c>
      <c r="I27" s="118">
        <v>8051</v>
      </c>
      <c r="J27" s="154">
        <f t="shared" si="0"/>
        <v>99.39506172839506</v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84"/>
      <c r="I28" s="84"/>
      <c r="J28" s="153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84"/>
      <c r="I29" s="84"/>
      <c r="J29" s="153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84"/>
      <c r="I30" s="84"/>
      <c r="J30" s="153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84"/>
      <c r="I31" s="84"/>
      <c r="J31" s="153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84"/>
      <c r="I32" s="84"/>
      <c r="J32" s="153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84"/>
      <c r="I33" s="84"/>
      <c r="J33" s="153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84"/>
      <c r="I34" s="84"/>
      <c r="J34" s="153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109"/>
      <c r="I35" s="109"/>
      <c r="J35" s="153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4500</v>
      </c>
      <c r="H36" s="109">
        <f>SUM(H37:H38)</f>
        <v>4500</v>
      </c>
      <c r="I36" s="109">
        <f>SUM(I37:I38)</f>
        <v>4495</v>
      </c>
      <c r="J36" s="153">
        <f t="shared" si="0"/>
        <v>99.8888888888889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4500</v>
      </c>
      <c r="H38" s="84">
        <v>4500</v>
      </c>
      <c r="I38" s="84">
        <v>4495</v>
      </c>
      <c r="J38" s="154">
        <f t="shared" si="0"/>
        <v>99.8888888888889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4</v>
      </c>
      <c r="H41" s="109">
        <v>4</v>
      </c>
      <c r="I41" s="109">
        <v>4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101160</v>
      </c>
      <c r="H42" s="20">
        <f>H7+H13+H17+H36</f>
        <v>101160</v>
      </c>
      <c r="I42" s="20">
        <f>I7+I13+I17+I36</f>
        <v>95955</v>
      </c>
      <c r="J42" s="153">
        <f t="shared" si="0"/>
        <v>94.8546856465006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G42+6!G42+5!G42+4!G43+3!G56</f>
        <v>3403340</v>
      </c>
      <c r="H43" s="20">
        <f>H42+6!H42+5!H42+4!H43+3!H56</f>
        <v>3403340</v>
      </c>
      <c r="I43" s="20">
        <f>I42+6!I42+5!I42+4!I43+3!I56</f>
        <v>3281833</v>
      </c>
      <c r="J43" s="153">
        <f t="shared" si="0"/>
        <v>96.42977192992765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</f>
        <v>3403340</v>
      </c>
      <c r="H44" s="20">
        <f>H43</f>
        <v>3403340</v>
      </c>
      <c r="I44" s="20">
        <f>I43</f>
        <v>3281833</v>
      </c>
      <c r="J44" s="153">
        <f t="shared" si="0"/>
        <v>96.42977192992765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O50"/>
  <sheetViews>
    <sheetView workbookViewId="0" topLeftCell="A13">
      <selection activeCell="J41" sqref="J41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131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132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241160</v>
      </c>
      <c r="H7" s="109">
        <f>SUM(H8:H11)</f>
        <v>241160</v>
      </c>
      <c r="I7" s="109">
        <f>SUM(I8:I11)</f>
        <v>235527</v>
      </c>
      <c r="J7" s="153">
        <f aca="true" t="shared" si="0" ref="J7:J44">IF(H7=0,"",I7/H7*100)</f>
        <v>97.66420633604245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162100</v>
      </c>
      <c r="H8" s="84">
        <v>162100</v>
      </c>
      <c r="I8" s="84">
        <v>161006</v>
      </c>
      <c r="J8" s="154">
        <f t="shared" si="0"/>
        <v>99.32510795805058</v>
      </c>
      <c r="K8" s="83"/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5">
        <v>58260</v>
      </c>
      <c r="H9" s="84">
        <f>54900+14*240</f>
        <v>58260</v>
      </c>
      <c r="I9" s="84">
        <v>54175</v>
      </c>
      <c r="J9" s="154">
        <f t="shared" si="0"/>
        <v>92.98832818400274</v>
      </c>
    </row>
    <row r="10" spans="2:12" ht="12.75" customHeight="1">
      <c r="B10" s="14"/>
      <c r="C10" s="15"/>
      <c r="D10" s="15"/>
      <c r="E10" s="16">
        <v>611200</v>
      </c>
      <c r="F10" s="366" t="s">
        <v>667</v>
      </c>
      <c r="G10" s="110">
        <v>20800</v>
      </c>
      <c r="H10" s="84">
        <v>20800</v>
      </c>
      <c r="I10" s="84">
        <v>20346</v>
      </c>
      <c r="J10" s="154">
        <f t="shared" si="0"/>
        <v>97.8173076923077</v>
      </c>
      <c r="L10" s="90"/>
    </row>
    <row r="11" spans="2:12" ht="12.75" customHeight="1">
      <c r="B11" s="14"/>
      <c r="C11" s="15"/>
      <c r="D11" s="15"/>
      <c r="E11" s="16"/>
      <c r="F11" s="26"/>
      <c r="G11" s="395"/>
      <c r="H11" s="84"/>
      <c r="I11" s="84"/>
      <c r="J11" s="153">
        <f t="shared" si="0"/>
      </c>
      <c r="L11" s="83"/>
    </row>
    <row r="12" spans="2:12" ht="12.75" customHeight="1">
      <c r="B12" s="14"/>
      <c r="C12" s="15"/>
      <c r="D12" s="15"/>
      <c r="E12" s="16"/>
      <c r="F12" s="15"/>
      <c r="G12" s="45"/>
      <c r="H12" s="109"/>
      <c r="I12" s="109"/>
      <c r="J12" s="153">
        <f t="shared" si="0"/>
      </c>
      <c r="L12" s="83"/>
    </row>
    <row r="13" spans="2:13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17600</v>
      </c>
      <c r="H13" s="109">
        <f>H14</f>
        <v>17600</v>
      </c>
      <c r="I13" s="109">
        <f>I14</f>
        <v>17084</v>
      </c>
      <c r="J13" s="153">
        <f t="shared" si="0"/>
        <v>97.06818181818181</v>
      </c>
      <c r="L13" s="96"/>
      <c r="M13" s="96"/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17600</v>
      </c>
      <c r="H14" s="84">
        <v>17600</v>
      </c>
      <c r="I14" s="84">
        <v>17084</v>
      </c>
      <c r="J14" s="154">
        <f t="shared" si="0"/>
        <v>97.06818181818181</v>
      </c>
    </row>
    <row r="15" spans="2:10" ht="12.75" customHeight="1">
      <c r="B15" s="14"/>
      <c r="C15" s="15"/>
      <c r="D15" s="15"/>
      <c r="E15" s="16"/>
      <c r="F15" s="15"/>
      <c r="G15" s="45"/>
      <c r="H15" s="84"/>
      <c r="I15" s="84"/>
      <c r="J15" s="153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109"/>
      <c r="I16" s="109"/>
      <c r="J16" s="153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400400</v>
      </c>
      <c r="H17" s="51">
        <f>SUM(H18:H27)</f>
        <v>400400</v>
      </c>
      <c r="I17" s="51">
        <f>SUM(I18:I27)</f>
        <v>382021</v>
      </c>
      <c r="J17" s="153">
        <f t="shared" si="0"/>
        <v>95.40984015984016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6000</v>
      </c>
      <c r="H18" s="84">
        <v>6000</v>
      </c>
      <c r="I18" s="84">
        <v>3936</v>
      </c>
      <c r="J18" s="154">
        <f t="shared" si="0"/>
        <v>65.60000000000001</v>
      </c>
    </row>
    <row r="19" spans="2:15" ht="12.75" customHeight="1">
      <c r="B19" s="14"/>
      <c r="C19" s="15"/>
      <c r="D19" s="15"/>
      <c r="E19" s="16">
        <v>613200</v>
      </c>
      <c r="F19" s="15" t="s">
        <v>87</v>
      </c>
      <c r="G19" s="45">
        <v>104200</v>
      </c>
      <c r="H19" s="45">
        <f>104200-10500</f>
        <v>93700</v>
      </c>
      <c r="I19" s="45">
        <v>89653</v>
      </c>
      <c r="J19" s="154">
        <f t="shared" si="0"/>
        <v>95.68089647812167</v>
      </c>
      <c r="O19" s="91"/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44000</v>
      </c>
      <c r="H20" s="45">
        <v>44000</v>
      </c>
      <c r="I20" s="45">
        <v>42684</v>
      </c>
      <c r="J20" s="154">
        <f t="shared" si="0"/>
        <v>97.00909090909092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79000</v>
      </c>
      <c r="H21" s="45">
        <v>79000</v>
      </c>
      <c r="I21" s="45">
        <v>75306</v>
      </c>
      <c r="J21" s="154">
        <f t="shared" si="0"/>
        <v>95.3240506329114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41400</v>
      </c>
      <c r="H22" s="45">
        <f>41400+500</f>
        <v>41900</v>
      </c>
      <c r="I22" s="45">
        <v>41814</v>
      </c>
      <c r="J22" s="154">
        <f t="shared" si="0"/>
        <v>99.79474940334129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40000</v>
      </c>
      <c r="H24" s="45">
        <v>40000</v>
      </c>
      <c r="I24" s="45">
        <v>34198</v>
      </c>
      <c r="J24" s="154">
        <f t="shared" si="0"/>
        <v>85.495</v>
      </c>
    </row>
    <row r="25" spans="2:11" ht="12.75" customHeight="1">
      <c r="B25" s="14"/>
      <c r="C25" s="15"/>
      <c r="D25" s="15"/>
      <c r="E25" s="16">
        <v>613800</v>
      </c>
      <c r="F25" s="15" t="s">
        <v>171</v>
      </c>
      <c r="G25" s="45">
        <v>7600</v>
      </c>
      <c r="H25" s="45">
        <v>7600</v>
      </c>
      <c r="I25" s="45">
        <v>6807</v>
      </c>
      <c r="J25" s="154">
        <f t="shared" si="0"/>
        <v>89.5657894736842</v>
      </c>
      <c r="K25" s="83"/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57000</v>
      </c>
      <c r="H26" s="84">
        <f>57000+10000</f>
        <v>67000</v>
      </c>
      <c r="I26" s="84">
        <v>66475</v>
      </c>
      <c r="J26" s="154">
        <f t="shared" si="0"/>
        <v>99.21641791044776</v>
      </c>
    </row>
    <row r="27" spans="2:10" ht="12.75" customHeight="1">
      <c r="B27" s="14"/>
      <c r="C27" s="15"/>
      <c r="D27" s="15"/>
      <c r="E27" s="16">
        <v>613900</v>
      </c>
      <c r="F27" s="366" t="s">
        <v>668</v>
      </c>
      <c r="G27" s="110">
        <v>21200</v>
      </c>
      <c r="H27" s="46">
        <v>21200</v>
      </c>
      <c r="I27" s="46">
        <v>21148</v>
      </c>
      <c r="J27" s="154">
        <f t="shared" si="0"/>
        <v>99.75471698113208</v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45"/>
      <c r="I28" s="45"/>
      <c r="J28" s="153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45"/>
      <c r="I29" s="45"/>
      <c r="J29" s="153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45"/>
      <c r="I30" s="45"/>
      <c r="J30" s="153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53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53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53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45"/>
      <c r="I34" s="45"/>
      <c r="J34" s="153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20"/>
      <c r="I35" s="20"/>
      <c r="J35" s="153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82450</v>
      </c>
      <c r="H36" s="20">
        <f>SUM(H37:H38)</f>
        <v>82450</v>
      </c>
      <c r="I36" s="20">
        <f>SUM(I37:I38)</f>
        <v>79771</v>
      </c>
      <c r="J36" s="153">
        <f t="shared" si="0"/>
        <v>96.75075803517284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7450</v>
      </c>
      <c r="H37" s="84">
        <v>7450</v>
      </c>
      <c r="I37" s="84">
        <v>7416</v>
      </c>
      <c r="J37" s="154">
        <f t="shared" si="0"/>
        <v>99.54362416107384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75000</v>
      </c>
      <c r="H38" s="84">
        <v>75000</v>
      </c>
      <c r="I38" s="84">
        <v>72355</v>
      </c>
      <c r="J38" s="154">
        <f t="shared" si="0"/>
        <v>96.47333333333333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14</v>
      </c>
      <c r="H41" s="109">
        <v>14</v>
      </c>
      <c r="I41" s="109">
        <v>14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741610</v>
      </c>
      <c r="H42" s="20">
        <f>H7+H13+H17+H36</f>
        <v>741610</v>
      </c>
      <c r="I42" s="20">
        <f>I7+I13+I17+I36</f>
        <v>714403</v>
      </c>
      <c r="J42" s="153">
        <f t="shared" si="0"/>
        <v>96.33136014886531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741610</v>
      </c>
      <c r="H43" s="20">
        <f t="shared" si="1"/>
        <v>741610</v>
      </c>
      <c r="I43" s="20">
        <f t="shared" si="1"/>
        <v>714403</v>
      </c>
      <c r="J43" s="153">
        <f t="shared" si="0"/>
        <v>96.33136014886531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741610</v>
      </c>
      <c r="H44" s="20">
        <f t="shared" si="1"/>
        <v>741610</v>
      </c>
      <c r="I44" s="20">
        <f t="shared" si="1"/>
        <v>714403</v>
      </c>
      <c r="J44" s="153">
        <f t="shared" si="0"/>
        <v>96.33136014886531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B2:L52"/>
  <sheetViews>
    <sheetView workbookViewId="0" topLeftCell="C13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50" t="s">
        <v>133</v>
      </c>
      <c r="C2" s="450"/>
      <c r="D2" s="450"/>
      <c r="E2" s="450"/>
      <c r="F2" s="450"/>
      <c r="G2" s="450"/>
      <c r="H2" s="450"/>
      <c r="I2" s="450"/>
      <c r="J2" s="147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134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4498140</v>
      </c>
      <c r="H7" s="109">
        <f>SUM(H8:H11)</f>
        <v>4498140</v>
      </c>
      <c r="I7" s="109">
        <f>SUM(I8:I11)</f>
        <v>4476030</v>
      </c>
      <c r="J7" s="153">
        <f aca="true" t="shared" si="0" ref="J7:J44">IF(H7=0,"",I7/H7*100)</f>
        <v>99.50846349824594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3477300</v>
      </c>
      <c r="H8" s="84">
        <v>3477300</v>
      </c>
      <c r="I8" s="84">
        <v>3468090</v>
      </c>
      <c r="J8" s="154">
        <f t="shared" si="0"/>
        <v>99.73513933224054</v>
      </c>
      <c r="K8" s="112"/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5">
        <v>987340</v>
      </c>
      <c r="H9" s="84">
        <f>939100+201*240</f>
        <v>987340</v>
      </c>
      <c r="I9" s="84">
        <v>974892</v>
      </c>
      <c r="J9" s="154">
        <f t="shared" si="0"/>
        <v>98.73923876273624</v>
      </c>
      <c r="K9" s="113"/>
    </row>
    <row r="10" spans="2:12" ht="12.75" customHeight="1">
      <c r="B10" s="14"/>
      <c r="C10" s="15"/>
      <c r="D10" s="15"/>
      <c r="E10" s="16">
        <v>611200</v>
      </c>
      <c r="F10" s="366" t="s">
        <v>705</v>
      </c>
      <c r="G10" s="110">
        <v>33500</v>
      </c>
      <c r="H10" s="84">
        <v>33500</v>
      </c>
      <c r="I10" s="84">
        <v>33048</v>
      </c>
      <c r="J10" s="154">
        <f t="shared" si="0"/>
        <v>98.65074626865672</v>
      </c>
      <c r="L10" s="90"/>
    </row>
    <row r="11" spans="2:11" ht="12.75" customHeight="1">
      <c r="B11" s="14"/>
      <c r="C11" s="15"/>
      <c r="D11" s="15"/>
      <c r="E11" s="16"/>
      <c r="F11" s="26"/>
      <c r="G11" s="395"/>
      <c r="H11" s="84"/>
      <c r="I11" s="84"/>
      <c r="J11" s="154">
        <f t="shared" si="0"/>
      </c>
      <c r="K11" s="113"/>
    </row>
    <row r="12" spans="2:11" ht="12.75" customHeight="1">
      <c r="B12" s="14"/>
      <c r="C12" s="15"/>
      <c r="D12" s="15"/>
      <c r="E12" s="16"/>
      <c r="F12" s="15"/>
      <c r="G12" s="45"/>
      <c r="H12" s="109"/>
      <c r="I12" s="109"/>
      <c r="J12" s="154">
        <f t="shared" si="0"/>
      </c>
      <c r="K12" s="113"/>
    </row>
    <row r="13" spans="2:11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539100</v>
      </c>
      <c r="H13" s="109">
        <f>H14</f>
        <v>539100</v>
      </c>
      <c r="I13" s="109">
        <f>I14</f>
        <v>537427</v>
      </c>
      <c r="J13" s="153">
        <f t="shared" si="0"/>
        <v>99.68966796512706</v>
      </c>
      <c r="K13" s="114"/>
    </row>
    <row r="14" spans="2:11" ht="12.75" customHeight="1">
      <c r="B14" s="14"/>
      <c r="C14" s="15"/>
      <c r="D14" s="15"/>
      <c r="E14" s="16">
        <v>612100</v>
      </c>
      <c r="F14" s="18" t="s">
        <v>85</v>
      </c>
      <c r="G14" s="46">
        <v>539100</v>
      </c>
      <c r="H14" s="84">
        <v>539100</v>
      </c>
      <c r="I14" s="84">
        <v>537427</v>
      </c>
      <c r="J14" s="154">
        <f t="shared" si="0"/>
        <v>99.68966796512706</v>
      </c>
      <c r="K14" s="112"/>
    </row>
    <row r="15" spans="2:11" ht="12.75" customHeight="1">
      <c r="B15" s="14"/>
      <c r="C15" s="15"/>
      <c r="D15" s="15"/>
      <c r="E15" s="16"/>
      <c r="F15" s="26"/>
      <c r="G15" s="395"/>
      <c r="H15" s="84"/>
      <c r="I15" s="84"/>
      <c r="J15" s="154">
        <f t="shared" si="0"/>
      </c>
      <c r="K15" s="113"/>
    </row>
    <row r="16" spans="2:10" ht="12.75" customHeight="1">
      <c r="B16" s="14"/>
      <c r="C16" s="15"/>
      <c r="D16" s="15"/>
      <c r="E16" s="16"/>
      <c r="F16" s="15"/>
      <c r="G16" s="45"/>
      <c r="H16" s="109"/>
      <c r="I16" s="109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757000</v>
      </c>
      <c r="H17" s="109">
        <f>SUM(H18:H27)</f>
        <v>757000</v>
      </c>
      <c r="I17" s="109">
        <f>SUM(I18:I27)</f>
        <v>706487</v>
      </c>
      <c r="J17" s="153">
        <f t="shared" si="0"/>
        <v>93.32721268163804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14500</v>
      </c>
      <c r="H18" s="84">
        <v>14500</v>
      </c>
      <c r="I18" s="84">
        <v>14436</v>
      </c>
      <c r="J18" s="154">
        <f t="shared" si="0"/>
        <v>99.55862068965517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100000</v>
      </c>
      <c r="H19" s="84">
        <v>93000</v>
      </c>
      <c r="I19" s="84">
        <v>77204</v>
      </c>
      <c r="J19" s="154">
        <f t="shared" si="0"/>
        <v>83.01505376344086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95000</v>
      </c>
      <c r="H20" s="84">
        <v>95000</v>
      </c>
      <c r="I20" s="84">
        <v>80672</v>
      </c>
      <c r="J20" s="154">
        <f t="shared" si="0"/>
        <v>84.9178947368421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163000</v>
      </c>
      <c r="H21" s="84">
        <v>163000</v>
      </c>
      <c r="I21" s="84">
        <v>162604</v>
      </c>
      <c r="J21" s="154">
        <f t="shared" si="0"/>
        <v>99.75705521472392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95000</v>
      </c>
      <c r="H22" s="84">
        <v>95000</v>
      </c>
      <c r="I22" s="84">
        <v>86196</v>
      </c>
      <c r="J22" s="154">
        <f t="shared" si="0"/>
        <v>90.73263157894736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27000</v>
      </c>
      <c r="H23" s="84">
        <v>27000</v>
      </c>
      <c r="I23" s="84">
        <v>24765</v>
      </c>
      <c r="J23" s="154">
        <f t="shared" si="0"/>
        <v>91.72222222222223</v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92000</v>
      </c>
      <c r="H24" s="84">
        <v>97000</v>
      </c>
      <c r="I24" s="84">
        <v>96071</v>
      </c>
      <c r="J24" s="154">
        <f t="shared" si="0"/>
        <v>99.04226804123711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16000</v>
      </c>
      <c r="H25" s="84">
        <v>18000</v>
      </c>
      <c r="I25" s="84">
        <v>17403</v>
      </c>
      <c r="J25" s="154">
        <f t="shared" si="0"/>
        <v>96.68333333333334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120000</v>
      </c>
      <c r="H26" s="84">
        <v>120000</v>
      </c>
      <c r="I26" s="84">
        <v>112761</v>
      </c>
      <c r="J26" s="154">
        <f t="shared" si="0"/>
        <v>93.9675</v>
      </c>
    </row>
    <row r="27" spans="2:11" ht="12.75" customHeight="1">
      <c r="B27" s="14"/>
      <c r="C27" s="15"/>
      <c r="D27" s="15"/>
      <c r="E27" s="16">
        <v>613900</v>
      </c>
      <c r="F27" s="366" t="s">
        <v>706</v>
      </c>
      <c r="G27" s="110">
        <v>34500</v>
      </c>
      <c r="H27" s="118">
        <v>34500</v>
      </c>
      <c r="I27" s="118">
        <v>34375</v>
      </c>
      <c r="J27" s="154">
        <f t="shared" si="0"/>
        <v>99.63768115942028</v>
      </c>
      <c r="K27" s="91"/>
    </row>
    <row r="28" spans="2:10" s="1" customFormat="1" ht="12.75" customHeight="1">
      <c r="B28" s="17"/>
      <c r="C28" s="12"/>
      <c r="D28" s="12"/>
      <c r="E28" s="61"/>
      <c r="F28" s="12"/>
      <c r="G28" s="20"/>
      <c r="H28" s="84"/>
      <c r="I28" s="84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84"/>
      <c r="I29" s="84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84"/>
      <c r="I30" s="84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84"/>
      <c r="I33" s="84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84"/>
      <c r="I34" s="84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250000</v>
      </c>
      <c r="H36" s="109">
        <f>SUM(H37:H38)</f>
        <v>250000</v>
      </c>
      <c r="I36" s="109">
        <f>SUM(I37:I38)</f>
        <v>247556</v>
      </c>
      <c r="J36" s="153">
        <f t="shared" si="0"/>
        <v>99.0224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250000</v>
      </c>
      <c r="H38" s="84">
        <v>250000</v>
      </c>
      <c r="I38" s="84">
        <v>247556</v>
      </c>
      <c r="J38" s="154">
        <f t="shared" si="0"/>
        <v>99.0224</v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201</v>
      </c>
      <c r="H41" s="109">
        <v>201</v>
      </c>
      <c r="I41" s="109">
        <v>201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6044240</v>
      </c>
      <c r="H42" s="20">
        <f>H7+H13+H17+H36</f>
        <v>6044240</v>
      </c>
      <c r="I42" s="20">
        <f>I7+I13+I17+I36</f>
        <v>5967500</v>
      </c>
      <c r="J42" s="153">
        <f t="shared" si="0"/>
        <v>98.73036146810848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6044240</v>
      </c>
      <c r="H43" s="20">
        <f t="shared" si="1"/>
        <v>6044240</v>
      </c>
      <c r="I43" s="20">
        <f t="shared" si="1"/>
        <v>5967500</v>
      </c>
      <c r="J43" s="153">
        <f t="shared" si="0"/>
        <v>98.73036146810848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6044240</v>
      </c>
      <c r="H44" s="20">
        <f t="shared" si="1"/>
        <v>6044240</v>
      </c>
      <c r="I44" s="20">
        <f t="shared" si="1"/>
        <v>5967500</v>
      </c>
      <c r="J44" s="153">
        <f t="shared" si="0"/>
        <v>98.73036146810848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L45"/>
  <sheetViews>
    <sheetView workbookViewId="0" topLeftCell="A10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135</v>
      </c>
      <c r="C2" s="452"/>
      <c r="D2" s="452"/>
      <c r="E2" s="452"/>
      <c r="F2" s="452"/>
      <c r="G2" s="452"/>
      <c r="H2" s="452"/>
      <c r="I2" s="290"/>
      <c r="J2" s="291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136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66470</v>
      </c>
      <c r="H7" s="20">
        <f>SUM(H8:H11)</f>
        <v>66470</v>
      </c>
      <c r="I7" s="20">
        <f>SUM(I8:I11)</f>
        <v>65638</v>
      </c>
      <c r="J7" s="153">
        <f aca="true" t="shared" si="0" ref="J7:J42">IF(H7=0,"",I7/H7*100)</f>
        <v>98.74830750714608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395">
        <v>55100</v>
      </c>
      <c r="H8" s="46">
        <v>55100</v>
      </c>
      <c r="I8" s="46">
        <v>54434</v>
      </c>
      <c r="J8" s="154">
        <f t="shared" si="0"/>
        <v>98.7912885662432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5">
        <v>10770</v>
      </c>
      <c r="H9" s="46">
        <f>9200+850+3*240</f>
        <v>10770</v>
      </c>
      <c r="I9" s="46">
        <v>10606</v>
      </c>
      <c r="J9" s="154">
        <f t="shared" si="0"/>
        <v>98.47725162488393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110">
        <v>600</v>
      </c>
      <c r="H10" s="84">
        <v>600</v>
      </c>
      <c r="I10" s="84">
        <v>598</v>
      </c>
      <c r="J10" s="154">
        <f t="shared" si="0"/>
        <v>99.66666666666667</v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6200</v>
      </c>
      <c r="H13" s="20">
        <f>H14</f>
        <v>6200</v>
      </c>
      <c r="I13" s="20">
        <f>I14</f>
        <v>5755</v>
      </c>
      <c r="J13" s="153">
        <f t="shared" si="0"/>
        <v>92.8225806451613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6200</v>
      </c>
      <c r="H14" s="46">
        <v>6200</v>
      </c>
      <c r="I14" s="46">
        <v>5755</v>
      </c>
      <c r="J14" s="154">
        <f t="shared" si="0"/>
        <v>92.8225806451613</v>
      </c>
    </row>
    <row r="15" spans="2:10" ht="12.75" customHeight="1">
      <c r="B15" s="14"/>
      <c r="C15" s="15"/>
      <c r="D15" s="15"/>
      <c r="E15" s="16"/>
      <c r="F15" s="15"/>
      <c r="G15" s="45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47210</v>
      </c>
      <c r="H17" s="51">
        <f>SUM(H18:H27)</f>
        <v>47210</v>
      </c>
      <c r="I17" s="51">
        <f>SUM(I18:I27)</f>
        <v>47001</v>
      </c>
      <c r="J17" s="153">
        <f t="shared" si="0"/>
        <v>99.55729718280026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4000</v>
      </c>
      <c r="H18" s="45">
        <f>4000-1680</f>
        <v>2320</v>
      </c>
      <c r="I18" s="45">
        <v>2317</v>
      </c>
      <c r="J18" s="154">
        <f t="shared" si="0"/>
        <v>99.87068965517241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3000</v>
      </c>
      <c r="H20" s="45">
        <f>3000+130</f>
        <v>3130</v>
      </c>
      <c r="I20" s="45">
        <v>2988</v>
      </c>
      <c r="J20" s="154">
        <f t="shared" si="0"/>
        <v>95.4632587859425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800</v>
      </c>
      <c r="H21" s="45">
        <f>800+160</f>
        <v>960</v>
      </c>
      <c r="I21" s="45">
        <v>958</v>
      </c>
      <c r="J21" s="154">
        <f t="shared" si="0"/>
        <v>99.79166666666667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2800</v>
      </c>
      <c r="H24" s="45">
        <v>2800</v>
      </c>
      <c r="I24" s="45">
        <v>2793</v>
      </c>
      <c r="J24" s="154">
        <f t="shared" si="0"/>
        <v>99.75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36000</v>
      </c>
      <c r="H26" s="84">
        <f>36000+1390</f>
        <v>37390</v>
      </c>
      <c r="I26" s="84">
        <v>37343</v>
      </c>
      <c r="J26" s="154">
        <f t="shared" si="0"/>
        <v>99.87429794062584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0">
        <v>610</v>
      </c>
      <c r="H27" s="170">
        <v>610</v>
      </c>
      <c r="I27" s="170">
        <v>602</v>
      </c>
      <c r="J27" s="154">
        <f t="shared" si="0"/>
        <v>98.68852459016394</v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46"/>
      <c r="I28" s="46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46"/>
      <c r="I29" s="46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46"/>
      <c r="I30" s="46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2000</v>
      </c>
      <c r="H36" s="20">
        <f>SUM(H37:H38)</f>
        <v>2000</v>
      </c>
      <c r="I36" s="20">
        <f>SUM(I37:I38)</f>
        <v>1990</v>
      </c>
      <c r="J36" s="153">
        <f t="shared" si="0"/>
        <v>99.5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46">
        <v>0</v>
      </c>
      <c r="I37" s="46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2000</v>
      </c>
      <c r="H38" s="46">
        <v>2000</v>
      </c>
      <c r="I38" s="46">
        <v>1990</v>
      </c>
      <c r="J38" s="154">
        <f t="shared" si="0"/>
        <v>99.5</v>
      </c>
    </row>
    <row r="39" spans="2:10" ht="12.75" customHeight="1">
      <c r="B39" s="14"/>
      <c r="C39" s="15"/>
      <c r="D39" s="15"/>
      <c r="E39" s="16"/>
      <c r="F39" s="15"/>
      <c r="G39" s="45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20">
        <v>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121880</v>
      </c>
      <c r="H42" s="20">
        <f>H7+H13+H17+H36</f>
        <v>121880</v>
      </c>
      <c r="I42" s="20">
        <f>I7+I13+I17+I36</f>
        <v>120384</v>
      </c>
      <c r="J42" s="153">
        <f t="shared" si="0"/>
        <v>98.77256317689532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N53"/>
  <sheetViews>
    <sheetView workbookViewId="0" topLeftCell="A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201</v>
      </c>
      <c r="C2" s="452"/>
      <c r="D2" s="452"/>
      <c r="E2" s="452"/>
      <c r="F2" s="452"/>
      <c r="G2" s="452"/>
      <c r="H2" s="452"/>
      <c r="I2" s="290"/>
      <c r="J2" s="291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136</v>
      </c>
      <c r="C6" s="11" t="s">
        <v>137</v>
      </c>
      <c r="D6" s="11" t="s">
        <v>129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1158500</v>
      </c>
      <c r="H7" s="20">
        <f>SUM(H8:H11)</f>
        <v>1158500</v>
      </c>
      <c r="I7" s="20">
        <f>SUM(I8:I11)</f>
        <v>1142514</v>
      </c>
      <c r="J7" s="153">
        <f aca="true" t="shared" si="0" ref="J7:J43">IF(H7=0,"",I7/H7*100)</f>
        <v>98.62011221406992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395">
        <v>936500</v>
      </c>
      <c r="H8" s="118">
        <v>936500</v>
      </c>
      <c r="I8" s="118">
        <v>931236</v>
      </c>
      <c r="J8" s="154">
        <f t="shared" si="0"/>
        <v>99.43790710090764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5">
        <v>206100</v>
      </c>
      <c r="H9" s="118">
        <f>195300+45*240</f>
        <v>206100</v>
      </c>
      <c r="I9" s="118">
        <v>195637</v>
      </c>
      <c r="J9" s="154">
        <f t="shared" si="0"/>
        <v>94.92333818534692</v>
      </c>
    </row>
    <row r="10" spans="2:12" ht="12.75" customHeight="1">
      <c r="B10" s="14"/>
      <c r="C10" s="15"/>
      <c r="D10" s="15"/>
      <c r="E10" s="16">
        <v>611200</v>
      </c>
      <c r="F10" s="366" t="s">
        <v>673</v>
      </c>
      <c r="G10" s="110">
        <v>15900</v>
      </c>
      <c r="H10" s="84">
        <v>15900</v>
      </c>
      <c r="I10" s="84">
        <v>15641</v>
      </c>
      <c r="J10" s="154">
        <f t="shared" si="0"/>
        <v>98.37106918238993</v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99900</v>
      </c>
      <c r="H13" s="20">
        <f>H14</f>
        <v>99900</v>
      </c>
      <c r="I13" s="20">
        <f>I14</f>
        <v>99041</v>
      </c>
      <c r="J13" s="153">
        <f t="shared" si="0"/>
        <v>99.14014014014015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99900</v>
      </c>
      <c r="H14" s="118">
        <v>99900</v>
      </c>
      <c r="I14" s="118">
        <v>99041</v>
      </c>
      <c r="J14" s="154">
        <f t="shared" si="0"/>
        <v>99.14014014014015</v>
      </c>
    </row>
    <row r="15" spans="2:14" ht="12.75" customHeight="1">
      <c r="B15" s="14"/>
      <c r="C15" s="15"/>
      <c r="D15" s="15"/>
      <c r="E15" s="16"/>
      <c r="F15" s="15"/>
      <c r="G15" s="45"/>
      <c r="H15" s="46"/>
      <c r="I15" s="46"/>
      <c r="J15" s="154">
        <f t="shared" si="0"/>
      </c>
      <c r="N15" s="91"/>
    </row>
    <row r="16" spans="2:10" ht="12.75" customHeight="1">
      <c r="B16" s="14"/>
      <c r="C16" s="15"/>
      <c r="D16" s="15"/>
      <c r="E16" s="16"/>
      <c r="F16" s="15"/>
      <c r="G16" s="45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357200</v>
      </c>
      <c r="H17" s="51">
        <f>SUM(H18:H27)</f>
        <v>357200</v>
      </c>
      <c r="I17" s="51">
        <f>SUM(I18:I27)</f>
        <v>333380</v>
      </c>
      <c r="J17" s="153">
        <f t="shared" si="0"/>
        <v>93.33146696528556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6300</v>
      </c>
      <c r="H18" s="46">
        <v>6300</v>
      </c>
      <c r="I18" s="46">
        <v>5314</v>
      </c>
      <c r="J18" s="154">
        <f t="shared" si="0"/>
        <v>84.34920634920636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16000</v>
      </c>
      <c r="H19" s="46">
        <v>16000</v>
      </c>
      <c r="I19" s="46">
        <v>15884</v>
      </c>
      <c r="J19" s="154">
        <f t="shared" si="0"/>
        <v>99.275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132000</v>
      </c>
      <c r="H20" s="46">
        <v>132000</v>
      </c>
      <c r="I20" s="46">
        <v>125476</v>
      </c>
      <c r="J20" s="154">
        <f t="shared" si="0"/>
        <v>95.05757575757576</v>
      </c>
    </row>
    <row r="21" spans="2:11" ht="12.75" customHeight="1">
      <c r="B21" s="14"/>
      <c r="C21" s="15"/>
      <c r="D21" s="15"/>
      <c r="E21" s="16">
        <v>613400</v>
      </c>
      <c r="F21" s="15" t="s">
        <v>170</v>
      </c>
      <c r="G21" s="45">
        <v>31000</v>
      </c>
      <c r="H21" s="118">
        <v>31000</v>
      </c>
      <c r="I21" s="118">
        <v>29696</v>
      </c>
      <c r="J21" s="154">
        <f t="shared" si="0"/>
        <v>95.79354838709678</v>
      </c>
      <c r="K21" s="83"/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11100</v>
      </c>
      <c r="H22" s="46">
        <f>11100+200</f>
        <v>11300</v>
      </c>
      <c r="I22" s="46">
        <v>11252</v>
      </c>
      <c r="J22" s="154">
        <f t="shared" si="0"/>
        <v>99.57522123893806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17000</v>
      </c>
      <c r="H24" s="118">
        <v>17000</v>
      </c>
      <c r="I24" s="118">
        <v>15769</v>
      </c>
      <c r="J24" s="154">
        <f t="shared" si="0"/>
        <v>92.75882352941176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4000</v>
      </c>
      <c r="H25" s="118">
        <v>4000</v>
      </c>
      <c r="I25" s="118">
        <v>2122</v>
      </c>
      <c r="J25" s="154">
        <f t="shared" si="0"/>
        <v>53.05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45">
        <v>125000</v>
      </c>
      <c r="H26" s="118">
        <f>125000-200</f>
        <v>124800</v>
      </c>
      <c r="I26" s="118">
        <v>113097</v>
      </c>
      <c r="J26" s="154">
        <f t="shared" si="0"/>
        <v>90.62259615384616</v>
      </c>
      <c r="K26" s="108"/>
    </row>
    <row r="27" spans="2:10" ht="12.75" customHeight="1">
      <c r="B27" s="14"/>
      <c r="C27" s="15"/>
      <c r="D27" s="15"/>
      <c r="E27" s="16">
        <v>613900</v>
      </c>
      <c r="F27" s="366" t="s">
        <v>674</v>
      </c>
      <c r="G27" s="110">
        <v>14800</v>
      </c>
      <c r="H27" s="118">
        <v>14800</v>
      </c>
      <c r="I27" s="118">
        <v>14770</v>
      </c>
      <c r="J27" s="154">
        <f t="shared" si="0"/>
        <v>99.79729729729729</v>
      </c>
    </row>
    <row r="28" spans="2:10" s="1" customFormat="1" ht="12.75" customHeight="1">
      <c r="B28" s="17"/>
      <c r="C28" s="12"/>
      <c r="D28" s="12"/>
      <c r="E28" s="61"/>
      <c r="F28" s="12"/>
      <c r="G28" s="20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396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5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G37+G38</f>
        <v>17000</v>
      </c>
      <c r="H36" s="109">
        <f>H37+H38</f>
        <v>17000</v>
      </c>
      <c r="I36" s="109">
        <f>I37+I38</f>
        <v>14348</v>
      </c>
      <c r="J36" s="153">
        <f t="shared" si="0"/>
        <v>84.39999999999999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12000</v>
      </c>
      <c r="H37" s="118">
        <v>12000</v>
      </c>
      <c r="I37" s="118">
        <v>9641</v>
      </c>
      <c r="J37" s="154">
        <f t="shared" si="0"/>
        <v>80.34166666666667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5000</v>
      </c>
      <c r="H38" s="118">
        <v>5000</v>
      </c>
      <c r="I38" s="118">
        <v>4707</v>
      </c>
      <c r="J38" s="154">
        <f t="shared" si="0"/>
        <v>94.14</v>
      </c>
    </row>
    <row r="39" spans="2:10" ht="12.75" customHeight="1">
      <c r="B39" s="14"/>
      <c r="C39" s="15"/>
      <c r="D39" s="15"/>
      <c r="E39" s="16"/>
      <c r="F39" s="15"/>
      <c r="G39" s="45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46</v>
      </c>
      <c r="H41" s="135">
        <v>46</v>
      </c>
      <c r="I41" s="135">
        <v>45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1632600</v>
      </c>
      <c r="H42" s="20">
        <f>H7+H13+H17+H36</f>
        <v>1632600</v>
      </c>
      <c r="I42" s="20">
        <f>I7+I13+I17+I36</f>
        <v>1589283</v>
      </c>
      <c r="J42" s="153">
        <f t="shared" si="0"/>
        <v>97.34674751929437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1632600</v>
      </c>
      <c r="H43" s="20">
        <f>H42</f>
        <v>1632600</v>
      </c>
      <c r="I43" s="20">
        <f>I42</f>
        <v>1589283</v>
      </c>
      <c r="J43" s="153">
        <f t="shared" si="0"/>
        <v>97.34674751929437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6" ht="12.75">
      <c r="J46" s="289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2:L48"/>
  <sheetViews>
    <sheetView workbookViewId="0" topLeftCell="A13">
      <selection activeCell="K86" sqref="K8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226</v>
      </c>
      <c r="C2" s="452"/>
      <c r="D2" s="452"/>
      <c r="E2" s="452"/>
      <c r="F2" s="452"/>
      <c r="G2" s="452"/>
      <c r="H2" s="452"/>
      <c r="I2" s="290"/>
      <c r="J2" s="291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136</v>
      </c>
      <c r="C6" s="11" t="s">
        <v>138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33740</v>
      </c>
      <c r="H7" s="20">
        <f>SUM(H8:H11)</f>
        <v>33740</v>
      </c>
      <c r="I7" s="20">
        <f>SUM(I8:I11)</f>
        <v>33024</v>
      </c>
      <c r="J7" s="153">
        <f aca="true" t="shared" si="0" ref="J7:J43">IF(H7=0,"",I7/H7*100)</f>
        <v>97.87788974510966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26400</v>
      </c>
      <c r="H8" s="118">
        <v>26400</v>
      </c>
      <c r="I8" s="118">
        <v>26078</v>
      </c>
      <c r="J8" s="154">
        <f t="shared" si="0"/>
        <v>98.78030303030303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4100+240</f>
        <v>4340</v>
      </c>
      <c r="H9" s="118">
        <f>4100+240</f>
        <v>4340</v>
      </c>
      <c r="I9" s="118">
        <v>4042</v>
      </c>
      <c r="J9" s="154">
        <f t="shared" si="0"/>
        <v>93.13364055299539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3000</v>
      </c>
      <c r="H10" s="84">
        <v>3000</v>
      </c>
      <c r="I10" s="84">
        <v>2904</v>
      </c>
      <c r="J10" s="154">
        <f t="shared" si="0"/>
        <v>96.8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3000</v>
      </c>
      <c r="H13" s="20">
        <f>H14</f>
        <v>3000</v>
      </c>
      <c r="I13" s="20">
        <f>I14</f>
        <v>2751</v>
      </c>
      <c r="J13" s="153">
        <f t="shared" si="0"/>
        <v>91.7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3000</v>
      </c>
      <c r="H14" s="118">
        <v>3000</v>
      </c>
      <c r="I14" s="118">
        <v>2751</v>
      </c>
      <c r="J14" s="154">
        <f t="shared" si="0"/>
        <v>91.7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6550</v>
      </c>
      <c r="H17" s="51">
        <f>SUM(H18:H27)</f>
        <v>6550</v>
      </c>
      <c r="I17" s="51">
        <f>SUM(I18:I27)</f>
        <v>5881</v>
      </c>
      <c r="J17" s="153">
        <f t="shared" si="0"/>
        <v>89.78625954198473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200</v>
      </c>
      <c r="H18" s="46">
        <v>200</v>
      </c>
      <c r="I18" s="46">
        <v>0</v>
      </c>
      <c r="J18" s="154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0</v>
      </c>
      <c r="H19" s="46">
        <v>0</v>
      </c>
      <c r="I19" s="46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850</v>
      </c>
      <c r="H20" s="46">
        <v>850</v>
      </c>
      <c r="I20" s="46">
        <v>746</v>
      </c>
      <c r="J20" s="154">
        <f t="shared" si="0"/>
        <v>87.76470588235294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500</v>
      </c>
      <c r="H21" s="46">
        <v>500</v>
      </c>
      <c r="I21" s="46">
        <v>163</v>
      </c>
      <c r="J21" s="154">
        <f t="shared" si="0"/>
        <v>32.6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0</v>
      </c>
      <c r="H22" s="46">
        <v>0</v>
      </c>
      <c r="I22" s="46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6">
        <v>0</v>
      </c>
      <c r="H24" s="46">
        <v>0</v>
      </c>
      <c r="I24" s="46">
        <v>0</v>
      </c>
      <c r="J24" s="154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6">
        <v>0</v>
      </c>
      <c r="H25" s="46">
        <v>0</v>
      </c>
      <c r="I25" s="46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6">
        <v>1700</v>
      </c>
      <c r="H26" s="46">
        <f>1700-20</f>
        <v>1680</v>
      </c>
      <c r="I26" s="46">
        <v>1660</v>
      </c>
      <c r="J26" s="154">
        <f t="shared" si="0"/>
        <v>98.80952380952381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46">
        <v>3300</v>
      </c>
      <c r="H27" s="46">
        <f>3300+20</f>
        <v>3320</v>
      </c>
      <c r="I27" s="46">
        <v>3312</v>
      </c>
      <c r="J27" s="154">
        <f t="shared" si="0"/>
        <v>99.75903614457832</v>
      </c>
    </row>
    <row r="28" spans="2:10" s="1" customFormat="1" ht="12.75" customHeight="1">
      <c r="B28" s="17"/>
      <c r="C28" s="12"/>
      <c r="D28" s="12"/>
      <c r="E28" s="61"/>
      <c r="F28" s="12"/>
      <c r="G28" s="46"/>
      <c r="H28" s="46"/>
      <c r="I28" s="46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46"/>
      <c r="H29" s="46"/>
      <c r="I29" s="46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6"/>
      <c r="H30" s="46"/>
      <c r="I30" s="46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500</v>
      </c>
      <c r="H36" s="20">
        <f>SUM(H37:H38)</f>
        <v>500</v>
      </c>
      <c r="I36" s="20">
        <f>SUM(I37:I38)</f>
        <v>437</v>
      </c>
      <c r="J36" s="153">
        <f t="shared" si="0"/>
        <v>87.4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6">
        <v>0</v>
      </c>
      <c r="H37" s="46">
        <v>0</v>
      </c>
      <c r="I37" s="46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6">
        <v>500</v>
      </c>
      <c r="H38" s="46">
        <v>500</v>
      </c>
      <c r="I38" s="46">
        <v>437</v>
      </c>
      <c r="J38" s="154">
        <f t="shared" si="0"/>
        <v>87.4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109">
        <v>1</v>
      </c>
      <c r="H41" s="109">
        <v>1</v>
      </c>
      <c r="I41" s="109">
        <v>1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43790</v>
      </c>
      <c r="H42" s="20">
        <f>H7+H13+H17+H36</f>
        <v>43790</v>
      </c>
      <c r="I42" s="20">
        <f>I7+I13+I17+I36</f>
        <v>42093</v>
      </c>
      <c r="J42" s="153">
        <f t="shared" si="0"/>
        <v>96.12468600137018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43790</v>
      </c>
      <c r="H43" s="20">
        <f>H42</f>
        <v>43790</v>
      </c>
      <c r="I43" s="20">
        <f>I42</f>
        <v>42093</v>
      </c>
      <c r="J43" s="153">
        <f t="shared" si="0"/>
        <v>96.12468600137018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B2:M47"/>
  <sheetViews>
    <sheetView workbookViewId="0" topLeftCell="C13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225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136</v>
      </c>
      <c r="C6" s="11" t="s">
        <v>138</v>
      </c>
      <c r="D6" s="11" t="s">
        <v>122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29340</v>
      </c>
      <c r="H7" s="20">
        <f>SUM(H8:H11)</f>
        <v>29340</v>
      </c>
      <c r="I7" s="20">
        <f>SUM(I8:I11)</f>
        <v>28435</v>
      </c>
      <c r="J7" s="153">
        <f aca="true" t="shared" si="0" ref="J7:J44">IF(H7=0,"",I7/H7*100)</f>
        <v>96.91547375596456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v>21800</v>
      </c>
      <c r="H8" s="46">
        <v>21800</v>
      </c>
      <c r="I8" s="46">
        <v>21082</v>
      </c>
      <c r="J8" s="154">
        <f t="shared" si="0"/>
        <v>96.70642201834863</v>
      </c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6">
        <v>4140</v>
      </c>
      <c r="H9" s="46">
        <f>3900+240-90</f>
        <v>4050</v>
      </c>
      <c r="I9" s="46">
        <v>3867</v>
      </c>
      <c r="J9" s="154">
        <f t="shared" si="0"/>
        <v>95.48148148148148</v>
      </c>
      <c r="K9" s="91"/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3400</v>
      </c>
      <c r="H10" s="84">
        <f>3400+90</f>
        <v>3490</v>
      </c>
      <c r="I10" s="84">
        <v>3486</v>
      </c>
      <c r="J10" s="154">
        <f t="shared" si="0"/>
        <v>99.88538681948424</v>
      </c>
      <c r="K10" s="91"/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2500</v>
      </c>
      <c r="H13" s="20">
        <f>H14</f>
        <v>2500</v>
      </c>
      <c r="I13" s="20">
        <f>I14</f>
        <v>2228</v>
      </c>
      <c r="J13" s="153">
        <f t="shared" si="0"/>
        <v>89.12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2500</v>
      </c>
      <c r="H14" s="46">
        <v>2500</v>
      </c>
      <c r="I14" s="46">
        <v>2228</v>
      </c>
      <c r="J14" s="154">
        <f t="shared" si="0"/>
        <v>89.12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5100</v>
      </c>
      <c r="H17" s="51">
        <f>SUM(H18:H27)</f>
        <v>5100</v>
      </c>
      <c r="I17" s="51">
        <f>SUM(I18:I27)</f>
        <v>4588</v>
      </c>
      <c r="J17" s="153">
        <f t="shared" si="0"/>
        <v>89.9607843137255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200</v>
      </c>
      <c r="H18" s="46">
        <v>200</v>
      </c>
      <c r="I18" s="46">
        <v>0</v>
      </c>
      <c r="J18" s="154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0</v>
      </c>
      <c r="H19" s="46">
        <v>0</v>
      </c>
      <c r="I19" s="46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800</v>
      </c>
      <c r="H20" s="46">
        <v>800</v>
      </c>
      <c r="I20" s="46">
        <v>684</v>
      </c>
      <c r="J20" s="154">
        <f t="shared" si="0"/>
        <v>85.5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300</v>
      </c>
      <c r="H21" s="46">
        <v>300</v>
      </c>
      <c r="I21" s="46">
        <v>107</v>
      </c>
      <c r="J21" s="154">
        <f t="shared" si="0"/>
        <v>35.66666666666667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0</v>
      </c>
      <c r="H22" s="46">
        <v>0</v>
      </c>
      <c r="I22" s="46">
        <v>0</v>
      </c>
      <c r="J22" s="154">
        <f t="shared" si="0"/>
      </c>
    </row>
    <row r="23" spans="2:13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  <c r="K23" s="113"/>
      <c r="L23" s="113"/>
      <c r="M23" s="113"/>
    </row>
    <row r="24" spans="2:13" ht="12.75" customHeight="1">
      <c r="B24" s="14"/>
      <c r="C24" s="15"/>
      <c r="D24" s="15"/>
      <c r="E24" s="16">
        <v>613700</v>
      </c>
      <c r="F24" s="15" t="s">
        <v>89</v>
      </c>
      <c r="G24" s="46">
        <v>0</v>
      </c>
      <c r="H24" s="46">
        <v>0</v>
      </c>
      <c r="I24" s="46">
        <v>0</v>
      </c>
      <c r="J24" s="154">
        <f t="shared" si="0"/>
      </c>
      <c r="K24" s="113"/>
      <c r="L24" s="113"/>
      <c r="M24" s="113"/>
    </row>
    <row r="25" spans="2:13" ht="12.75" customHeight="1">
      <c r="B25" s="14"/>
      <c r="C25" s="15"/>
      <c r="D25" s="15"/>
      <c r="E25" s="16">
        <v>613800</v>
      </c>
      <c r="F25" s="15" t="s">
        <v>171</v>
      </c>
      <c r="G25" s="46">
        <v>0</v>
      </c>
      <c r="H25" s="46">
        <v>0</v>
      </c>
      <c r="I25" s="46">
        <v>0</v>
      </c>
      <c r="J25" s="154">
        <f t="shared" si="0"/>
      </c>
      <c r="K25" s="113"/>
      <c r="L25" s="113"/>
      <c r="M25" s="113"/>
    </row>
    <row r="26" spans="2:13" ht="12.75" customHeight="1">
      <c r="B26" s="14"/>
      <c r="C26" s="15"/>
      <c r="D26" s="15"/>
      <c r="E26" s="16">
        <v>613900</v>
      </c>
      <c r="F26" s="15" t="s">
        <v>172</v>
      </c>
      <c r="G26" s="118">
        <v>500</v>
      </c>
      <c r="H26" s="118">
        <f>500-270</f>
        <v>230</v>
      </c>
      <c r="I26" s="118">
        <v>230</v>
      </c>
      <c r="J26" s="154">
        <f t="shared" si="0"/>
        <v>100</v>
      </c>
      <c r="K26" s="91"/>
      <c r="L26" s="113"/>
      <c r="M26" s="113"/>
    </row>
    <row r="27" spans="2:13" ht="12.75" customHeight="1">
      <c r="B27" s="14"/>
      <c r="C27" s="15"/>
      <c r="D27" s="15"/>
      <c r="E27" s="16">
        <v>613900</v>
      </c>
      <c r="F27" s="366" t="s">
        <v>666</v>
      </c>
      <c r="G27" s="46">
        <v>3300</v>
      </c>
      <c r="H27" s="46">
        <f>3300+270</f>
        <v>3570</v>
      </c>
      <c r="I27" s="46">
        <v>3567</v>
      </c>
      <c r="J27" s="154">
        <f t="shared" si="0"/>
        <v>99.91596638655463</v>
      </c>
      <c r="K27" s="91"/>
      <c r="L27" s="113"/>
      <c r="M27" s="113"/>
    </row>
    <row r="28" spans="2:10" s="1" customFormat="1" ht="12.75" customHeight="1">
      <c r="B28" s="17"/>
      <c r="C28" s="12"/>
      <c r="D28" s="12"/>
      <c r="E28" s="61"/>
      <c r="F28" s="12"/>
      <c r="G28" s="46"/>
      <c r="H28" s="46"/>
      <c r="I28" s="46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46"/>
      <c r="H29" s="46"/>
      <c r="I29" s="46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6"/>
      <c r="H30" s="46"/>
      <c r="I30" s="46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1000</v>
      </c>
      <c r="H36" s="20">
        <f>SUM(H37:H38)</f>
        <v>1000</v>
      </c>
      <c r="I36" s="20">
        <f>SUM(I37:I38)</f>
        <v>0</v>
      </c>
      <c r="J36" s="153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6">
        <v>0</v>
      </c>
      <c r="H37" s="46">
        <v>0</v>
      </c>
      <c r="I37" s="46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6">
        <v>1000</v>
      </c>
      <c r="H38" s="46">
        <v>1000</v>
      </c>
      <c r="I38" s="46">
        <v>0</v>
      </c>
      <c r="J38" s="154">
        <f t="shared" si="0"/>
        <v>0</v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</v>
      </c>
      <c r="H41" s="20">
        <v>1</v>
      </c>
      <c r="I41" s="20">
        <v>1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37940</v>
      </c>
      <c r="H42" s="20">
        <f>H7+H13+H17+H36</f>
        <v>37940</v>
      </c>
      <c r="I42" s="20">
        <f>I7+I13+I17+I36</f>
        <v>35251</v>
      </c>
      <c r="J42" s="153">
        <f t="shared" si="0"/>
        <v>92.9124934106484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37940</v>
      </c>
      <c r="H43" s="20">
        <f>H42</f>
        <v>37940</v>
      </c>
      <c r="I43" s="20">
        <f>I42</f>
        <v>35251</v>
      </c>
      <c r="J43" s="153">
        <f t="shared" si="0"/>
        <v>92.9124934106484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G43+'12'!G43+'11'!G43+'10'!G42</f>
        <v>1836210</v>
      </c>
      <c r="H44" s="20">
        <f>H43+'12'!H43+'11'!H43+'10'!H42</f>
        <v>1836210</v>
      </c>
      <c r="I44" s="20">
        <f>I43+'12'!I43+'11'!I43+'10'!I42</f>
        <v>1787011</v>
      </c>
      <c r="J44" s="153">
        <f t="shared" si="0"/>
        <v>97.32062236890116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B2:L48"/>
  <sheetViews>
    <sheetView workbookViewId="0" topLeftCell="A10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202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136</v>
      </c>
      <c r="C6" s="11" t="s">
        <v>203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58880</v>
      </c>
      <c r="H7" s="20">
        <f>SUM(H8:H11)</f>
        <v>58880</v>
      </c>
      <c r="I7" s="20">
        <f>SUM(I8:I11)</f>
        <v>57111</v>
      </c>
      <c r="J7" s="153">
        <f aca="true" t="shared" si="0" ref="J7:J44">IF(H7=0,"",I7/H7*100)</f>
        <v>96.99558423913044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v>49400</v>
      </c>
      <c r="H8" s="46">
        <v>49400</v>
      </c>
      <c r="I8" s="46">
        <v>48798</v>
      </c>
      <c r="J8" s="154">
        <f t="shared" si="0"/>
        <v>98.78137651821862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5600+2*240</f>
        <v>6080</v>
      </c>
      <c r="H9" s="46">
        <f>5600+2*240</f>
        <v>6080</v>
      </c>
      <c r="I9" s="46">
        <v>5221</v>
      </c>
      <c r="J9" s="154">
        <f t="shared" si="0"/>
        <v>85.8717105263158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3400</v>
      </c>
      <c r="H10" s="84">
        <v>3400</v>
      </c>
      <c r="I10" s="84">
        <v>3092</v>
      </c>
      <c r="J10" s="154">
        <f t="shared" si="0"/>
        <v>90.94117647058823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5500</v>
      </c>
      <c r="H13" s="20">
        <f>H14</f>
        <v>5500</v>
      </c>
      <c r="I13" s="20">
        <f>I14</f>
        <v>5147</v>
      </c>
      <c r="J13" s="153">
        <f t="shared" si="0"/>
        <v>93.58181818181818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5500</v>
      </c>
      <c r="H14" s="46">
        <v>5500</v>
      </c>
      <c r="I14" s="46">
        <v>5147</v>
      </c>
      <c r="J14" s="154">
        <f t="shared" si="0"/>
        <v>93.58181818181818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8100</v>
      </c>
      <c r="H17" s="51">
        <f>SUM(H18:H27)</f>
        <v>8100</v>
      </c>
      <c r="I17" s="51">
        <f>SUM(I18:I27)</f>
        <v>6842</v>
      </c>
      <c r="J17" s="153">
        <f t="shared" si="0"/>
        <v>84.46913580246913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2100</v>
      </c>
      <c r="H18" s="46">
        <v>2100</v>
      </c>
      <c r="I18" s="46">
        <v>1961</v>
      </c>
      <c r="J18" s="154">
        <f t="shared" si="0"/>
        <v>93.38095238095238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0</v>
      </c>
      <c r="H19" s="46">
        <v>0</v>
      </c>
      <c r="I19" s="46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1600</v>
      </c>
      <c r="H20" s="46">
        <v>1600</v>
      </c>
      <c r="I20" s="46">
        <v>1407</v>
      </c>
      <c r="J20" s="154">
        <f t="shared" si="0"/>
        <v>87.9375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700</v>
      </c>
      <c r="H21" s="46">
        <v>900</v>
      </c>
      <c r="I21" s="46">
        <v>480</v>
      </c>
      <c r="J21" s="154">
        <f t="shared" si="0"/>
        <v>53.333333333333336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0</v>
      </c>
      <c r="H22" s="46">
        <v>0</v>
      </c>
      <c r="I22" s="46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6">
        <v>200</v>
      </c>
      <c r="H24" s="46">
        <v>0</v>
      </c>
      <c r="I24" s="46">
        <v>0</v>
      </c>
      <c r="J24" s="154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6">
        <v>0</v>
      </c>
      <c r="H25" s="46">
        <v>0</v>
      </c>
      <c r="I25" s="46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800</v>
      </c>
      <c r="H26" s="118">
        <v>800</v>
      </c>
      <c r="I26" s="118">
        <v>505</v>
      </c>
      <c r="J26" s="154">
        <f t="shared" si="0"/>
        <v>63.125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8">
        <v>2700</v>
      </c>
      <c r="H27" s="118">
        <v>2700</v>
      </c>
      <c r="I27" s="118">
        <v>2489</v>
      </c>
      <c r="J27" s="154">
        <f t="shared" si="0"/>
        <v>92.18518518518518</v>
      </c>
    </row>
    <row r="28" spans="2:10" s="1" customFormat="1" ht="12.75" customHeight="1">
      <c r="B28" s="17"/>
      <c r="C28" s="12"/>
      <c r="D28" s="12"/>
      <c r="E28" s="61"/>
      <c r="F28" s="12"/>
      <c r="G28" s="46"/>
      <c r="H28" s="46"/>
      <c r="I28" s="46"/>
      <c r="J28" s="154">
        <f t="shared" si="0"/>
      </c>
    </row>
    <row r="29" spans="2:10" ht="12.75" customHeight="1">
      <c r="B29" s="14"/>
      <c r="C29" s="15"/>
      <c r="D29" s="31"/>
      <c r="E29" s="63"/>
      <c r="F29" s="60"/>
      <c r="G29" s="46"/>
      <c r="H29" s="46"/>
      <c r="I29" s="46"/>
      <c r="J29" s="154">
        <f t="shared" si="0"/>
      </c>
    </row>
    <row r="30" spans="2:10" ht="12.75" customHeight="1">
      <c r="B30" s="14"/>
      <c r="C30" s="15"/>
      <c r="D30" s="15"/>
      <c r="E30" s="62"/>
      <c r="F30" s="15"/>
      <c r="G30" s="46"/>
      <c r="H30" s="46"/>
      <c r="I30" s="46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6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19"/>
      <c r="G34" s="46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G37+G38</f>
        <v>0</v>
      </c>
      <c r="H36" s="20">
        <f>H37+H38</f>
        <v>0</v>
      </c>
      <c r="I36" s="20">
        <f>I37+I38</f>
        <v>0</v>
      </c>
      <c r="J36" s="153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6">
        <v>0</v>
      </c>
      <c r="H37" s="46">
        <v>0</v>
      </c>
      <c r="I37" s="46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0</v>
      </c>
      <c r="H38" s="118">
        <v>0</v>
      </c>
      <c r="I38" s="118">
        <v>0</v>
      </c>
      <c r="J38" s="154">
        <f t="shared" si="0"/>
      </c>
    </row>
    <row r="39" spans="2:10" ht="12.75" customHeight="1">
      <c r="B39" s="14"/>
      <c r="C39" s="15"/>
      <c r="D39" s="15"/>
      <c r="E39" s="16"/>
      <c r="F39" s="15"/>
      <c r="G39" s="46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2</v>
      </c>
      <c r="H41" s="20">
        <v>2</v>
      </c>
      <c r="I41" s="20">
        <v>2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72480</v>
      </c>
      <c r="H42" s="20">
        <f>H7+H13+H17+H36</f>
        <v>72480</v>
      </c>
      <c r="I42" s="20">
        <f>I7+I13+I17+I36</f>
        <v>69100</v>
      </c>
      <c r="J42" s="153">
        <f t="shared" si="0"/>
        <v>95.33664459161147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</f>
        <v>72480</v>
      </c>
      <c r="H43" s="20">
        <f>H42</f>
        <v>72480</v>
      </c>
      <c r="I43" s="20">
        <f>I42</f>
        <v>69100</v>
      </c>
      <c r="J43" s="153">
        <f t="shared" si="0"/>
        <v>95.33664459161147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G43+'13'!G43+'12'!G43+'11'!G43+'10'!G42</f>
        <v>1908690</v>
      </c>
      <c r="H44" s="20">
        <f>H43+'13'!H43+'12'!H43+'11'!H43+'10'!H42</f>
        <v>1908690</v>
      </c>
      <c r="I44" s="20">
        <f>I43+'13'!I43+'12'!I43+'11'!I43+'10'!I42</f>
        <v>1856111</v>
      </c>
      <c r="J44" s="153">
        <f t="shared" si="0"/>
        <v>97.2452834142789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F51" sqref="F51"/>
    </sheetView>
  </sheetViews>
  <sheetFormatPr defaultColWidth="9.140625" defaultRowHeight="12.75"/>
  <cols>
    <col min="1" max="1" width="4.00390625" style="57" customWidth="1"/>
    <col min="7" max="7" width="15.7109375" style="0" customWidth="1"/>
    <col min="8" max="8" width="7.421875" style="0" customWidth="1"/>
    <col min="9" max="9" width="14.7109375" style="0" customWidth="1"/>
    <col min="10" max="10" width="9.140625" style="57" customWidth="1"/>
  </cols>
  <sheetData>
    <row r="1" spans="1:9" ht="15.75">
      <c r="A1" s="430" t="s">
        <v>234</v>
      </c>
      <c r="B1" s="430"/>
      <c r="C1" s="430"/>
      <c r="D1" s="430"/>
      <c r="E1" s="430"/>
      <c r="F1" s="430"/>
      <c r="G1" s="430"/>
      <c r="H1" s="430"/>
      <c r="I1" s="430"/>
    </row>
    <row r="3" spans="1:10" s="70" customFormat="1" ht="12.75">
      <c r="A3" s="131" t="s">
        <v>277</v>
      </c>
      <c r="B3" s="431" t="s">
        <v>314</v>
      </c>
      <c r="C3" s="432"/>
      <c r="D3" s="432"/>
      <c r="E3" s="432"/>
      <c r="F3" s="432"/>
      <c r="G3" s="432"/>
      <c r="H3" s="432"/>
      <c r="I3" s="433"/>
      <c r="J3" s="131" t="s">
        <v>261</v>
      </c>
    </row>
    <row r="4" spans="1:10" s="54" customFormat="1" ht="16.5" customHeight="1">
      <c r="A4" s="127" t="s">
        <v>235</v>
      </c>
      <c r="B4" s="424" t="s">
        <v>236</v>
      </c>
      <c r="C4" s="425"/>
      <c r="D4" s="425"/>
      <c r="E4" s="425"/>
      <c r="F4" s="425"/>
      <c r="G4" s="425"/>
      <c r="H4" s="425"/>
      <c r="I4" s="426"/>
      <c r="J4" s="127">
        <v>1</v>
      </c>
    </row>
    <row r="5" spans="1:10" s="54" customFormat="1" ht="16.5" customHeight="1">
      <c r="A5" s="127" t="s">
        <v>237</v>
      </c>
      <c r="B5" s="424" t="s">
        <v>238</v>
      </c>
      <c r="C5" s="425"/>
      <c r="D5" s="425"/>
      <c r="E5" s="425"/>
      <c r="F5" s="425"/>
      <c r="G5" s="425"/>
      <c r="H5" s="425"/>
      <c r="I5" s="426"/>
      <c r="J5" s="127">
        <v>2</v>
      </c>
    </row>
    <row r="6" spans="1:10" s="54" customFormat="1" ht="16.5" customHeight="1">
      <c r="A6" s="127" t="s">
        <v>239</v>
      </c>
      <c r="B6" s="424" t="s">
        <v>538</v>
      </c>
      <c r="C6" s="425"/>
      <c r="D6" s="425"/>
      <c r="E6" s="425"/>
      <c r="F6" s="425"/>
      <c r="G6" s="425"/>
      <c r="H6" s="425"/>
      <c r="I6" s="426"/>
      <c r="J6" s="127">
        <v>6</v>
      </c>
    </row>
    <row r="7" spans="1:10" s="54" customFormat="1" ht="16.5" customHeight="1">
      <c r="A7" s="127" t="s">
        <v>240</v>
      </c>
      <c r="B7" s="424" t="s">
        <v>241</v>
      </c>
      <c r="C7" s="425"/>
      <c r="D7" s="425"/>
      <c r="E7" s="425"/>
      <c r="F7" s="425"/>
      <c r="G7" s="425"/>
      <c r="H7" s="425"/>
      <c r="I7" s="426"/>
      <c r="J7" s="127">
        <v>7</v>
      </c>
    </row>
    <row r="8" spans="1:10" s="54" customFormat="1" ht="16.5" customHeight="1">
      <c r="A8" s="127" t="s">
        <v>278</v>
      </c>
      <c r="B8" s="424" t="s">
        <v>242</v>
      </c>
      <c r="C8" s="425"/>
      <c r="D8" s="425"/>
      <c r="E8" s="425"/>
      <c r="F8" s="425"/>
      <c r="G8" s="425"/>
      <c r="H8" s="425"/>
      <c r="I8" s="426"/>
      <c r="J8" s="127">
        <v>8</v>
      </c>
    </row>
    <row r="9" spans="1:10" s="54" customFormat="1" ht="16.5" customHeight="1">
      <c r="A9" s="127" t="s">
        <v>279</v>
      </c>
      <c r="B9" s="424" t="s">
        <v>246</v>
      </c>
      <c r="C9" s="425"/>
      <c r="D9" s="425"/>
      <c r="E9" s="425"/>
      <c r="F9" s="425"/>
      <c r="G9" s="425"/>
      <c r="H9" s="425"/>
      <c r="I9" s="426"/>
      <c r="J9" s="127">
        <v>9</v>
      </c>
    </row>
    <row r="10" spans="1:10" s="54" customFormat="1" ht="16.5" customHeight="1">
      <c r="A10" s="127" t="s">
        <v>280</v>
      </c>
      <c r="B10" s="424" t="s">
        <v>243</v>
      </c>
      <c r="C10" s="425"/>
      <c r="D10" s="425"/>
      <c r="E10" s="425"/>
      <c r="F10" s="425"/>
      <c r="G10" s="425"/>
      <c r="H10" s="425"/>
      <c r="I10" s="426"/>
      <c r="J10" s="127">
        <v>10</v>
      </c>
    </row>
    <row r="11" spans="1:10" s="54" customFormat="1" ht="16.5" customHeight="1">
      <c r="A11" s="127" t="s">
        <v>281</v>
      </c>
      <c r="B11" s="424" t="s">
        <v>244</v>
      </c>
      <c r="C11" s="425"/>
      <c r="D11" s="425"/>
      <c r="E11" s="425"/>
      <c r="F11" s="425"/>
      <c r="G11" s="425"/>
      <c r="H11" s="425"/>
      <c r="I11" s="426"/>
      <c r="J11" s="127">
        <v>11</v>
      </c>
    </row>
    <row r="12" spans="1:10" s="54" customFormat="1" ht="16.5" customHeight="1">
      <c r="A12" s="127" t="s">
        <v>282</v>
      </c>
      <c r="B12" s="424" t="s">
        <v>245</v>
      </c>
      <c r="C12" s="425"/>
      <c r="D12" s="425"/>
      <c r="E12" s="425"/>
      <c r="F12" s="425"/>
      <c r="G12" s="425"/>
      <c r="H12" s="425"/>
      <c r="I12" s="426"/>
      <c r="J12" s="127">
        <v>12</v>
      </c>
    </row>
    <row r="13" spans="1:10" s="54" customFormat="1" ht="16.5" customHeight="1">
      <c r="A13" s="127" t="s">
        <v>283</v>
      </c>
      <c r="B13" s="424" t="s">
        <v>247</v>
      </c>
      <c r="C13" s="425"/>
      <c r="D13" s="425"/>
      <c r="E13" s="425"/>
      <c r="F13" s="425"/>
      <c r="G13" s="425"/>
      <c r="H13" s="425"/>
      <c r="I13" s="426"/>
      <c r="J13" s="127">
        <v>13</v>
      </c>
    </row>
    <row r="14" spans="1:10" s="54" customFormat="1" ht="16.5" customHeight="1">
      <c r="A14" s="127" t="s">
        <v>284</v>
      </c>
      <c r="B14" s="424" t="s">
        <v>334</v>
      </c>
      <c r="C14" s="428"/>
      <c r="D14" s="428"/>
      <c r="E14" s="428"/>
      <c r="F14" s="428"/>
      <c r="G14" s="428"/>
      <c r="H14" s="428"/>
      <c r="I14" s="429"/>
      <c r="J14" s="127">
        <v>14</v>
      </c>
    </row>
    <row r="15" spans="1:10" s="54" customFormat="1" ht="16.5" customHeight="1">
      <c r="A15" s="127" t="s">
        <v>285</v>
      </c>
      <c r="B15" s="424" t="s">
        <v>248</v>
      </c>
      <c r="C15" s="425"/>
      <c r="D15" s="425"/>
      <c r="E15" s="425"/>
      <c r="F15" s="425"/>
      <c r="G15" s="425"/>
      <c r="H15" s="425"/>
      <c r="I15" s="426"/>
      <c r="J15" s="127">
        <v>15</v>
      </c>
    </row>
    <row r="16" spans="1:10" s="54" customFormat="1" ht="16.5" customHeight="1">
      <c r="A16" s="127" t="s">
        <v>286</v>
      </c>
      <c r="B16" s="424" t="s">
        <v>249</v>
      </c>
      <c r="C16" s="425"/>
      <c r="D16" s="425"/>
      <c r="E16" s="425"/>
      <c r="F16" s="425"/>
      <c r="G16" s="425"/>
      <c r="H16" s="425"/>
      <c r="I16" s="426"/>
      <c r="J16" s="127">
        <v>16</v>
      </c>
    </row>
    <row r="17" spans="1:10" s="54" customFormat="1" ht="16.5" customHeight="1">
      <c r="A17" s="127" t="s">
        <v>287</v>
      </c>
      <c r="B17" s="424" t="s">
        <v>250</v>
      </c>
      <c r="C17" s="425"/>
      <c r="D17" s="425"/>
      <c r="E17" s="425"/>
      <c r="F17" s="425"/>
      <c r="G17" s="425"/>
      <c r="H17" s="425"/>
      <c r="I17" s="426"/>
      <c r="J17" s="127">
        <v>17</v>
      </c>
    </row>
    <row r="18" spans="1:10" s="54" customFormat="1" ht="16.5" customHeight="1">
      <c r="A18" s="127" t="s">
        <v>288</v>
      </c>
      <c r="B18" s="424" t="s">
        <v>251</v>
      </c>
      <c r="C18" s="425"/>
      <c r="D18" s="425"/>
      <c r="E18" s="425"/>
      <c r="F18" s="425"/>
      <c r="G18" s="425"/>
      <c r="H18" s="425"/>
      <c r="I18" s="426"/>
      <c r="J18" s="127">
        <v>18</v>
      </c>
    </row>
    <row r="19" spans="1:10" s="54" customFormat="1" ht="16.5" customHeight="1">
      <c r="A19" s="127" t="s">
        <v>289</v>
      </c>
      <c r="B19" s="424" t="s">
        <v>252</v>
      </c>
      <c r="C19" s="425"/>
      <c r="D19" s="425"/>
      <c r="E19" s="425"/>
      <c r="F19" s="425"/>
      <c r="G19" s="425"/>
      <c r="H19" s="425"/>
      <c r="I19" s="426"/>
      <c r="J19" s="127">
        <v>19</v>
      </c>
    </row>
    <row r="20" spans="1:10" s="54" customFormat="1" ht="16.5" customHeight="1">
      <c r="A20" s="127" t="s">
        <v>290</v>
      </c>
      <c r="B20" s="424" t="s">
        <v>253</v>
      </c>
      <c r="C20" s="425"/>
      <c r="D20" s="425"/>
      <c r="E20" s="425"/>
      <c r="F20" s="425"/>
      <c r="G20" s="425"/>
      <c r="H20" s="425"/>
      <c r="I20" s="426"/>
      <c r="J20" s="127">
        <v>20</v>
      </c>
    </row>
    <row r="21" spans="1:10" s="54" customFormat="1" ht="16.5" customHeight="1">
      <c r="A21" s="127" t="s">
        <v>291</v>
      </c>
      <c r="B21" s="424" t="s">
        <v>254</v>
      </c>
      <c r="C21" s="425"/>
      <c r="D21" s="425"/>
      <c r="E21" s="425"/>
      <c r="F21" s="425"/>
      <c r="G21" s="425"/>
      <c r="H21" s="425"/>
      <c r="I21" s="426"/>
      <c r="J21" s="127">
        <v>21</v>
      </c>
    </row>
    <row r="22" spans="1:10" s="54" customFormat="1" ht="16.5" customHeight="1">
      <c r="A22" s="127" t="s">
        <v>292</v>
      </c>
      <c r="B22" s="424" t="s">
        <v>255</v>
      </c>
      <c r="C22" s="425"/>
      <c r="D22" s="425"/>
      <c r="E22" s="425"/>
      <c r="F22" s="425"/>
      <c r="G22" s="425"/>
      <c r="H22" s="425"/>
      <c r="I22" s="426"/>
      <c r="J22" s="127">
        <v>22</v>
      </c>
    </row>
    <row r="23" spans="1:10" s="54" customFormat="1" ht="16.5" customHeight="1">
      <c r="A23" s="127" t="s">
        <v>293</v>
      </c>
      <c r="B23" s="424" t="s">
        <v>256</v>
      </c>
      <c r="C23" s="425"/>
      <c r="D23" s="425"/>
      <c r="E23" s="425"/>
      <c r="F23" s="425"/>
      <c r="G23" s="425"/>
      <c r="H23" s="425"/>
      <c r="I23" s="426"/>
      <c r="J23" s="127">
        <v>23</v>
      </c>
    </row>
    <row r="24" spans="1:10" s="54" customFormat="1" ht="16.5" customHeight="1">
      <c r="A24" s="127" t="s">
        <v>294</v>
      </c>
      <c r="B24" s="424" t="s">
        <v>257</v>
      </c>
      <c r="C24" s="425"/>
      <c r="D24" s="425"/>
      <c r="E24" s="425"/>
      <c r="F24" s="425"/>
      <c r="G24" s="425"/>
      <c r="H24" s="425"/>
      <c r="I24" s="426"/>
      <c r="J24" s="127">
        <v>24</v>
      </c>
    </row>
    <row r="25" spans="1:10" s="54" customFormat="1" ht="16.5" customHeight="1">
      <c r="A25" s="127" t="s">
        <v>295</v>
      </c>
      <c r="B25" s="424" t="s">
        <v>258</v>
      </c>
      <c r="C25" s="425"/>
      <c r="D25" s="425"/>
      <c r="E25" s="425"/>
      <c r="F25" s="425"/>
      <c r="G25" s="425"/>
      <c r="H25" s="425"/>
      <c r="I25" s="426"/>
      <c r="J25" s="127">
        <v>25</v>
      </c>
    </row>
    <row r="26" spans="1:10" s="54" customFormat="1" ht="16.5" customHeight="1">
      <c r="A26" s="127" t="s">
        <v>296</v>
      </c>
      <c r="B26" s="424" t="s">
        <v>259</v>
      </c>
      <c r="C26" s="425"/>
      <c r="D26" s="425"/>
      <c r="E26" s="425"/>
      <c r="F26" s="425"/>
      <c r="G26" s="425"/>
      <c r="H26" s="425"/>
      <c r="I26" s="426"/>
      <c r="J26" s="127">
        <v>26</v>
      </c>
    </row>
    <row r="27" spans="1:10" s="54" customFormat="1" ht="16.5" customHeight="1">
      <c r="A27" s="127" t="s">
        <v>297</v>
      </c>
      <c r="B27" s="424" t="s">
        <v>260</v>
      </c>
      <c r="C27" s="425"/>
      <c r="D27" s="425"/>
      <c r="E27" s="425"/>
      <c r="F27" s="425"/>
      <c r="G27" s="425"/>
      <c r="H27" s="425"/>
      <c r="I27" s="426"/>
      <c r="J27" s="127">
        <v>27</v>
      </c>
    </row>
    <row r="28" spans="1:10" s="54" customFormat="1" ht="16.5" customHeight="1">
      <c r="A28" s="127" t="s">
        <v>298</v>
      </c>
      <c r="B28" s="424" t="s">
        <v>262</v>
      </c>
      <c r="C28" s="425"/>
      <c r="D28" s="425"/>
      <c r="E28" s="425"/>
      <c r="F28" s="425"/>
      <c r="G28" s="425"/>
      <c r="H28" s="425"/>
      <c r="I28" s="426"/>
      <c r="J28" s="127">
        <v>28</v>
      </c>
    </row>
    <row r="29" spans="1:10" s="54" customFormat="1" ht="16.5" customHeight="1">
      <c r="A29" s="127" t="s">
        <v>299</v>
      </c>
      <c r="B29" s="424" t="s">
        <v>319</v>
      </c>
      <c r="C29" s="425"/>
      <c r="D29" s="425"/>
      <c r="E29" s="425"/>
      <c r="F29" s="425"/>
      <c r="G29" s="425"/>
      <c r="H29" s="425"/>
      <c r="I29" s="426"/>
      <c r="J29" s="127">
        <v>29</v>
      </c>
    </row>
    <row r="30" spans="1:10" s="54" customFormat="1" ht="16.5" customHeight="1">
      <c r="A30" s="127" t="s">
        <v>300</v>
      </c>
      <c r="B30" s="424" t="s">
        <v>320</v>
      </c>
      <c r="C30" s="425"/>
      <c r="D30" s="425"/>
      <c r="E30" s="425"/>
      <c r="F30" s="425"/>
      <c r="G30" s="425"/>
      <c r="H30" s="425"/>
      <c r="I30" s="426"/>
      <c r="J30" s="127">
        <v>30</v>
      </c>
    </row>
    <row r="31" spans="1:10" s="54" customFormat="1" ht="16.5" customHeight="1">
      <c r="A31" s="127" t="s">
        <v>301</v>
      </c>
      <c r="B31" s="424" t="s">
        <v>263</v>
      </c>
      <c r="C31" s="425"/>
      <c r="D31" s="425"/>
      <c r="E31" s="425"/>
      <c r="F31" s="425"/>
      <c r="G31" s="425"/>
      <c r="H31" s="425"/>
      <c r="I31" s="426"/>
      <c r="J31" s="127">
        <v>31</v>
      </c>
    </row>
    <row r="32" spans="1:10" s="54" customFormat="1" ht="16.5" customHeight="1">
      <c r="A32" s="127" t="s">
        <v>302</v>
      </c>
      <c r="B32" s="424" t="s">
        <v>264</v>
      </c>
      <c r="C32" s="425"/>
      <c r="D32" s="425"/>
      <c r="E32" s="425"/>
      <c r="F32" s="425"/>
      <c r="G32" s="425"/>
      <c r="H32" s="425"/>
      <c r="I32" s="426"/>
      <c r="J32" s="127">
        <v>32</v>
      </c>
    </row>
    <row r="33" spans="1:10" s="54" customFormat="1" ht="16.5" customHeight="1">
      <c r="A33" s="127" t="s">
        <v>303</v>
      </c>
      <c r="B33" s="424" t="s">
        <v>265</v>
      </c>
      <c r="C33" s="425"/>
      <c r="D33" s="425"/>
      <c r="E33" s="425"/>
      <c r="F33" s="425"/>
      <c r="G33" s="425"/>
      <c r="H33" s="425"/>
      <c r="I33" s="426"/>
      <c r="J33" s="127">
        <v>33</v>
      </c>
    </row>
    <row r="34" spans="1:10" s="54" customFormat="1" ht="16.5" customHeight="1">
      <c r="A34" s="127" t="s">
        <v>304</v>
      </c>
      <c r="B34" s="424" t="s">
        <v>266</v>
      </c>
      <c r="C34" s="425"/>
      <c r="D34" s="425"/>
      <c r="E34" s="425"/>
      <c r="F34" s="425"/>
      <c r="G34" s="425"/>
      <c r="H34" s="425"/>
      <c r="I34" s="426"/>
      <c r="J34" s="127">
        <v>34</v>
      </c>
    </row>
    <row r="35" spans="1:10" s="54" customFormat="1" ht="16.5" customHeight="1">
      <c r="A35" s="127" t="s">
        <v>305</v>
      </c>
      <c r="B35" s="424" t="s">
        <v>267</v>
      </c>
      <c r="C35" s="425"/>
      <c r="D35" s="425"/>
      <c r="E35" s="425"/>
      <c r="F35" s="425"/>
      <c r="G35" s="425"/>
      <c r="H35" s="425"/>
      <c r="I35" s="426"/>
      <c r="J35" s="127">
        <v>35</v>
      </c>
    </row>
    <row r="36" spans="1:10" s="54" customFormat="1" ht="16.5" customHeight="1">
      <c r="A36" s="127" t="s">
        <v>306</v>
      </c>
      <c r="B36" s="424" t="s">
        <v>268</v>
      </c>
      <c r="C36" s="425"/>
      <c r="D36" s="425"/>
      <c r="E36" s="425"/>
      <c r="F36" s="425"/>
      <c r="G36" s="425"/>
      <c r="H36" s="425"/>
      <c r="I36" s="426"/>
      <c r="J36" s="127">
        <v>36</v>
      </c>
    </row>
    <row r="37" spans="1:10" s="54" customFormat="1" ht="16.5" customHeight="1">
      <c r="A37" s="127" t="s">
        <v>307</v>
      </c>
      <c r="B37" s="424" t="s">
        <v>269</v>
      </c>
      <c r="C37" s="425"/>
      <c r="D37" s="425"/>
      <c r="E37" s="425"/>
      <c r="F37" s="425"/>
      <c r="G37" s="425"/>
      <c r="H37" s="425"/>
      <c r="I37" s="426"/>
      <c r="J37" s="127">
        <v>37</v>
      </c>
    </row>
    <row r="38" spans="1:10" s="54" customFormat="1" ht="16.5" customHeight="1">
      <c r="A38" s="127" t="s">
        <v>308</v>
      </c>
      <c r="B38" s="424" t="s">
        <v>270</v>
      </c>
      <c r="C38" s="425"/>
      <c r="D38" s="425"/>
      <c r="E38" s="425"/>
      <c r="F38" s="425"/>
      <c r="G38" s="425"/>
      <c r="H38" s="425"/>
      <c r="I38" s="426"/>
      <c r="J38" s="127">
        <v>38</v>
      </c>
    </row>
    <row r="39" spans="1:10" s="54" customFormat="1" ht="16.5" customHeight="1">
      <c r="A39" s="127" t="s">
        <v>309</v>
      </c>
      <c r="B39" s="424" t="s">
        <v>271</v>
      </c>
      <c r="C39" s="425"/>
      <c r="D39" s="425"/>
      <c r="E39" s="425"/>
      <c r="F39" s="425"/>
      <c r="G39" s="425"/>
      <c r="H39" s="425"/>
      <c r="I39" s="426"/>
      <c r="J39" s="127">
        <v>39</v>
      </c>
    </row>
    <row r="40" spans="1:10" s="54" customFormat="1" ht="16.5" customHeight="1">
      <c r="A40" s="127" t="s">
        <v>310</v>
      </c>
      <c r="B40" s="424" t="s">
        <v>272</v>
      </c>
      <c r="C40" s="425"/>
      <c r="D40" s="425"/>
      <c r="E40" s="425"/>
      <c r="F40" s="425"/>
      <c r="G40" s="425"/>
      <c r="H40" s="425"/>
      <c r="I40" s="426"/>
      <c r="J40" s="127">
        <v>40</v>
      </c>
    </row>
    <row r="41" spans="1:10" s="54" customFormat="1" ht="16.5" customHeight="1">
      <c r="A41" s="127" t="s">
        <v>311</v>
      </c>
      <c r="B41" s="424" t="s">
        <v>273</v>
      </c>
      <c r="C41" s="425"/>
      <c r="D41" s="425"/>
      <c r="E41" s="425"/>
      <c r="F41" s="425"/>
      <c r="G41" s="425"/>
      <c r="H41" s="425"/>
      <c r="I41" s="426"/>
      <c r="J41" s="127">
        <v>41</v>
      </c>
    </row>
    <row r="42" spans="1:10" s="54" customFormat="1" ht="16.5" customHeight="1">
      <c r="A42" s="127" t="s">
        <v>312</v>
      </c>
      <c r="B42" s="424" t="s">
        <v>274</v>
      </c>
      <c r="C42" s="425"/>
      <c r="D42" s="425"/>
      <c r="E42" s="425"/>
      <c r="F42" s="425"/>
      <c r="G42" s="425"/>
      <c r="H42" s="425"/>
      <c r="I42" s="426"/>
      <c r="J42" s="127">
        <v>42</v>
      </c>
    </row>
    <row r="43" spans="1:10" s="54" customFormat="1" ht="16.5" customHeight="1">
      <c r="A43" s="127" t="s">
        <v>313</v>
      </c>
      <c r="B43" s="424" t="s">
        <v>275</v>
      </c>
      <c r="C43" s="425"/>
      <c r="D43" s="425"/>
      <c r="E43" s="425"/>
      <c r="F43" s="425"/>
      <c r="G43" s="425"/>
      <c r="H43" s="425"/>
      <c r="I43" s="426"/>
      <c r="J43" s="127">
        <v>43</v>
      </c>
    </row>
    <row r="44" spans="1:10" s="54" customFormat="1" ht="16.5" customHeight="1">
      <c r="A44" s="127" t="s">
        <v>318</v>
      </c>
      <c r="B44" s="424" t="s">
        <v>276</v>
      </c>
      <c r="C44" s="425"/>
      <c r="D44" s="425"/>
      <c r="E44" s="425"/>
      <c r="F44" s="425"/>
      <c r="G44" s="425"/>
      <c r="H44" s="425"/>
      <c r="I44" s="426"/>
      <c r="J44" s="127">
        <v>44</v>
      </c>
    </row>
    <row r="45" spans="1:10" s="54" customFormat="1" ht="28.5" customHeight="1">
      <c r="A45" s="127" t="s">
        <v>335</v>
      </c>
      <c r="B45" s="427" t="s">
        <v>744</v>
      </c>
      <c r="C45" s="428"/>
      <c r="D45" s="428"/>
      <c r="E45" s="428"/>
      <c r="F45" s="428"/>
      <c r="G45" s="428"/>
      <c r="H45" s="428"/>
      <c r="I45" s="429"/>
      <c r="J45" s="127">
        <v>45</v>
      </c>
    </row>
    <row r="46" spans="1:10" s="54" customFormat="1" ht="16.5" customHeight="1">
      <c r="A46" s="127" t="s">
        <v>514</v>
      </c>
      <c r="B46" s="270" t="s">
        <v>661</v>
      </c>
      <c r="C46" s="271"/>
      <c r="D46" s="271"/>
      <c r="E46" s="271"/>
      <c r="F46" s="271"/>
      <c r="G46" s="271"/>
      <c r="H46" s="271"/>
      <c r="I46" s="272"/>
      <c r="J46" s="127">
        <v>46</v>
      </c>
    </row>
    <row r="47" spans="1:10" s="54" customFormat="1" ht="16.5" customHeight="1">
      <c r="A47" s="127" t="s">
        <v>515</v>
      </c>
      <c r="B47" s="270" t="s">
        <v>662</v>
      </c>
      <c r="C47" s="271"/>
      <c r="D47" s="271"/>
      <c r="E47" s="271"/>
      <c r="F47" s="271"/>
      <c r="G47" s="271"/>
      <c r="H47" s="271"/>
      <c r="I47" s="272"/>
      <c r="J47" s="127">
        <v>48</v>
      </c>
    </row>
    <row r="48" spans="1:10" s="54" customFormat="1" ht="14.25">
      <c r="A48" s="129"/>
      <c r="B48" s="126"/>
      <c r="C48" s="126"/>
      <c r="D48" s="126"/>
      <c r="E48" s="126"/>
      <c r="F48" s="126"/>
      <c r="G48" s="126"/>
      <c r="H48" s="126"/>
      <c r="I48" s="126"/>
      <c r="J48" s="128"/>
    </row>
    <row r="49" spans="1:10" s="54" customFormat="1" ht="14.25">
      <c r="A49" s="130"/>
      <c r="J49" s="130"/>
    </row>
    <row r="50" spans="1:10" s="54" customFormat="1" ht="14.25">
      <c r="A50" s="130"/>
      <c r="J50" s="130"/>
    </row>
    <row r="51" spans="1:10" s="54" customFormat="1" ht="14.25">
      <c r="A51" s="130"/>
      <c r="J51" s="130"/>
    </row>
  </sheetData>
  <sheetProtection/>
  <mergeCells count="44">
    <mergeCell ref="B19:I19"/>
    <mergeCell ref="B18:I18"/>
    <mergeCell ref="B17:I17"/>
    <mergeCell ref="B16:I16"/>
    <mergeCell ref="B15:I15"/>
    <mergeCell ref="B13:I13"/>
    <mergeCell ref="B3:I3"/>
    <mergeCell ref="B32:I32"/>
    <mergeCell ref="B31:I31"/>
    <mergeCell ref="B9:I9"/>
    <mergeCell ref="B8:I8"/>
    <mergeCell ref="B7:I7"/>
    <mergeCell ref="B6:I6"/>
    <mergeCell ref="B12:I12"/>
    <mergeCell ref="B11:I11"/>
    <mergeCell ref="B10:I10"/>
    <mergeCell ref="B41:I41"/>
    <mergeCell ref="B35:I35"/>
    <mergeCell ref="B34:I34"/>
    <mergeCell ref="B33:I33"/>
    <mergeCell ref="B22:I22"/>
    <mergeCell ref="B28:I28"/>
    <mergeCell ref="B29:I29"/>
    <mergeCell ref="B30:I30"/>
    <mergeCell ref="B4:I4"/>
    <mergeCell ref="B36:I36"/>
    <mergeCell ref="B37:I37"/>
    <mergeCell ref="B38:I38"/>
    <mergeCell ref="B39:I39"/>
    <mergeCell ref="B40:I40"/>
    <mergeCell ref="B23:I23"/>
    <mergeCell ref="B21:I21"/>
    <mergeCell ref="B20:I20"/>
    <mergeCell ref="B5:I5"/>
    <mergeCell ref="B44:I44"/>
    <mergeCell ref="B43:I43"/>
    <mergeCell ref="B42:I42"/>
    <mergeCell ref="B45:I45"/>
    <mergeCell ref="A1:I1"/>
    <mergeCell ref="B14:I14"/>
    <mergeCell ref="B27:I27"/>
    <mergeCell ref="B26:I26"/>
    <mergeCell ref="B25:I25"/>
    <mergeCell ref="B24:I24"/>
  </mergeCells>
  <printOptions/>
  <pageMargins left="0.65" right="0.39" top="0.63" bottom="0.47" header="0.5" footer="0.43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L46"/>
  <sheetViews>
    <sheetView workbookViewId="0" topLeftCell="B1">
      <selection activeCell="G30" sqref="G3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182</v>
      </c>
      <c r="C2" s="452"/>
      <c r="D2" s="452"/>
      <c r="E2" s="452"/>
      <c r="F2" s="452"/>
      <c r="G2" s="452"/>
      <c r="H2" s="452"/>
      <c r="I2" s="290"/>
      <c r="J2" s="291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217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139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181880</v>
      </c>
      <c r="H7" s="20">
        <f>SUM(H8:H11)</f>
        <v>181880</v>
      </c>
      <c r="I7" s="20">
        <f>SUM(I8:I11)</f>
        <v>176539</v>
      </c>
      <c r="J7" s="153">
        <f aca="true" t="shared" si="0" ref="J7:J40">IF(H7=0,"",I7/H7*100)</f>
        <v>97.06344842753464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141200</v>
      </c>
      <c r="H8" s="118">
        <v>141200</v>
      </c>
      <c r="I8" s="118">
        <v>140044</v>
      </c>
      <c r="J8" s="154">
        <f t="shared" si="0"/>
        <v>99.18130311614732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31900+7*240</f>
        <v>33580</v>
      </c>
      <c r="H9" s="118">
        <f>31900+7*240</f>
        <v>33580</v>
      </c>
      <c r="I9" s="118">
        <v>29489</v>
      </c>
      <c r="J9" s="154">
        <f t="shared" si="0"/>
        <v>87.81715306730197</v>
      </c>
    </row>
    <row r="10" spans="2:12" ht="12.75" customHeight="1">
      <c r="B10" s="14"/>
      <c r="C10" s="15"/>
      <c r="D10" s="15"/>
      <c r="E10" s="16">
        <v>611200</v>
      </c>
      <c r="F10" s="366" t="s">
        <v>675</v>
      </c>
      <c r="G10" s="84">
        <v>7100</v>
      </c>
      <c r="H10" s="84">
        <v>7100</v>
      </c>
      <c r="I10" s="84">
        <v>7006</v>
      </c>
      <c r="J10" s="154">
        <f t="shared" si="0"/>
        <v>98.67605633802818</v>
      </c>
      <c r="L10" s="90"/>
    </row>
    <row r="11" spans="2:10" ht="12.75" customHeight="1">
      <c r="B11" s="14"/>
      <c r="C11" s="15"/>
      <c r="D11" s="15"/>
      <c r="E11" s="16"/>
      <c r="F11" s="26"/>
      <c r="G11" s="118"/>
      <c r="H11" s="118"/>
      <c r="I11" s="118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15200</v>
      </c>
      <c r="H13" s="109">
        <f>H14</f>
        <v>15200</v>
      </c>
      <c r="I13" s="109">
        <f>I14</f>
        <v>14794</v>
      </c>
      <c r="J13" s="153">
        <f t="shared" si="0"/>
        <v>97.32894736842105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15200</v>
      </c>
      <c r="H14" s="118">
        <v>15200</v>
      </c>
      <c r="I14" s="118">
        <v>14794</v>
      </c>
      <c r="J14" s="154">
        <f t="shared" si="0"/>
        <v>97.32894736842105</v>
      </c>
    </row>
    <row r="15" spans="2:10" ht="12.75" customHeight="1">
      <c r="B15" s="14"/>
      <c r="C15" s="15"/>
      <c r="D15" s="15"/>
      <c r="E15" s="16"/>
      <c r="F15" s="15"/>
      <c r="G15" s="118"/>
      <c r="H15" s="118"/>
      <c r="I15" s="118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33700</v>
      </c>
      <c r="H17" s="51">
        <f>SUM(H18:H27)</f>
        <v>33700</v>
      </c>
      <c r="I17" s="51">
        <f>SUM(I18:I27)</f>
        <v>30303</v>
      </c>
      <c r="J17" s="153">
        <f t="shared" si="0"/>
        <v>89.91988130563799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5100</v>
      </c>
      <c r="H18" s="46">
        <v>5100</v>
      </c>
      <c r="I18" s="46">
        <v>4713</v>
      </c>
      <c r="J18" s="154">
        <f t="shared" si="0"/>
        <v>92.41176470588235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0</v>
      </c>
      <c r="H19" s="46">
        <v>0</v>
      </c>
      <c r="I19" s="46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3500</v>
      </c>
      <c r="H20" s="46">
        <v>3500</v>
      </c>
      <c r="I20" s="46">
        <v>2870</v>
      </c>
      <c r="J20" s="154">
        <f t="shared" si="0"/>
        <v>82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0</v>
      </c>
      <c r="H21" s="46">
        <v>0</v>
      </c>
      <c r="I21" s="46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0</v>
      </c>
      <c r="H22" s="46">
        <v>0</v>
      </c>
      <c r="I22" s="46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6">
        <v>600</v>
      </c>
      <c r="H24" s="46">
        <v>1550</v>
      </c>
      <c r="I24" s="46">
        <v>1514</v>
      </c>
      <c r="J24" s="154">
        <f t="shared" si="0"/>
        <v>97.67741935483872</v>
      </c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46">
        <v>0</v>
      </c>
      <c r="H25" s="46">
        <v>0</v>
      </c>
      <c r="I25" s="46">
        <v>0</v>
      </c>
      <c r="J25" s="154">
        <f t="shared" si="0"/>
      </c>
      <c r="L25" s="83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18">
        <v>14000</v>
      </c>
      <c r="H26" s="118">
        <v>13050</v>
      </c>
      <c r="I26" s="118">
        <v>10766</v>
      </c>
      <c r="J26" s="154">
        <f t="shared" si="0"/>
        <v>82.49808429118774</v>
      </c>
      <c r="L26" s="83"/>
    </row>
    <row r="27" spans="2:10" ht="12.75" customHeight="1">
      <c r="B27" s="14"/>
      <c r="C27" s="15"/>
      <c r="D27" s="15"/>
      <c r="E27" s="16">
        <v>613900</v>
      </c>
      <c r="F27" s="366" t="s">
        <v>676</v>
      </c>
      <c r="G27" s="46">
        <v>10500</v>
      </c>
      <c r="H27" s="46">
        <v>10500</v>
      </c>
      <c r="I27" s="46">
        <v>10440</v>
      </c>
      <c r="J27" s="154">
        <f t="shared" si="0"/>
        <v>99.42857142857143</v>
      </c>
    </row>
    <row r="28" spans="2:10" ht="12.75" customHeight="1">
      <c r="B28" s="14"/>
      <c r="C28" s="15"/>
      <c r="D28" s="15"/>
      <c r="E28" s="16"/>
      <c r="F28" s="15"/>
      <c r="G28" s="20"/>
      <c r="H28" s="20"/>
      <c r="I28" s="20"/>
      <c r="J28" s="154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208</v>
      </c>
      <c r="G29" s="20">
        <f>SUM(G30:G30)</f>
        <v>700000</v>
      </c>
      <c r="H29" s="20">
        <f>SUM(H30:H30)</f>
        <v>700000</v>
      </c>
      <c r="I29" s="20">
        <f>SUM(I30:I30)</f>
        <v>699894</v>
      </c>
      <c r="J29" s="153">
        <f t="shared" si="0"/>
        <v>99.98485714285714</v>
      </c>
    </row>
    <row r="30" spans="2:10" s="1" customFormat="1" ht="12.75" customHeight="1">
      <c r="B30" s="17"/>
      <c r="C30" s="12"/>
      <c r="D30" s="77"/>
      <c r="E30" s="132">
        <v>614500</v>
      </c>
      <c r="F30" s="116" t="s">
        <v>117</v>
      </c>
      <c r="G30" s="118">
        <v>700000</v>
      </c>
      <c r="H30" s="118">
        <v>700000</v>
      </c>
      <c r="I30" s="118">
        <v>699894</v>
      </c>
      <c r="J30" s="154">
        <f t="shared" si="0"/>
        <v>99.98485714285714</v>
      </c>
    </row>
    <row r="31" spans="2:10" ht="12.75" customHeight="1">
      <c r="B31" s="14"/>
      <c r="C31" s="15"/>
      <c r="D31" s="15"/>
      <c r="E31" s="16"/>
      <c r="F31" s="26"/>
      <c r="G31" s="118"/>
      <c r="H31" s="118"/>
      <c r="I31" s="118"/>
      <c r="J31" s="154">
        <f t="shared" si="0"/>
      </c>
    </row>
    <row r="32" spans="2:10" ht="12.75" customHeight="1">
      <c r="B32" s="17"/>
      <c r="C32" s="12"/>
      <c r="D32" s="12"/>
      <c r="E32" s="9">
        <v>821000</v>
      </c>
      <c r="F32" s="12" t="s">
        <v>92</v>
      </c>
      <c r="G32" s="109">
        <f>SUM(G33:G34)</f>
        <v>1500</v>
      </c>
      <c r="H32" s="109">
        <f>SUM(H33:H34)</f>
        <v>1500</v>
      </c>
      <c r="I32" s="109">
        <f>SUM(I33:I34)</f>
        <v>1419</v>
      </c>
      <c r="J32" s="153">
        <f t="shared" si="0"/>
        <v>94.6</v>
      </c>
    </row>
    <row r="33" spans="2:10" ht="12.75" customHeight="1">
      <c r="B33" s="14"/>
      <c r="C33" s="15"/>
      <c r="D33" s="15"/>
      <c r="E33" s="16">
        <v>821200</v>
      </c>
      <c r="F33" s="15" t="s">
        <v>93</v>
      </c>
      <c r="G33" s="118">
        <v>0</v>
      </c>
      <c r="H33" s="118">
        <v>0</v>
      </c>
      <c r="I33" s="118">
        <v>0</v>
      </c>
      <c r="J33" s="154">
        <f t="shared" si="0"/>
      </c>
    </row>
    <row r="34" spans="2:10" ht="12.75" customHeight="1">
      <c r="B34" s="14"/>
      <c r="C34" s="15"/>
      <c r="D34" s="15"/>
      <c r="E34" s="16">
        <v>821300</v>
      </c>
      <c r="F34" s="15" t="s">
        <v>94</v>
      </c>
      <c r="G34" s="118">
        <v>1500</v>
      </c>
      <c r="H34" s="118">
        <v>1500</v>
      </c>
      <c r="I34" s="118">
        <v>1419</v>
      </c>
      <c r="J34" s="154">
        <f t="shared" si="0"/>
        <v>94.6</v>
      </c>
    </row>
    <row r="35" spans="2:10" s="1" customFormat="1" ht="12.75" customHeight="1">
      <c r="B35" s="14"/>
      <c r="C35" s="15"/>
      <c r="D35" s="15"/>
      <c r="E35" s="16"/>
      <c r="F35" s="15"/>
      <c r="G35" s="46"/>
      <c r="H35" s="46"/>
      <c r="I35" s="46"/>
      <c r="J35" s="154">
        <f t="shared" si="0"/>
      </c>
    </row>
    <row r="36" spans="2:10" ht="12.75" customHeight="1">
      <c r="B36" s="14"/>
      <c r="C36" s="15"/>
      <c r="D36" s="15"/>
      <c r="E36" s="16"/>
      <c r="F36" s="15"/>
      <c r="G36" s="46"/>
      <c r="H36" s="46"/>
      <c r="I36" s="46"/>
      <c r="J36" s="154">
        <f t="shared" si="0"/>
      </c>
    </row>
    <row r="37" spans="2:10" ht="12.75" customHeight="1">
      <c r="B37" s="17"/>
      <c r="C37" s="12"/>
      <c r="D37" s="12"/>
      <c r="E37" s="9"/>
      <c r="F37" s="12" t="s">
        <v>95</v>
      </c>
      <c r="G37" s="109">
        <v>7</v>
      </c>
      <c r="H37" s="109">
        <v>7</v>
      </c>
      <c r="I37" s="109">
        <v>7</v>
      </c>
      <c r="J37" s="154"/>
    </row>
    <row r="38" spans="2:10" ht="12.75" customHeight="1">
      <c r="B38" s="17"/>
      <c r="C38" s="12"/>
      <c r="D38" s="12"/>
      <c r="E38" s="9"/>
      <c r="F38" s="12" t="s">
        <v>116</v>
      </c>
      <c r="G38" s="20">
        <f>G7+G13+G17+G29+G32</f>
        <v>932280</v>
      </c>
      <c r="H38" s="20">
        <f>H7+H13+H17+H29+H32</f>
        <v>932280</v>
      </c>
      <c r="I38" s="20">
        <f>I7+I13+I17+I29+I32</f>
        <v>922949</v>
      </c>
      <c r="J38" s="153">
        <f t="shared" si="0"/>
        <v>98.99912043592055</v>
      </c>
    </row>
    <row r="39" spans="2:10" ht="12.75" customHeight="1">
      <c r="B39" s="17"/>
      <c r="C39" s="12"/>
      <c r="D39" s="12"/>
      <c r="E39" s="9"/>
      <c r="F39" s="12" t="s">
        <v>96</v>
      </c>
      <c r="G39" s="20">
        <f aca="true" t="shared" si="1" ref="G39:I40">G38</f>
        <v>932280</v>
      </c>
      <c r="H39" s="20">
        <f t="shared" si="1"/>
        <v>932280</v>
      </c>
      <c r="I39" s="20">
        <f t="shared" si="1"/>
        <v>922949</v>
      </c>
      <c r="J39" s="153">
        <f t="shared" si="0"/>
        <v>98.99912043592055</v>
      </c>
    </row>
    <row r="40" spans="2:10" s="1" customFormat="1" ht="12.75" customHeight="1">
      <c r="B40" s="17"/>
      <c r="C40" s="12"/>
      <c r="D40" s="12"/>
      <c r="E40" s="9"/>
      <c r="F40" s="12" t="s">
        <v>97</v>
      </c>
      <c r="G40" s="20">
        <f t="shared" si="1"/>
        <v>932280</v>
      </c>
      <c r="H40" s="20">
        <f t="shared" si="1"/>
        <v>932280</v>
      </c>
      <c r="I40" s="20">
        <f t="shared" si="1"/>
        <v>922949</v>
      </c>
      <c r="J40" s="153">
        <f t="shared" si="0"/>
        <v>98.99912043592055</v>
      </c>
    </row>
    <row r="41" spans="2:10" s="1" customFormat="1" ht="12.75" customHeight="1" thickBot="1">
      <c r="B41" s="21"/>
      <c r="C41" s="22"/>
      <c r="D41" s="22"/>
      <c r="E41" s="23"/>
      <c r="F41" s="22"/>
      <c r="G41" s="50"/>
      <c r="H41" s="50"/>
      <c r="I41" s="47"/>
      <c r="J41" s="157"/>
    </row>
    <row r="42" spans="2:10" s="1" customFormat="1" ht="12.75" customHeight="1">
      <c r="B42" s="13"/>
      <c r="C42" s="13"/>
      <c r="D42" s="13"/>
      <c r="E42" s="24"/>
      <c r="F42" s="83"/>
      <c r="G42" s="13"/>
      <c r="H42" s="13"/>
      <c r="I42" s="91"/>
      <c r="J42" s="141"/>
    </row>
    <row r="43" spans="2:10" s="1" customFormat="1" ht="12.75" customHeight="1">
      <c r="B43" s="83"/>
      <c r="C43" s="13"/>
      <c r="D43" s="13"/>
      <c r="E43" s="24"/>
      <c r="F43" s="13"/>
      <c r="G43" s="13"/>
      <c r="H43" s="13"/>
      <c r="I43" s="91"/>
      <c r="J43" s="141"/>
    </row>
    <row r="44" ht="12.75" customHeight="1">
      <c r="B44" s="83"/>
    </row>
    <row r="45" ht="12.75">
      <c r="B45" s="83"/>
    </row>
    <row r="46" ht="12.75">
      <c r="B46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0" r:id="rId1"/>
  <headerFooter alignWithMargins="0">
    <oddFooter>&amp;R22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L55"/>
  <sheetViews>
    <sheetView workbookViewId="0" topLeftCell="A10">
      <selection activeCell="J50" sqref="J5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141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140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2" customFormat="1" ht="12.75" customHeight="1">
      <c r="B7" s="10"/>
      <c r="C7" s="11"/>
      <c r="D7" s="11"/>
      <c r="E7" s="9">
        <v>600000</v>
      </c>
      <c r="F7" s="27" t="s">
        <v>125</v>
      </c>
      <c r="G7" s="25">
        <f>G8</f>
        <v>15000</v>
      </c>
      <c r="H7" s="25">
        <f>H8</f>
        <v>15000</v>
      </c>
      <c r="I7" s="25">
        <f>I8</f>
        <v>15000</v>
      </c>
      <c r="J7" s="153">
        <f aca="true" t="shared" si="0" ref="J7:J53">IF(H7=0,"",I7/H7*100)</f>
        <v>100</v>
      </c>
    </row>
    <row r="8" spans="2:10" s="2" customFormat="1" ht="12.75" customHeight="1">
      <c r="B8" s="10"/>
      <c r="C8" s="11"/>
      <c r="D8" s="11"/>
      <c r="E8" s="58">
        <v>600000</v>
      </c>
      <c r="F8" s="59" t="s">
        <v>112</v>
      </c>
      <c r="G8" s="84">
        <v>15000</v>
      </c>
      <c r="H8" s="84">
        <v>15000</v>
      </c>
      <c r="I8" s="84">
        <v>15000</v>
      </c>
      <c r="J8" s="154">
        <f t="shared" si="0"/>
        <v>100</v>
      </c>
    </row>
    <row r="9" spans="2:10" s="2" customFormat="1" ht="12.75" customHeight="1">
      <c r="B9" s="10"/>
      <c r="C9" s="11"/>
      <c r="D9" s="11"/>
      <c r="E9" s="9"/>
      <c r="F9" s="9"/>
      <c r="G9" s="84"/>
      <c r="H9" s="84"/>
      <c r="I9" s="84"/>
      <c r="J9" s="154">
        <f t="shared" si="0"/>
      </c>
    </row>
    <row r="10" spans="2:10" s="1" customFormat="1" ht="12.75" customHeight="1">
      <c r="B10" s="17"/>
      <c r="C10" s="12"/>
      <c r="D10" s="12"/>
      <c r="E10" s="9">
        <v>611000</v>
      </c>
      <c r="F10" s="12" t="s">
        <v>168</v>
      </c>
      <c r="G10" s="20">
        <f>SUM(G11:G13)</f>
        <v>346700</v>
      </c>
      <c r="H10" s="20">
        <f>SUM(H11:H13)</f>
        <v>346700</v>
      </c>
      <c r="I10" s="20">
        <f>SUM(I11:I13)</f>
        <v>336162</v>
      </c>
      <c r="J10" s="153">
        <f t="shared" si="0"/>
        <v>96.96048456879146</v>
      </c>
    </row>
    <row r="11" spans="2:10" ht="12.75" customHeight="1">
      <c r="B11" s="14"/>
      <c r="C11" s="15"/>
      <c r="D11" s="15"/>
      <c r="E11" s="16">
        <v>611100</v>
      </c>
      <c r="F11" s="26" t="s">
        <v>204</v>
      </c>
      <c r="G11" s="46">
        <v>267200</v>
      </c>
      <c r="H11" s="46">
        <v>267200</v>
      </c>
      <c r="I11" s="46">
        <v>260588</v>
      </c>
      <c r="J11" s="154">
        <f t="shared" si="0"/>
        <v>97.5254491017964</v>
      </c>
    </row>
    <row r="12" spans="2:10" ht="12.75" customHeight="1">
      <c r="B12" s="14"/>
      <c r="C12" s="15"/>
      <c r="D12" s="15"/>
      <c r="E12" s="16">
        <v>611200</v>
      </c>
      <c r="F12" s="15" t="s">
        <v>205</v>
      </c>
      <c r="G12" s="84">
        <f>58000+15*240</f>
        <v>61600</v>
      </c>
      <c r="H12" s="84">
        <f>58000+15*240</f>
        <v>61600</v>
      </c>
      <c r="I12" s="84">
        <v>58090</v>
      </c>
      <c r="J12" s="154">
        <f t="shared" si="0"/>
        <v>94.30194805194805</v>
      </c>
    </row>
    <row r="13" spans="2:12" ht="12.75" customHeight="1">
      <c r="B13" s="14"/>
      <c r="C13" s="15"/>
      <c r="D13" s="15"/>
      <c r="E13" s="16">
        <v>611200</v>
      </c>
      <c r="F13" s="366" t="s">
        <v>707</v>
      </c>
      <c r="G13" s="84">
        <v>17900</v>
      </c>
      <c r="H13" s="84">
        <v>17900</v>
      </c>
      <c r="I13" s="84">
        <v>17484</v>
      </c>
      <c r="J13" s="154">
        <f t="shared" si="0"/>
        <v>97.67597765363128</v>
      </c>
      <c r="L13" s="90"/>
    </row>
    <row r="14" spans="2:10" ht="12.75" customHeight="1">
      <c r="B14" s="14"/>
      <c r="C14" s="15"/>
      <c r="D14" s="15"/>
      <c r="E14" s="16"/>
      <c r="F14" s="26"/>
      <c r="G14" s="45"/>
      <c r="H14" s="45"/>
      <c r="I14" s="45"/>
      <c r="J14" s="154">
        <f t="shared" si="0"/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s="1" customFormat="1" ht="12.75" customHeight="1">
      <c r="B16" s="17"/>
      <c r="C16" s="12"/>
      <c r="D16" s="12"/>
      <c r="E16" s="9">
        <v>612000</v>
      </c>
      <c r="F16" s="12" t="s">
        <v>167</v>
      </c>
      <c r="G16" s="20">
        <f>G17+G18</f>
        <v>28500</v>
      </c>
      <c r="H16" s="20">
        <f>H17+H18</f>
        <v>28500</v>
      </c>
      <c r="I16" s="20">
        <f>I17+I18</f>
        <v>28207</v>
      </c>
      <c r="J16" s="153">
        <f t="shared" si="0"/>
        <v>98.9719298245614</v>
      </c>
    </row>
    <row r="17" spans="2:10" ht="12.75" customHeight="1">
      <c r="B17" s="14"/>
      <c r="C17" s="15"/>
      <c r="D17" s="15"/>
      <c r="E17" s="16">
        <v>612100</v>
      </c>
      <c r="F17" s="18" t="s">
        <v>85</v>
      </c>
      <c r="G17" s="45">
        <v>28500</v>
      </c>
      <c r="H17" s="45">
        <v>28500</v>
      </c>
      <c r="I17" s="45">
        <v>28207</v>
      </c>
      <c r="J17" s="154">
        <f t="shared" si="0"/>
        <v>98.9719298245614</v>
      </c>
    </row>
    <row r="18" spans="2:10" ht="12.75" customHeight="1">
      <c r="B18" s="14"/>
      <c r="C18" s="15"/>
      <c r="D18" s="15"/>
      <c r="E18" s="16"/>
      <c r="F18" s="15"/>
      <c r="G18" s="45"/>
      <c r="H18" s="45"/>
      <c r="I18" s="45"/>
      <c r="J18" s="154">
        <f t="shared" si="0"/>
      </c>
    </row>
    <row r="19" spans="2:10" ht="12.75" customHeight="1">
      <c r="B19" s="14"/>
      <c r="C19" s="15"/>
      <c r="D19" s="15"/>
      <c r="E19" s="16"/>
      <c r="F19" s="15"/>
      <c r="G19" s="45"/>
      <c r="H19" s="45"/>
      <c r="I19" s="45"/>
      <c r="J19" s="154">
        <f t="shared" si="0"/>
      </c>
    </row>
    <row r="20" spans="2:10" s="1" customFormat="1" ht="12.75" customHeight="1">
      <c r="B20" s="17"/>
      <c r="C20" s="12"/>
      <c r="D20" s="12"/>
      <c r="E20" s="9">
        <v>613000</v>
      </c>
      <c r="F20" s="12" t="s">
        <v>169</v>
      </c>
      <c r="G20" s="51">
        <f>SUM(G21:G31)</f>
        <v>141500</v>
      </c>
      <c r="H20" s="51">
        <f>SUM(H21:H31)</f>
        <v>141500</v>
      </c>
      <c r="I20" s="51">
        <f>SUM(I21:I31)</f>
        <v>135475</v>
      </c>
      <c r="J20" s="153">
        <f t="shared" si="0"/>
        <v>95.74204946996467</v>
      </c>
    </row>
    <row r="21" spans="2:12" ht="12.75" customHeight="1">
      <c r="B21" s="14"/>
      <c r="C21" s="15"/>
      <c r="D21" s="15"/>
      <c r="E21" s="16">
        <v>613100</v>
      </c>
      <c r="F21" s="15" t="s">
        <v>86</v>
      </c>
      <c r="G21" s="45">
        <v>4500</v>
      </c>
      <c r="H21" s="45">
        <v>4500</v>
      </c>
      <c r="I21" s="45">
        <v>4008</v>
      </c>
      <c r="J21" s="154">
        <f t="shared" si="0"/>
        <v>89.06666666666668</v>
      </c>
      <c r="L21" s="91"/>
    </row>
    <row r="22" spans="2:10" ht="12.75" customHeight="1">
      <c r="B22" s="14"/>
      <c r="C22" s="15"/>
      <c r="D22" s="15"/>
      <c r="E22" s="16">
        <v>613200</v>
      </c>
      <c r="F22" s="15" t="s">
        <v>87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1" ht="12.75" customHeight="1">
      <c r="B23" s="14"/>
      <c r="C23" s="15"/>
      <c r="D23" s="15"/>
      <c r="E23" s="16">
        <v>613300</v>
      </c>
      <c r="F23" s="26" t="s">
        <v>206</v>
      </c>
      <c r="G23" s="84">
        <v>5600</v>
      </c>
      <c r="H23" s="84">
        <v>5600</v>
      </c>
      <c r="I23" s="84">
        <v>5580</v>
      </c>
      <c r="J23" s="154">
        <f t="shared" si="0"/>
        <v>99.64285714285714</v>
      </c>
      <c r="K23" s="113"/>
    </row>
    <row r="24" spans="2:10" ht="12.75" customHeight="1">
      <c r="B24" s="14"/>
      <c r="C24" s="15"/>
      <c r="D24" s="15"/>
      <c r="E24" s="16">
        <v>613400</v>
      </c>
      <c r="F24" s="15" t="s">
        <v>170</v>
      </c>
      <c r="G24" s="45">
        <v>3000</v>
      </c>
      <c r="H24" s="45">
        <v>3000</v>
      </c>
      <c r="I24" s="45">
        <v>2243</v>
      </c>
      <c r="J24" s="154">
        <f t="shared" si="0"/>
        <v>74.76666666666667</v>
      </c>
    </row>
    <row r="25" spans="2:10" ht="12.75" customHeight="1">
      <c r="B25" s="14"/>
      <c r="C25" s="15"/>
      <c r="D25" s="15"/>
      <c r="E25" s="16">
        <v>613500</v>
      </c>
      <c r="F25" s="15" t="s">
        <v>88</v>
      </c>
      <c r="G25" s="84">
        <v>0</v>
      </c>
      <c r="H25" s="84">
        <v>0</v>
      </c>
      <c r="I25" s="84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613600</v>
      </c>
      <c r="F26" s="26" t="s">
        <v>207</v>
      </c>
      <c r="G26" s="84">
        <v>0</v>
      </c>
      <c r="H26" s="84">
        <v>0</v>
      </c>
      <c r="I26" s="84">
        <v>0</v>
      </c>
      <c r="J26" s="154">
        <f t="shared" si="0"/>
      </c>
    </row>
    <row r="27" spans="2:10" ht="12.75" customHeight="1">
      <c r="B27" s="14"/>
      <c r="C27" s="15"/>
      <c r="D27" s="15"/>
      <c r="E27" s="16">
        <v>613700</v>
      </c>
      <c r="F27" s="15" t="s">
        <v>89</v>
      </c>
      <c r="G27" s="118">
        <v>3500</v>
      </c>
      <c r="H27" s="118">
        <v>3500</v>
      </c>
      <c r="I27" s="118">
        <v>3437</v>
      </c>
      <c r="J27" s="154">
        <f t="shared" si="0"/>
        <v>98.2</v>
      </c>
    </row>
    <row r="28" spans="2:10" ht="12.75" customHeight="1">
      <c r="B28" s="14"/>
      <c r="C28" s="15"/>
      <c r="D28" s="15"/>
      <c r="E28" s="16">
        <v>613800</v>
      </c>
      <c r="F28" s="15" t="s">
        <v>171</v>
      </c>
      <c r="G28" s="84">
        <v>7200</v>
      </c>
      <c r="H28" s="84">
        <v>7200</v>
      </c>
      <c r="I28" s="84">
        <v>6857</v>
      </c>
      <c r="J28" s="154">
        <f t="shared" si="0"/>
        <v>95.23611111111111</v>
      </c>
    </row>
    <row r="29" spans="2:12" ht="12.75" customHeight="1">
      <c r="B29" s="14"/>
      <c r="C29" s="15"/>
      <c r="D29" s="15"/>
      <c r="E29" s="16">
        <v>613900</v>
      </c>
      <c r="F29" s="15" t="s">
        <v>172</v>
      </c>
      <c r="G29" s="167">
        <v>25000</v>
      </c>
      <c r="H29" s="167">
        <v>25000</v>
      </c>
      <c r="I29" s="167">
        <v>24770</v>
      </c>
      <c r="J29" s="154">
        <f t="shared" si="0"/>
        <v>99.08</v>
      </c>
      <c r="L29" s="91"/>
    </row>
    <row r="30" spans="2:10" ht="12.75" customHeight="1">
      <c r="B30" s="14"/>
      <c r="C30" s="15"/>
      <c r="D30" s="15"/>
      <c r="E30" s="65">
        <v>613900</v>
      </c>
      <c r="F30" s="26" t="s">
        <v>186</v>
      </c>
      <c r="G30" s="84">
        <v>73500</v>
      </c>
      <c r="H30" s="84">
        <v>73500</v>
      </c>
      <c r="I30" s="84">
        <v>69479</v>
      </c>
      <c r="J30" s="154">
        <f t="shared" si="0"/>
        <v>94.52925170068028</v>
      </c>
    </row>
    <row r="31" spans="2:10" ht="12.75" customHeight="1">
      <c r="B31" s="14"/>
      <c r="C31" s="15"/>
      <c r="D31" s="15"/>
      <c r="E31" s="16">
        <v>613900</v>
      </c>
      <c r="F31" s="366" t="s">
        <v>708</v>
      </c>
      <c r="G31" s="84">
        <v>19200</v>
      </c>
      <c r="H31" s="84">
        <v>19200</v>
      </c>
      <c r="I31" s="84">
        <v>19101</v>
      </c>
      <c r="J31" s="154">
        <f t="shared" si="0"/>
        <v>99.484375</v>
      </c>
    </row>
    <row r="32" spans="2:10" ht="12.75" customHeight="1">
      <c r="B32" s="14"/>
      <c r="C32" s="15"/>
      <c r="D32" s="15"/>
      <c r="E32" s="65"/>
      <c r="F32" s="15"/>
      <c r="G32" s="84"/>
      <c r="H32" s="84"/>
      <c r="I32" s="84"/>
      <c r="J32" s="154">
        <f t="shared" si="0"/>
      </c>
    </row>
    <row r="33" spans="2:10" s="1" customFormat="1" ht="12.75" customHeight="1">
      <c r="B33" s="17"/>
      <c r="C33" s="12"/>
      <c r="D33" s="32"/>
      <c r="E33" s="9">
        <v>614000</v>
      </c>
      <c r="F33" s="12" t="s">
        <v>208</v>
      </c>
      <c r="G33" s="109">
        <f>SUM(G34:G36)</f>
        <v>448000</v>
      </c>
      <c r="H33" s="109">
        <f>SUM(H34:H36)</f>
        <v>448000</v>
      </c>
      <c r="I33" s="109">
        <f>SUM(I34:I36)</f>
        <v>442937</v>
      </c>
      <c r="J33" s="153">
        <f t="shared" si="0"/>
        <v>98.86986607142858</v>
      </c>
    </row>
    <row r="34" spans="2:12" ht="12.75" customHeight="1">
      <c r="B34" s="14"/>
      <c r="C34" s="15"/>
      <c r="D34" s="31"/>
      <c r="E34" s="16">
        <v>614100</v>
      </c>
      <c r="F34" s="60" t="s">
        <v>332</v>
      </c>
      <c r="G34" s="84">
        <f>314000+28000</f>
        <v>342000</v>
      </c>
      <c r="H34" s="84">
        <f>314000+28000</f>
        <v>342000</v>
      </c>
      <c r="I34" s="84">
        <v>341991</v>
      </c>
      <c r="J34" s="154">
        <f t="shared" si="0"/>
        <v>99.99736842105264</v>
      </c>
      <c r="K34" s="108"/>
      <c r="L34" s="83"/>
    </row>
    <row r="35" spans="2:11" ht="12.75" customHeight="1">
      <c r="B35" s="14"/>
      <c r="C35" s="15"/>
      <c r="D35" s="31"/>
      <c r="E35" s="63">
        <v>614800</v>
      </c>
      <c r="F35" s="60" t="s">
        <v>114</v>
      </c>
      <c r="G35" s="84">
        <v>50000</v>
      </c>
      <c r="H35" s="84">
        <v>50000</v>
      </c>
      <c r="I35" s="84">
        <v>49162</v>
      </c>
      <c r="J35" s="154">
        <f t="shared" si="0"/>
        <v>98.324</v>
      </c>
      <c r="K35" s="83"/>
    </row>
    <row r="36" spans="2:11" ht="12.75" customHeight="1">
      <c r="B36" s="14"/>
      <c r="C36" s="15"/>
      <c r="D36" s="31"/>
      <c r="E36" s="63">
        <v>614800</v>
      </c>
      <c r="F36" s="391" t="s">
        <v>731</v>
      </c>
      <c r="G36" s="84">
        <f>10000+22000+24000</f>
        <v>56000</v>
      </c>
      <c r="H36" s="84">
        <f>10000+22000+24000</f>
        <v>56000</v>
      </c>
      <c r="I36" s="84">
        <v>51784</v>
      </c>
      <c r="J36" s="154">
        <f t="shared" si="0"/>
        <v>92.47142857142858</v>
      </c>
      <c r="K36" s="83"/>
    </row>
    <row r="37" spans="2:10" ht="12.75" customHeight="1">
      <c r="B37" s="14"/>
      <c r="C37" s="15"/>
      <c r="D37" s="31"/>
      <c r="E37" s="104"/>
      <c r="F37" s="60"/>
      <c r="G37" s="84"/>
      <c r="H37" s="84"/>
      <c r="I37" s="84"/>
      <c r="J37" s="154">
        <f t="shared" si="0"/>
      </c>
    </row>
    <row r="38" spans="2:10" ht="12.75" customHeight="1">
      <c r="B38" s="14"/>
      <c r="C38" s="15"/>
      <c r="D38" s="15"/>
      <c r="E38" s="98">
        <v>616000</v>
      </c>
      <c r="F38" s="34" t="s">
        <v>211</v>
      </c>
      <c r="G38" s="168">
        <f>SUM(G39:G41)</f>
        <v>81310</v>
      </c>
      <c r="H38" s="168">
        <f>SUM(H39:H41)</f>
        <v>81310</v>
      </c>
      <c r="I38" s="168">
        <f>SUM(I39:I41)</f>
        <v>80644</v>
      </c>
      <c r="J38" s="153">
        <f t="shared" si="0"/>
        <v>99.18091255688107</v>
      </c>
    </row>
    <row r="39" spans="2:12" ht="12.75" customHeight="1">
      <c r="B39" s="14"/>
      <c r="C39" s="15"/>
      <c r="D39" s="15"/>
      <c r="E39" s="78">
        <v>616300</v>
      </c>
      <c r="F39" s="68" t="s">
        <v>328</v>
      </c>
      <c r="G39" s="84">
        <v>14020</v>
      </c>
      <c r="H39" s="84">
        <v>14020</v>
      </c>
      <c r="I39" s="84">
        <v>14014</v>
      </c>
      <c r="J39" s="154">
        <f t="shared" si="0"/>
        <v>99.95720399429386</v>
      </c>
      <c r="L39" s="91"/>
    </row>
    <row r="40" spans="2:10" ht="12.75" customHeight="1">
      <c r="B40" s="14"/>
      <c r="C40" s="15"/>
      <c r="D40" s="15"/>
      <c r="E40" s="78">
        <v>616300</v>
      </c>
      <c r="F40" s="68" t="s">
        <v>218</v>
      </c>
      <c r="G40" s="84">
        <v>23440</v>
      </c>
      <c r="H40" s="84">
        <v>23440</v>
      </c>
      <c r="I40" s="84">
        <v>23437</v>
      </c>
      <c r="J40" s="154">
        <f t="shared" si="0"/>
        <v>99.98720136518772</v>
      </c>
    </row>
    <row r="41" spans="2:10" ht="12.75" customHeight="1">
      <c r="B41" s="14"/>
      <c r="C41" s="15"/>
      <c r="D41" s="15"/>
      <c r="E41" s="78">
        <v>616300</v>
      </c>
      <c r="F41" s="68" t="s">
        <v>223</v>
      </c>
      <c r="G41" s="84">
        <v>43850</v>
      </c>
      <c r="H41" s="84">
        <v>43850</v>
      </c>
      <c r="I41" s="84">
        <v>43193</v>
      </c>
      <c r="J41" s="154">
        <f t="shared" si="0"/>
        <v>98.50171037628279</v>
      </c>
    </row>
    <row r="42" spans="2:10" ht="12.75" customHeight="1">
      <c r="B42" s="14"/>
      <c r="C42" s="15"/>
      <c r="D42" s="15"/>
      <c r="E42" s="16"/>
      <c r="F42" s="15"/>
      <c r="G42" s="109"/>
      <c r="H42" s="109"/>
      <c r="I42" s="109"/>
      <c r="J42" s="154">
        <f t="shared" si="0"/>
      </c>
    </row>
    <row r="43" spans="2:10" ht="12.75" customHeight="1">
      <c r="B43" s="17"/>
      <c r="C43" s="12"/>
      <c r="D43" s="12"/>
      <c r="E43" s="9">
        <v>821000</v>
      </c>
      <c r="F43" s="12" t="s">
        <v>92</v>
      </c>
      <c r="G43" s="109">
        <f>SUM(G44:G45)</f>
        <v>12000</v>
      </c>
      <c r="H43" s="109">
        <f>SUM(H44:H45)</f>
        <v>12000</v>
      </c>
      <c r="I43" s="109">
        <f>SUM(I44:I45)</f>
        <v>11995</v>
      </c>
      <c r="J43" s="153">
        <f t="shared" si="0"/>
        <v>99.95833333333334</v>
      </c>
    </row>
    <row r="44" spans="2:10" ht="12.75" customHeight="1">
      <c r="B44" s="14"/>
      <c r="C44" s="15"/>
      <c r="D44" s="15"/>
      <c r="E44" s="16">
        <v>821200</v>
      </c>
      <c r="F44" s="15" t="s">
        <v>93</v>
      </c>
      <c r="G44" s="118">
        <v>0</v>
      </c>
      <c r="H44" s="118">
        <v>0</v>
      </c>
      <c r="I44" s="118">
        <v>0</v>
      </c>
      <c r="J44" s="154">
        <f t="shared" si="0"/>
      </c>
    </row>
    <row r="45" spans="2:10" s="1" customFormat="1" ht="12.75" customHeight="1">
      <c r="B45" s="14"/>
      <c r="C45" s="15"/>
      <c r="D45" s="15"/>
      <c r="E45" s="16">
        <v>821300</v>
      </c>
      <c r="F45" s="15" t="s">
        <v>94</v>
      </c>
      <c r="G45" s="118">
        <v>12000</v>
      </c>
      <c r="H45" s="118">
        <v>12000</v>
      </c>
      <c r="I45" s="118">
        <v>11995</v>
      </c>
      <c r="J45" s="154">
        <f t="shared" si="0"/>
        <v>99.95833333333334</v>
      </c>
    </row>
    <row r="46" spans="2:10" ht="12.75" customHeight="1">
      <c r="B46" s="14"/>
      <c r="C46" s="15"/>
      <c r="D46" s="15"/>
      <c r="E46" s="16"/>
      <c r="F46" s="15"/>
      <c r="G46" s="84"/>
      <c r="H46" s="84"/>
      <c r="I46" s="84"/>
      <c r="J46" s="154">
        <f t="shared" si="0"/>
      </c>
    </row>
    <row r="47" spans="2:10" ht="12.75" customHeight="1">
      <c r="B47" s="17"/>
      <c r="C47" s="12"/>
      <c r="D47" s="12"/>
      <c r="E47" s="9">
        <v>823000</v>
      </c>
      <c r="F47" s="12" t="s">
        <v>219</v>
      </c>
      <c r="G47" s="109">
        <f>SUM(G48:G48)</f>
        <v>1384620</v>
      </c>
      <c r="H47" s="109">
        <f>SUM(H48:H48)</f>
        <v>1384620</v>
      </c>
      <c r="I47" s="109">
        <f>SUM(I48:I48)</f>
        <v>1384615</v>
      </c>
      <c r="J47" s="153">
        <f t="shared" si="0"/>
        <v>99.99963889009258</v>
      </c>
    </row>
    <row r="48" spans="2:10" ht="12.75" customHeight="1">
      <c r="B48" s="14"/>
      <c r="C48" s="15"/>
      <c r="D48" s="15"/>
      <c r="E48" s="16">
        <v>823300</v>
      </c>
      <c r="F48" s="26" t="s">
        <v>321</v>
      </c>
      <c r="G48" s="118">
        <v>1384620</v>
      </c>
      <c r="H48" s="118">
        <v>1384620</v>
      </c>
      <c r="I48" s="118">
        <v>1384615</v>
      </c>
      <c r="J48" s="154">
        <f t="shared" si="0"/>
        <v>99.99963889009258</v>
      </c>
    </row>
    <row r="49" spans="2:10" ht="12.75" customHeight="1">
      <c r="B49" s="14"/>
      <c r="C49" s="15"/>
      <c r="D49" s="15"/>
      <c r="E49" s="16"/>
      <c r="F49" s="15"/>
      <c r="G49" s="15"/>
      <c r="H49" s="15"/>
      <c r="I49" s="15"/>
      <c r="J49" s="154">
        <f t="shared" si="0"/>
      </c>
    </row>
    <row r="50" spans="2:10" ht="12.75" customHeight="1">
      <c r="B50" s="17"/>
      <c r="C50" s="12"/>
      <c r="D50" s="12"/>
      <c r="E50" s="9"/>
      <c r="F50" s="12" t="s">
        <v>95</v>
      </c>
      <c r="G50" s="12">
        <v>15</v>
      </c>
      <c r="H50" s="12">
        <v>15</v>
      </c>
      <c r="I50" s="12">
        <v>15</v>
      </c>
      <c r="J50" s="154"/>
    </row>
    <row r="51" spans="2:10" ht="12.75" customHeight="1">
      <c r="B51" s="17"/>
      <c r="C51" s="12"/>
      <c r="D51" s="12"/>
      <c r="E51" s="9"/>
      <c r="F51" s="12" t="s">
        <v>116</v>
      </c>
      <c r="G51" s="20">
        <f>G7+G10+G16+G20+G33+G38+G43+G47</f>
        <v>2457630</v>
      </c>
      <c r="H51" s="20">
        <f>H7+H10+H16+H20+H33+H38+H43+H47</f>
        <v>2457630</v>
      </c>
      <c r="I51" s="20">
        <f>I7+I10+I16+I20+I33+I38+I43+I47</f>
        <v>2435035</v>
      </c>
      <c r="J51" s="153">
        <f t="shared" si="0"/>
        <v>99.08061831927508</v>
      </c>
    </row>
    <row r="52" spans="2:10" s="1" customFormat="1" ht="12.75" customHeight="1">
      <c r="B52" s="17"/>
      <c r="C52" s="12"/>
      <c r="D52" s="12"/>
      <c r="E52" s="9"/>
      <c r="F52" s="12" t="s">
        <v>96</v>
      </c>
      <c r="G52" s="20">
        <f aca="true" t="shared" si="1" ref="G52:I53">G51</f>
        <v>2457630</v>
      </c>
      <c r="H52" s="20">
        <f t="shared" si="1"/>
        <v>2457630</v>
      </c>
      <c r="I52" s="20">
        <f t="shared" si="1"/>
        <v>2435035</v>
      </c>
      <c r="J52" s="153">
        <f t="shared" si="0"/>
        <v>99.08061831927508</v>
      </c>
    </row>
    <row r="53" spans="2:10" s="1" customFormat="1" ht="12.75" customHeight="1">
      <c r="B53" s="17"/>
      <c r="C53" s="12"/>
      <c r="D53" s="12"/>
      <c r="E53" s="9"/>
      <c r="F53" s="12" t="s">
        <v>97</v>
      </c>
      <c r="G53" s="20">
        <f t="shared" si="1"/>
        <v>2457630</v>
      </c>
      <c r="H53" s="20">
        <f t="shared" si="1"/>
        <v>2457630</v>
      </c>
      <c r="I53" s="20">
        <f t="shared" si="1"/>
        <v>2435035</v>
      </c>
      <c r="J53" s="153">
        <f t="shared" si="0"/>
        <v>99.08061831927508</v>
      </c>
    </row>
    <row r="54" spans="2:10" s="1" customFormat="1" ht="12.75" customHeight="1" thickBot="1">
      <c r="B54" s="21"/>
      <c r="C54" s="22"/>
      <c r="D54" s="22"/>
      <c r="E54" s="23"/>
      <c r="F54" s="22"/>
      <c r="G54" s="36"/>
      <c r="H54" s="50"/>
      <c r="I54" s="22"/>
      <c r="J54" s="157"/>
    </row>
    <row r="55" spans="2:10" s="1" customFormat="1" ht="12.75" customHeight="1">
      <c r="B55" s="13"/>
      <c r="C55" s="13"/>
      <c r="D55" s="13"/>
      <c r="E55" s="24"/>
      <c r="F55" s="13"/>
      <c r="G55" s="13"/>
      <c r="H55" s="13"/>
      <c r="I55" s="13"/>
      <c r="J55" s="141"/>
    </row>
    <row r="56" ht="12.75" customHeight="1"/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&amp;R23</oddFooter>
  </headerFooter>
  <colBreaks count="1" manualBreakCount="1">
    <brk id="1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L50"/>
  <sheetViews>
    <sheetView zoomScaleSheetLayoutView="130" workbookViewId="0" topLeftCell="A7">
      <selection activeCell="J39" sqref="J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142</v>
      </c>
      <c r="C2" s="452"/>
      <c r="D2" s="452"/>
      <c r="E2" s="452"/>
      <c r="F2" s="452"/>
      <c r="G2" s="452"/>
      <c r="H2" s="452"/>
      <c r="I2" s="452"/>
      <c r="J2" s="147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143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231180</v>
      </c>
      <c r="H7" s="20">
        <f>SUM(H8:H11)</f>
        <v>231180</v>
      </c>
      <c r="I7" s="20">
        <f>SUM(I8:I11)</f>
        <v>226886</v>
      </c>
      <c r="J7" s="153">
        <f aca="true" t="shared" si="0" ref="J7:J42">IF(H7=0,"",I7/H7*100)</f>
        <v>98.14257288692794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84">
        <v>147200</v>
      </c>
      <c r="H8" s="84">
        <v>147200</v>
      </c>
      <c r="I8" s="84">
        <v>145423</v>
      </c>
      <c r="J8" s="154">
        <f t="shared" si="0"/>
        <v>98.79279891304348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84">
        <f>32100+7*240</f>
        <v>33780</v>
      </c>
      <c r="H9" s="84">
        <f>32100+7*240</f>
        <v>33780</v>
      </c>
      <c r="I9" s="84">
        <v>32461</v>
      </c>
      <c r="J9" s="154">
        <f t="shared" si="0"/>
        <v>96.09532267613973</v>
      </c>
    </row>
    <row r="10" spans="2:12" ht="12.75" customHeight="1">
      <c r="B10" s="14"/>
      <c r="C10" s="15"/>
      <c r="D10" s="15"/>
      <c r="E10" s="16">
        <v>611200</v>
      </c>
      <c r="F10" s="366" t="s">
        <v>709</v>
      </c>
      <c r="G10" s="84">
        <v>50200</v>
      </c>
      <c r="H10" s="84">
        <v>50200</v>
      </c>
      <c r="I10" s="84">
        <v>49002</v>
      </c>
      <c r="J10" s="154">
        <f t="shared" si="0"/>
        <v>97.61354581673307</v>
      </c>
      <c r="L10" s="90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15900</v>
      </c>
      <c r="H13" s="20">
        <f>H14</f>
        <v>15900</v>
      </c>
      <c r="I13" s="20">
        <f>I14</f>
        <v>15366</v>
      </c>
      <c r="J13" s="153">
        <f t="shared" si="0"/>
        <v>96.64150943396227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84">
        <v>15900</v>
      </c>
      <c r="H14" s="84">
        <v>15900</v>
      </c>
      <c r="I14" s="84">
        <v>15366</v>
      </c>
      <c r="J14" s="154">
        <f t="shared" si="0"/>
        <v>96.64150943396227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54">
        <f t="shared" si="0"/>
      </c>
    </row>
    <row r="17" spans="2:12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141790</v>
      </c>
      <c r="H17" s="51">
        <f>SUM(H18:H27)</f>
        <v>141790</v>
      </c>
      <c r="I17" s="51">
        <f>SUM(I18:I27)</f>
        <v>141512</v>
      </c>
      <c r="J17" s="153">
        <f t="shared" si="0"/>
        <v>99.80393539741871</v>
      </c>
      <c r="L17" s="92"/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4000</v>
      </c>
      <c r="H18" s="45">
        <v>4000</v>
      </c>
      <c r="I18" s="45">
        <v>3787</v>
      </c>
      <c r="J18" s="154">
        <f t="shared" si="0"/>
        <v>94.675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5">
        <v>15000</v>
      </c>
      <c r="H20" s="45">
        <f>15000+670</f>
        <v>15670</v>
      </c>
      <c r="I20" s="45">
        <v>15655</v>
      </c>
      <c r="J20" s="154">
        <f t="shared" si="0"/>
        <v>99.90427568602425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84">
        <v>600</v>
      </c>
      <c r="H21" s="84">
        <f>600+10</f>
        <v>610</v>
      </c>
      <c r="I21" s="84">
        <v>606</v>
      </c>
      <c r="J21" s="154">
        <f t="shared" si="0"/>
        <v>99.34426229508196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84">
        <v>0</v>
      </c>
      <c r="H22" s="84">
        <v>0</v>
      </c>
      <c r="I22" s="84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84">
        <v>0</v>
      </c>
      <c r="H23" s="84">
        <v>0</v>
      </c>
      <c r="I23" s="84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84">
        <v>1000</v>
      </c>
      <c r="H24" s="84">
        <f>1000-890</f>
        <v>110</v>
      </c>
      <c r="I24" s="84">
        <v>107</v>
      </c>
      <c r="J24" s="154">
        <f t="shared" si="0"/>
        <v>97.27272727272728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84">
        <v>0</v>
      </c>
      <c r="H25" s="84">
        <v>0</v>
      </c>
      <c r="I25" s="84">
        <v>0</v>
      </c>
      <c r="J25" s="154">
        <f t="shared" si="0"/>
      </c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18">
        <v>69490</v>
      </c>
      <c r="H26" s="118">
        <f>69490+850</f>
        <v>70340</v>
      </c>
      <c r="I26" s="118">
        <v>70306</v>
      </c>
      <c r="J26" s="154">
        <f t="shared" si="0"/>
        <v>99.95166334944555</v>
      </c>
      <c r="K26" s="91"/>
      <c r="L26" s="91"/>
    </row>
    <row r="27" spans="2:11" ht="12.75" customHeight="1">
      <c r="B27" s="14"/>
      <c r="C27" s="15"/>
      <c r="D27" s="15"/>
      <c r="E27" s="16">
        <v>613900</v>
      </c>
      <c r="F27" s="366" t="s">
        <v>710</v>
      </c>
      <c r="G27" s="84">
        <v>51700</v>
      </c>
      <c r="H27" s="84">
        <f>51700-640</f>
        <v>51060</v>
      </c>
      <c r="I27" s="84">
        <v>51051</v>
      </c>
      <c r="J27" s="154">
        <f t="shared" si="0"/>
        <v>99.98237367802585</v>
      </c>
      <c r="K27" s="91"/>
    </row>
    <row r="28" spans="2:10" ht="12.75" customHeight="1">
      <c r="B28" s="14"/>
      <c r="C28" s="15"/>
      <c r="D28" s="15"/>
      <c r="E28" s="16"/>
      <c r="F28" s="15"/>
      <c r="G28" s="109"/>
      <c r="H28" s="109"/>
      <c r="I28" s="109"/>
      <c r="J28" s="154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208</v>
      </c>
      <c r="G29" s="109">
        <f>SUM(G30:G31)</f>
        <v>2362000</v>
      </c>
      <c r="H29" s="109">
        <f>SUM(H30:H31)</f>
        <v>2362000</v>
      </c>
      <c r="I29" s="109">
        <f>SUM(I30:I31)</f>
        <v>2340738</v>
      </c>
      <c r="J29" s="153">
        <f t="shared" si="0"/>
        <v>99.09983065198983</v>
      </c>
    </row>
    <row r="30" spans="2:11" ht="12.75" customHeight="1">
      <c r="B30" s="14"/>
      <c r="C30" s="15"/>
      <c r="D30" s="31"/>
      <c r="E30" s="16">
        <v>614100</v>
      </c>
      <c r="F30" s="26" t="s">
        <v>221</v>
      </c>
      <c r="G30" s="118">
        <v>490000</v>
      </c>
      <c r="H30" s="118">
        <v>490000</v>
      </c>
      <c r="I30" s="118">
        <v>490000</v>
      </c>
      <c r="J30" s="154">
        <f t="shared" si="0"/>
        <v>100</v>
      </c>
      <c r="K30" s="113"/>
    </row>
    <row r="31" spans="2:12" ht="12.75" customHeight="1">
      <c r="B31" s="14"/>
      <c r="C31" s="15"/>
      <c r="D31" s="15"/>
      <c r="E31" s="16">
        <v>614200</v>
      </c>
      <c r="F31" s="26" t="s">
        <v>107</v>
      </c>
      <c r="G31" s="118">
        <v>1872000</v>
      </c>
      <c r="H31" s="118">
        <v>1872000</v>
      </c>
      <c r="I31" s="118">
        <v>1850738</v>
      </c>
      <c r="J31" s="154">
        <f t="shared" si="0"/>
        <v>98.8642094017094</v>
      </c>
      <c r="K31" s="113"/>
      <c r="L31" s="91"/>
    </row>
    <row r="32" spans="2:11" ht="12.75" customHeight="1">
      <c r="B32" s="14"/>
      <c r="C32" s="15"/>
      <c r="D32" s="15"/>
      <c r="E32" s="16"/>
      <c r="F32" s="15"/>
      <c r="G32" s="84"/>
      <c r="H32" s="84"/>
      <c r="I32" s="84"/>
      <c r="J32" s="154">
        <f t="shared" si="0"/>
      </c>
      <c r="K32" s="113"/>
    </row>
    <row r="33" spans="2:10" ht="12.75" customHeight="1">
      <c r="B33" s="14"/>
      <c r="C33" s="15"/>
      <c r="D33" s="15"/>
      <c r="E33" s="16"/>
      <c r="F33" s="15"/>
      <c r="G33" s="109"/>
      <c r="H33" s="109"/>
      <c r="I33" s="109"/>
      <c r="J33" s="154">
        <f t="shared" si="0"/>
      </c>
    </row>
    <row r="34" spans="2:10" ht="12.75" customHeight="1">
      <c r="B34" s="17"/>
      <c r="C34" s="12"/>
      <c r="D34" s="12"/>
      <c r="E34" s="9">
        <v>821000</v>
      </c>
      <c r="F34" s="12" t="s">
        <v>92</v>
      </c>
      <c r="G34" s="109">
        <f>G35+G36</f>
        <v>1500</v>
      </c>
      <c r="H34" s="109">
        <f>H35+H36</f>
        <v>1500</v>
      </c>
      <c r="I34" s="109">
        <f>I35+I36</f>
        <v>1457</v>
      </c>
      <c r="J34" s="153">
        <f t="shared" si="0"/>
        <v>97.13333333333334</v>
      </c>
    </row>
    <row r="35" spans="2:11" s="1" customFormat="1" ht="12.75" customHeight="1">
      <c r="B35" s="14"/>
      <c r="C35" s="15"/>
      <c r="D35" s="15"/>
      <c r="E35" s="16">
        <v>821200</v>
      </c>
      <c r="F35" s="15" t="s">
        <v>93</v>
      </c>
      <c r="G35" s="84">
        <v>0</v>
      </c>
      <c r="H35" s="84">
        <v>0</v>
      </c>
      <c r="I35" s="84">
        <v>0</v>
      </c>
      <c r="J35" s="154">
        <f t="shared" si="0"/>
      </c>
      <c r="K35" s="1" t="s">
        <v>180</v>
      </c>
    </row>
    <row r="36" spans="2:10" ht="12.75" customHeight="1">
      <c r="B36" s="14"/>
      <c r="C36" s="15"/>
      <c r="D36" s="15"/>
      <c r="E36" s="16">
        <v>821300</v>
      </c>
      <c r="F36" s="15" t="s">
        <v>94</v>
      </c>
      <c r="G36" s="84">
        <v>1500</v>
      </c>
      <c r="H36" s="84">
        <v>1500</v>
      </c>
      <c r="I36" s="84">
        <v>1457</v>
      </c>
      <c r="J36" s="154">
        <f t="shared" si="0"/>
        <v>97.13333333333334</v>
      </c>
    </row>
    <row r="37" spans="2:10" ht="12.75" customHeight="1">
      <c r="B37" s="14"/>
      <c r="C37" s="15"/>
      <c r="D37" s="15"/>
      <c r="E37" s="16"/>
      <c r="F37" s="15"/>
      <c r="G37" s="84"/>
      <c r="H37" s="84"/>
      <c r="I37" s="84"/>
      <c r="J37" s="154">
        <f t="shared" si="0"/>
      </c>
    </row>
    <row r="38" spans="2:10" ht="12.75" customHeight="1">
      <c r="B38" s="14"/>
      <c r="C38" s="15"/>
      <c r="D38" s="15"/>
      <c r="E38" s="16"/>
      <c r="F38" s="15"/>
      <c r="G38" s="20"/>
      <c r="H38" s="20"/>
      <c r="I38" s="20"/>
      <c r="J38" s="154">
        <f t="shared" si="0"/>
      </c>
    </row>
    <row r="39" spans="2:10" ht="12.75" customHeight="1">
      <c r="B39" s="17"/>
      <c r="C39" s="12"/>
      <c r="D39" s="12"/>
      <c r="E39" s="9"/>
      <c r="F39" s="12" t="s">
        <v>95</v>
      </c>
      <c r="G39" s="109">
        <v>7</v>
      </c>
      <c r="H39" s="109">
        <v>7</v>
      </c>
      <c r="I39" s="109">
        <v>7</v>
      </c>
      <c r="J39" s="154"/>
    </row>
    <row r="40" spans="2:10" s="1" customFormat="1" ht="12.75" customHeight="1">
      <c r="B40" s="17"/>
      <c r="C40" s="12"/>
      <c r="D40" s="12"/>
      <c r="E40" s="9"/>
      <c r="F40" s="12" t="s">
        <v>116</v>
      </c>
      <c r="G40" s="20">
        <f>G7+G13+G17+G29+G34</f>
        <v>2752370</v>
      </c>
      <c r="H40" s="20">
        <f>H7+H13+H17+H29+H34</f>
        <v>2752370</v>
      </c>
      <c r="I40" s="20">
        <f>I7+I13+I17+I29+I34</f>
        <v>2725959</v>
      </c>
      <c r="J40" s="153">
        <f t="shared" si="0"/>
        <v>99.0404269774776</v>
      </c>
    </row>
    <row r="41" spans="2:10" s="1" customFormat="1" ht="12.75" customHeight="1">
      <c r="B41" s="17"/>
      <c r="C41" s="12"/>
      <c r="D41" s="12"/>
      <c r="E41" s="9"/>
      <c r="F41" s="12" t="s">
        <v>96</v>
      </c>
      <c r="G41" s="20">
        <f aca="true" t="shared" si="1" ref="G41:I42">G40</f>
        <v>2752370</v>
      </c>
      <c r="H41" s="20">
        <f t="shared" si="1"/>
        <v>2752370</v>
      </c>
      <c r="I41" s="20">
        <f t="shared" si="1"/>
        <v>2725959</v>
      </c>
      <c r="J41" s="153">
        <f t="shared" si="0"/>
        <v>99.0404269774776</v>
      </c>
    </row>
    <row r="42" spans="2:10" s="1" customFormat="1" ht="12.75" customHeight="1">
      <c r="B42" s="17"/>
      <c r="C42" s="12"/>
      <c r="D42" s="12"/>
      <c r="E42" s="9"/>
      <c r="F42" s="12" t="s">
        <v>97</v>
      </c>
      <c r="G42" s="20">
        <f t="shared" si="1"/>
        <v>2752370</v>
      </c>
      <c r="H42" s="20">
        <f t="shared" si="1"/>
        <v>2752370</v>
      </c>
      <c r="I42" s="20">
        <f t="shared" si="1"/>
        <v>2725959</v>
      </c>
      <c r="J42" s="153">
        <f t="shared" si="0"/>
        <v>99.0404269774776</v>
      </c>
    </row>
    <row r="43" spans="2:10" s="1" customFormat="1" ht="12.75" customHeight="1" thickBot="1">
      <c r="B43" s="21"/>
      <c r="C43" s="22"/>
      <c r="D43" s="22"/>
      <c r="E43" s="23"/>
      <c r="F43" s="22"/>
      <c r="G43" s="36"/>
      <c r="H43" s="50"/>
      <c r="I43" s="22"/>
      <c r="J43" s="157"/>
    </row>
    <row r="44" ht="12.75" customHeight="1"/>
    <row r="46" ht="12.75">
      <c r="B46" s="83"/>
    </row>
    <row r="47" ht="12.75">
      <c r="B47" s="83"/>
    </row>
    <row r="48" ht="12.75">
      <c r="B48" s="83"/>
    </row>
    <row r="49" ht="12.75">
      <c r="B49" s="83"/>
    </row>
    <row r="50" ht="12.75">
      <c r="B50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B2:L50"/>
  <sheetViews>
    <sheetView zoomScaleSheetLayoutView="100" workbookViewId="0" topLeftCell="C10">
      <selection activeCell="J42" sqref="J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183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144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219910</v>
      </c>
      <c r="H7" s="20">
        <f>SUM(H8:H11)</f>
        <v>219910</v>
      </c>
      <c r="I7" s="20">
        <f>SUM(I8:I11)</f>
        <v>217590</v>
      </c>
      <c r="J7" s="153">
        <f aca="true" t="shared" si="0" ref="J7:J45">IF(H7=0,"",I7/H7*100)</f>
        <v>98.94502296393979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171500</v>
      </c>
      <c r="H8" s="118">
        <v>171500</v>
      </c>
      <c r="I8" s="118">
        <v>170693</v>
      </c>
      <c r="J8" s="154">
        <f t="shared" si="0"/>
        <v>99.52944606413993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39900+9*240</f>
        <v>42060</v>
      </c>
      <c r="H9" s="118">
        <f>39900+9*240</f>
        <v>42060</v>
      </c>
      <c r="I9" s="118">
        <v>40970</v>
      </c>
      <c r="J9" s="154">
        <f t="shared" si="0"/>
        <v>97.40846409890632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6350</v>
      </c>
      <c r="H10" s="84">
        <v>6350</v>
      </c>
      <c r="I10" s="84">
        <v>5927</v>
      </c>
      <c r="J10" s="154">
        <f t="shared" si="0"/>
        <v>93.33858267716535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18500</v>
      </c>
      <c r="H13" s="20">
        <f>H14</f>
        <v>18500</v>
      </c>
      <c r="I13" s="20">
        <f>I14</f>
        <v>18051</v>
      </c>
      <c r="J13" s="153">
        <f t="shared" si="0"/>
        <v>97.57297297297298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18500</v>
      </c>
      <c r="H14" s="118">
        <v>18500</v>
      </c>
      <c r="I14" s="118">
        <v>18051</v>
      </c>
      <c r="J14" s="154">
        <f t="shared" si="0"/>
        <v>97.57297297297298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SUM(G18:G28)</f>
        <v>415650</v>
      </c>
      <c r="H17" s="51">
        <f>SUM(H18:H28)</f>
        <v>415650</v>
      </c>
      <c r="I17" s="51">
        <f>SUM(I18:I28)</f>
        <v>355045</v>
      </c>
      <c r="J17" s="153">
        <f t="shared" si="0"/>
        <v>85.41922290388548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1800</v>
      </c>
      <c r="H18" s="46">
        <v>1800</v>
      </c>
      <c r="I18" s="46">
        <v>690</v>
      </c>
      <c r="J18" s="154">
        <f t="shared" si="0"/>
        <v>38.333333333333336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0</v>
      </c>
      <c r="H19" s="46">
        <v>0</v>
      </c>
      <c r="I19" s="46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5000</v>
      </c>
      <c r="H20" s="46">
        <v>5000</v>
      </c>
      <c r="I20" s="46">
        <v>4153</v>
      </c>
      <c r="J20" s="154">
        <f t="shared" si="0"/>
        <v>83.06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0</v>
      </c>
      <c r="H21" s="46">
        <v>0</v>
      </c>
      <c r="I21" s="46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0</v>
      </c>
      <c r="H22" s="118">
        <v>0</v>
      </c>
      <c r="I22" s="118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65">
        <v>613700</v>
      </c>
      <c r="F24" s="15" t="s">
        <v>89</v>
      </c>
      <c r="G24" s="118">
        <v>1500</v>
      </c>
      <c r="H24" s="118">
        <v>1500</v>
      </c>
      <c r="I24" s="118">
        <v>1419</v>
      </c>
      <c r="J24" s="154">
        <f t="shared" si="0"/>
        <v>94.6</v>
      </c>
    </row>
    <row r="25" spans="2:10" ht="12.75" customHeight="1">
      <c r="B25" s="14"/>
      <c r="C25" s="15"/>
      <c r="D25" s="31"/>
      <c r="E25" s="16">
        <v>613700</v>
      </c>
      <c r="F25" s="64" t="s">
        <v>90</v>
      </c>
      <c r="G25" s="118">
        <v>390000</v>
      </c>
      <c r="H25" s="118">
        <v>385000</v>
      </c>
      <c r="I25" s="118">
        <v>326942</v>
      </c>
      <c r="J25" s="154">
        <f t="shared" si="0"/>
        <v>84.92</v>
      </c>
    </row>
    <row r="26" spans="2:10" ht="12.75" customHeight="1">
      <c r="B26" s="14"/>
      <c r="C26" s="15"/>
      <c r="D26" s="15"/>
      <c r="E26" s="62">
        <v>613800</v>
      </c>
      <c r="F26" s="15" t="s">
        <v>171</v>
      </c>
      <c r="G26" s="118">
        <v>0</v>
      </c>
      <c r="H26" s="118">
        <v>0</v>
      </c>
      <c r="I26" s="118">
        <v>0</v>
      </c>
      <c r="J26" s="154">
        <f t="shared" si="0"/>
      </c>
    </row>
    <row r="27" spans="2:11" ht="12.75" customHeight="1">
      <c r="B27" s="14"/>
      <c r="C27" s="15"/>
      <c r="D27" s="15"/>
      <c r="E27" s="16">
        <v>613900</v>
      </c>
      <c r="F27" s="15" t="s">
        <v>172</v>
      </c>
      <c r="G27" s="118">
        <v>11000</v>
      </c>
      <c r="H27" s="118">
        <v>16000</v>
      </c>
      <c r="I27" s="118">
        <v>15560</v>
      </c>
      <c r="J27" s="154">
        <f t="shared" si="0"/>
        <v>97.25</v>
      </c>
      <c r="K27" s="108"/>
    </row>
    <row r="28" spans="2:10" ht="12.75" customHeight="1">
      <c r="B28" s="14"/>
      <c r="C28" s="15"/>
      <c r="D28" s="15"/>
      <c r="E28" s="16">
        <v>613900</v>
      </c>
      <c r="F28" s="366" t="s">
        <v>680</v>
      </c>
      <c r="G28" s="118">
        <v>6350</v>
      </c>
      <c r="H28" s="118">
        <v>6350</v>
      </c>
      <c r="I28" s="118">
        <v>6281</v>
      </c>
      <c r="J28" s="154">
        <f t="shared" si="0"/>
        <v>98.91338582677164</v>
      </c>
    </row>
    <row r="29" spans="2:10" ht="12.75" customHeight="1">
      <c r="B29" s="14"/>
      <c r="C29" s="15"/>
      <c r="D29" s="15"/>
      <c r="E29" s="16"/>
      <c r="F29" s="15"/>
      <c r="G29" s="118"/>
      <c r="H29" s="118"/>
      <c r="I29" s="118"/>
      <c r="J29" s="154">
        <f t="shared" si="0"/>
      </c>
    </row>
    <row r="30" spans="2:10" s="1" customFormat="1" ht="12.75" customHeight="1">
      <c r="B30" s="17"/>
      <c r="C30" s="12"/>
      <c r="D30" s="12"/>
      <c r="E30" s="9">
        <v>614000</v>
      </c>
      <c r="F30" s="12" t="s">
        <v>208</v>
      </c>
      <c r="G30" s="109">
        <f>SUM(G31:G32)</f>
        <v>100000</v>
      </c>
      <c r="H30" s="109">
        <f>SUM(H31:H32)</f>
        <v>100000</v>
      </c>
      <c r="I30" s="109">
        <f>SUM(I31:I32)</f>
        <v>15000</v>
      </c>
      <c r="J30" s="153">
        <f t="shared" si="0"/>
        <v>15</v>
      </c>
    </row>
    <row r="31" spans="2:10" ht="12.75" customHeight="1">
      <c r="B31" s="14"/>
      <c r="C31" s="15"/>
      <c r="D31" s="31"/>
      <c r="E31" s="62">
        <v>614100</v>
      </c>
      <c r="F31" s="71" t="s">
        <v>181</v>
      </c>
      <c r="G31" s="118">
        <v>100000</v>
      </c>
      <c r="H31" s="118">
        <v>100000</v>
      </c>
      <c r="I31" s="118">
        <v>15000</v>
      </c>
      <c r="J31" s="154">
        <f t="shared" si="0"/>
        <v>15</v>
      </c>
    </row>
    <row r="32" spans="2:10" ht="12.75" customHeight="1">
      <c r="B32" s="14"/>
      <c r="C32" s="15"/>
      <c r="D32" s="15"/>
      <c r="E32" s="16">
        <v>614100</v>
      </c>
      <c r="F32" s="26" t="s">
        <v>224</v>
      </c>
      <c r="G32" s="118">
        <v>0</v>
      </c>
      <c r="H32" s="118">
        <v>0</v>
      </c>
      <c r="I32" s="118">
        <v>0</v>
      </c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9"/>
      <c r="F34" s="12"/>
      <c r="G34" s="109"/>
      <c r="H34" s="109"/>
      <c r="I34" s="109"/>
      <c r="J34" s="154">
        <f t="shared" si="0"/>
      </c>
    </row>
    <row r="35" spans="2:10" ht="12.75" customHeight="1">
      <c r="B35" s="14"/>
      <c r="C35" s="15"/>
      <c r="D35" s="15"/>
      <c r="E35" s="16"/>
      <c r="F35" s="26"/>
      <c r="G35" s="118"/>
      <c r="H35" s="118"/>
      <c r="I35" s="118"/>
      <c r="J35" s="154">
        <f t="shared" si="0"/>
      </c>
    </row>
    <row r="36" spans="2:10" ht="12.75" customHeight="1">
      <c r="B36" s="14"/>
      <c r="C36" s="15"/>
      <c r="D36" s="15"/>
      <c r="E36" s="16"/>
      <c r="F36" s="15"/>
      <c r="G36" s="118"/>
      <c r="H36" s="118"/>
      <c r="I36" s="118"/>
      <c r="J36" s="154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92</v>
      </c>
      <c r="G37" s="109">
        <f>SUM(G38:G40)</f>
        <v>1083000</v>
      </c>
      <c r="H37" s="109">
        <f>SUM(H38:H40)</f>
        <v>1083000</v>
      </c>
      <c r="I37" s="109">
        <f>SUM(I38:I40)</f>
        <v>1052793</v>
      </c>
      <c r="J37" s="153">
        <f t="shared" si="0"/>
        <v>97.21080332409973</v>
      </c>
    </row>
    <row r="38" spans="2:10" ht="12.75" customHeight="1">
      <c r="B38" s="14"/>
      <c r="C38" s="15"/>
      <c r="D38" s="15"/>
      <c r="E38" s="16">
        <v>821200</v>
      </c>
      <c r="F38" s="15" t="s">
        <v>93</v>
      </c>
      <c r="G38" s="118">
        <v>0</v>
      </c>
      <c r="H38" s="118">
        <v>0</v>
      </c>
      <c r="I38" s="118">
        <v>0</v>
      </c>
      <c r="J38" s="154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94</v>
      </c>
      <c r="G39" s="118">
        <v>3000</v>
      </c>
      <c r="H39" s="118">
        <v>3000</v>
      </c>
      <c r="I39" s="118">
        <v>2986</v>
      </c>
      <c r="J39" s="154">
        <f t="shared" si="0"/>
        <v>99.53333333333333</v>
      </c>
    </row>
    <row r="40" spans="2:12" ht="12.75" customHeight="1">
      <c r="B40" s="14"/>
      <c r="C40" s="15"/>
      <c r="D40" s="15"/>
      <c r="E40" s="120">
        <v>821600</v>
      </c>
      <c r="F40" s="111" t="s">
        <v>106</v>
      </c>
      <c r="G40" s="118">
        <v>1080000</v>
      </c>
      <c r="H40" s="118">
        <v>1080000</v>
      </c>
      <c r="I40" s="118">
        <v>1049807</v>
      </c>
      <c r="J40" s="154">
        <f t="shared" si="0"/>
        <v>97.20435185185185</v>
      </c>
      <c r="L40" s="91"/>
    </row>
    <row r="41" spans="2:10" ht="12.75" customHeight="1">
      <c r="B41" s="14"/>
      <c r="C41" s="15"/>
      <c r="D41" s="15"/>
      <c r="E41" s="16"/>
      <c r="F41" s="15"/>
      <c r="G41" s="109"/>
      <c r="H41" s="109"/>
      <c r="I41" s="109"/>
      <c r="J41" s="154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95</v>
      </c>
      <c r="G42" s="109">
        <v>9</v>
      </c>
      <c r="H42" s="109">
        <v>9</v>
      </c>
      <c r="I42" s="109">
        <v>9</v>
      </c>
      <c r="J42" s="154"/>
    </row>
    <row r="43" spans="2:10" s="1" customFormat="1" ht="12.75" customHeight="1">
      <c r="B43" s="17"/>
      <c r="C43" s="12"/>
      <c r="D43" s="12"/>
      <c r="E43" s="9"/>
      <c r="F43" s="12" t="s">
        <v>116</v>
      </c>
      <c r="G43" s="20">
        <f>G7+G13+G17+G30+G37</f>
        <v>1837060</v>
      </c>
      <c r="H43" s="20">
        <f>H7+H13+H17+H30+H37</f>
        <v>1837060</v>
      </c>
      <c r="I43" s="20">
        <f>I7+I13+I17+I30+I37</f>
        <v>1658479</v>
      </c>
      <c r="J43" s="153">
        <f t="shared" si="0"/>
        <v>90.27897836760911</v>
      </c>
    </row>
    <row r="44" spans="2:10" s="1" customFormat="1" ht="12.75" customHeight="1">
      <c r="B44" s="17"/>
      <c r="C44" s="12"/>
      <c r="D44" s="12"/>
      <c r="E44" s="9"/>
      <c r="F44" s="12" t="s">
        <v>96</v>
      </c>
      <c r="G44" s="20">
        <f aca="true" t="shared" si="1" ref="G44:I45">G43</f>
        <v>1837060</v>
      </c>
      <c r="H44" s="20">
        <f t="shared" si="1"/>
        <v>1837060</v>
      </c>
      <c r="I44" s="20">
        <f t="shared" si="1"/>
        <v>1658479</v>
      </c>
      <c r="J44" s="153">
        <f t="shared" si="0"/>
        <v>90.27897836760911</v>
      </c>
    </row>
    <row r="45" spans="2:10" s="1" customFormat="1" ht="12.75" customHeight="1">
      <c r="B45" s="17"/>
      <c r="C45" s="12"/>
      <c r="D45" s="12"/>
      <c r="E45" s="9"/>
      <c r="F45" s="12" t="s">
        <v>97</v>
      </c>
      <c r="G45" s="20">
        <f t="shared" si="1"/>
        <v>1837060</v>
      </c>
      <c r="H45" s="20">
        <f t="shared" si="1"/>
        <v>1837060</v>
      </c>
      <c r="I45" s="20">
        <f t="shared" si="1"/>
        <v>1658479</v>
      </c>
      <c r="J45" s="153">
        <f t="shared" si="0"/>
        <v>90.27897836760911</v>
      </c>
    </row>
    <row r="46" spans="2:10" ht="12.75" customHeight="1" thickBot="1">
      <c r="B46" s="21"/>
      <c r="C46" s="22"/>
      <c r="D46" s="22"/>
      <c r="E46" s="23"/>
      <c r="F46" s="22"/>
      <c r="G46" s="36"/>
      <c r="H46" s="50"/>
      <c r="I46" s="47"/>
      <c r="J46" s="157"/>
    </row>
    <row r="48" ht="12.75">
      <c r="B48" s="83"/>
    </row>
    <row r="49" ht="12.75">
      <c r="B49" s="83"/>
    </row>
    <row r="50" ht="12.75">
      <c r="B50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B2:L48"/>
  <sheetViews>
    <sheetView zoomScaleSheetLayoutView="100" workbookViewId="0" topLeftCell="C10">
      <selection activeCell="J40" sqref="J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145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146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510740</v>
      </c>
      <c r="H7" s="20">
        <f>SUM(H8:H11)</f>
        <v>510740</v>
      </c>
      <c r="I7" s="20">
        <f>SUM(I8:I11)</f>
        <v>503251</v>
      </c>
      <c r="J7" s="153">
        <f aca="true" t="shared" si="0" ref="J7:J43">IF(H7=0,"",I7/H7*100)</f>
        <v>98.53369620550573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84">
        <v>399300</v>
      </c>
      <c r="H8" s="84">
        <v>399300</v>
      </c>
      <c r="I8" s="84">
        <v>395604</v>
      </c>
      <c r="J8" s="154">
        <f t="shared" si="0"/>
        <v>99.07438016528926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84">
        <f>87900+21*240</f>
        <v>92940</v>
      </c>
      <c r="H9" s="84">
        <f>87900+21*240</f>
        <v>92940</v>
      </c>
      <c r="I9" s="84">
        <v>89545</v>
      </c>
      <c r="J9" s="154">
        <f t="shared" si="0"/>
        <v>96.34710565956532</v>
      </c>
    </row>
    <row r="10" spans="2:12" ht="12.75" customHeight="1">
      <c r="B10" s="14"/>
      <c r="C10" s="15"/>
      <c r="D10" s="15"/>
      <c r="E10" s="16">
        <v>611200</v>
      </c>
      <c r="F10" s="366" t="s">
        <v>714</v>
      </c>
      <c r="G10" s="84">
        <v>18500</v>
      </c>
      <c r="H10" s="84">
        <v>18500</v>
      </c>
      <c r="I10" s="84">
        <v>18102</v>
      </c>
      <c r="J10" s="154">
        <f t="shared" si="0"/>
        <v>97.84864864864865</v>
      </c>
      <c r="L10" s="90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42500</v>
      </c>
      <c r="H13" s="20">
        <f>H14</f>
        <v>42500</v>
      </c>
      <c r="I13" s="20">
        <f>I14</f>
        <v>41984</v>
      </c>
      <c r="J13" s="153">
        <f t="shared" si="0"/>
        <v>98.78588235294117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5">
        <v>42500</v>
      </c>
      <c r="H14" s="45">
        <v>42500</v>
      </c>
      <c r="I14" s="45">
        <v>41984</v>
      </c>
      <c r="J14" s="154">
        <f t="shared" si="0"/>
        <v>98.78588235294117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94930</v>
      </c>
      <c r="H17" s="51">
        <f>SUM(H18:H27)</f>
        <v>94930</v>
      </c>
      <c r="I17" s="51">
        <f>SUM(I18:I27)</f>
        <v>94457</v>
      </c>
      <c r="J17" s="153">
        <f t="shared" si="0"/>
        <v>99.50173812282735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84">
        <v>8190</v>
      </c>
      <c r="H18" s="84">
        <v>9640</v>
      </c>
      <c r="I18" s="84">
        <v>9638</v>
      </c>
      <c r="J18" s="154">
        <f t="shared" si="0"/>
        <v>99.97925311203319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84">
        <v>0</v>
      </c>
      <c r="H19" s="84">
        <v>0</v>
      </c>
      <c r="I19" s="84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84">
        <v>6500</v>
      </c>
      <c r="H20" s="84">
        <f>6500-860</f>
        <v>5640</v>
      </c>
      <c r="I20" s="84">
        <v>5639</v>
      </c>
      <c r="J20" s="154">
        <f t="shared" si="0"/>
        <v>99.98226950354609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84">
        <v>2500</v>
      </c>
      <c r="H21" s="84">
        <f>2500-160</f>
        <v>2340</v>
      </c>
      <c r="I21" s="84">
        <v>2333</v>
      </c>
      <c r="J21" s="154">
        <f t="shared" si="0"/>
        <v>99.7008547008547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84">
        <f>3010-200</f>
        <v>2810</v>
      </c>
      <c r="H22" s="84">
        <f>3010-200</f>
        <v>2810</v>
      </c>
      <c r="I22" s="84">
        <v>2803</v>
      </c>
      <c r="J22" s="154">
        <f t="shared" si="0"/>
        <v>99.7508896797153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84">
        <v>5500</v>
      </c>
      <c r="H23" s="84">
        <v>5010</v>
      </c>
      <c r="I23" s="84">
        <v>5004</v>
      </c>
      <c r="J23" s="154">
        <f t="shared" si="0"/>
        <v>99.88023952095809</v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84">
        <v>7500</v>
      </c>
      <c r="H24" s="84">
        <f>7140-150</f>
        <v>6990</v>
      </c>
      <c r="I24" s="84">
        <v>6981</v>
      </c>
      <c r="J24" s="154">
        <f t="shared" si="0"/>
        <v>99.87124463519314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84">
        <v>0</v>
      </c>
      <c r="H25" s="84">
        <v>0</v>
      </c>
      <c r="I25" s="84">
        <v>0</v>
      </c>
      <c r="J25" s="154">
        <f t="shared" si="0"/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84">
        <v>44030</v>
      </c>
      <c r="H26" s="84">
        <f>44030+660</f>
        <v>44690</v>
      </c>
      <c r="I26" s="84">
        <v>44250</v>
      </c>
      <c r="J26" s="154">
        <f t="shared" si="0"/>
        <v>99.01543969568137</v>
      </c>
      <c r="K26" s="108"/>
    </row>
    <row r="27" spans="2:10" ht="12.75" customHeight="1">
      <c r="B27" s="14"/>
      <c r="C27" s="15"/>
      <c r="D27" s="15"/>
      <c r="E27" s="16">
        <v>613900</v>
      </c>
      <c r="F27" s="366" t="s">
        <v>715</v>
      </c>
      <c r="G27" s="84">
        <v>17900</v>
      </c>
      <c r="H27" s="84">
        <f>17900-90</f>
        <v>17810</v>
      </c>
      <c r="I27" s="84">
        <v>17809</v>
      </c>
      <c r="J27" s="154">
        <f t="shared" si="0"/>
        <v>99.99438517686693</v>
      </c>
    </row>
    <row r="28" spans="2:10" ht="12.75" customHeight="1">
      <c r="B28" s="14"/>
      <c r="C28" s="15"/>
      <c r="D28" s="15"/>
      <c r="E28" s="16"/>
      <c r="F28" s="15"/>
      <c r="G28" s="109"/>
      <c r="H28" s="109"/>
      <c r="I28" s="109"/>
      <c r="J28" s="154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208</v>
      </c>
      <c r="G29" s="109">
        <f>SUM(G30:G33)</f>
        <v>2100000</v>
      </c>
      <c r="H29" s="109">
        <f>SUM(H30:H33)</f>
        <v>2100000</v>
      </c>
      <c r="I29" s="109">
        <f>SUM(I30:I33)</f>
        <v>2082013</v>
      </c>
      <c r="J29" s="153">
        <f t="shared" si="0"/>
        <v>99.14347619047619</v>
      </c>
    </row>
    <row r="30" spans="2:10" s="1" customFormat="1" ht="12.75" customHeight="1">
      <c r="B30" s="17"/>
      <c r="C30" s="12"/>
      <c r="D30" s="32"/>
      <c r="E30" s="58">
        <v>614100</v>
      </c>
      <c r="F30" s="18" t="s">
        <v>166</v>
      </c>
      <c r="G30" s="118">
        <v>100000</v>
      </c>
      <c r="H30" s="118">
        <v>100000</v>
      </c>
      <c r="I30" s="118">
        <v>99893</v>
      </c>
      <c r="J30" s="154">
        <f t="shared" si="0"/>
        <v>99.893</v>
      </c>
    </row>
    <row r="31" spans="2:10" ht="12.75" customHeight="1">
      <c r="B31" s="14"/>
      <c r="C31" s="15"/>
      <c r="D31" s="15"/>
      <c r="E31" s="16">
        <v>614500</v>
      </c>
      <c r="F31" s="30" t="s">
        <v>484</v>
      </c>
      <c r="G31" s="118">
        <v>800000</v>
      </c>
      <c r="H31" s="118">
        <v>800000</v>
      </c>
      <c r="I31" s="118">
        <v>787418</v>
      </c>
      <c r="J31" s="154">
        <f t="shared" si="0"/>
        <v>98.42725</v>
      </c>
    </row>
    <row r="32" spans="2:10" ht="12.75" customHeight="1">
      <c r="B32" s="14"/>
      <c r="C32" s="15"/>
      <c r="D32" s="15"/>
      <c r="E32" s="16">
        <v>614500</v>
      </c>
      <c r="F32" s="30" t="s">
        <v>485</v>
      </c>
      <c r="G32" s="118">
        <v>400000</v>
      </c>
      <c r="H32" s="118">
        <v>400000</v>
      </c>
      <c r="I32" s="118">
        <v>399977</v>
      </c>
      <c r="J32" s="154">
        <f t="shared" si="0"/>
        <v>99.99425</v>
      </c>
    </row>
    <row r="33" spans="2:10" ht="12.75" customHeight="1">
      <c r="B33" s="14"/>
      <c r="C33" s="15"/>
      <c r="D33" s="15"/>
      <c r="E33" s="58">
        <v>614500</v>
      </c>
      <c r="F33" s="30" t="s">
        <v>486</v>
      </c>
      <c r="G33" s="118">
        <v>800000</v>
      </c>
      <c r="H33" s="118">
        <v>800000</v>
      </c>
      <c r="I33" s="118">
        <v>794725</v>
      </c>
      <c r="J33" s="154">
        <f t="shared" si="0"/>
        <v>99.340625</v>
      </c>
    </row>
    <row r="34" spans="2:10" ht="12.75" customHeight="1">
      <c r="B34" s="14"/>
      <c r="C34" s="15"/>
      <c r="D34" s="15"/>
      <c r="E34" s="16"/>
      <c r="F34" s="26"/>
      <c r="G34" s="84"/>
      <c r="H34" s="84"/>
      <c r="I34" s="84"/>
      <c r="J34" s="154">
        <f t="shared" si="0"/>
      </c>
    </row>
    <row r="35" spans="2:10" s="1" customFormat="1" ht="12.75" customHeight="1">
      <c r="B35" s="17"/>
      <c r="C35" s="12"/>
      <c r="D35" s="12"/>
      <c r="E35" s="9">
        <v>821000</v>
      </c>
      <c r="F35" s="12" t="s">
        <v>92</v>
      </c>
      <c r="G35" s="109">
        <f>SUM(G36:G38)</f>
        <v>13330</v>
      </c>
      <c r="H35" s="109">
        <f>SUM(H36:H38)</f>
        <v>13330</v>
      </c>
      <c r="I35" s="109">
        <f>SUM(I36:I38)</f>
        <v>13218</v>
      </c>
      <c r="J35" s="153">
        <f t="shared" si="0"/>
        <v>99.15978994748687</v>
      </c>
    </row>
    <row r="36" spans="2:10" ht="12.75" customHeight="1">
      <c r="B36" s="14"/>
      <c r="C36" s="15"/>
      <c r="D36" s="15"/>
      <c r="E36" s="16">
        <v>821200</v>
      </c>
      <c r="F36" s="15" t="s">
        <v>93</v>
      </c>
      <c r="G36" s="84">
        <v>0</v>
      </c>
      <c r="H36" s="84">
        <v>0</v>
      </c>
      <c r="I36" s="84">
        <v>0</v>
      </c>
      <c r="J36" s="154">
        <f t="shared" si="0"/>
      </c>
    </row>
    <row r="37" spans="2:10" ht="12.75" customHeight="1">
      <c r="B37" s="14"/>
      <c r="C37" s="15"/>
      <c r="D37" s="15"/>
      <c r="E37" s="16">
        <v>821300</v>
      </c>
      <c r="F37" s="15" t="s">
        <v>94</v>
      </c>
      <c r="G37" s="84">
        <v>13330</v>
      </c>
      <c r="H37" s="84">
        <v>13330</v>
      </c>
      <c r="I37" s="84">
        <v>13218</v>
      </c>
      <c r="J37" s="154">
        <f t="shared" si="0"/>
        <v>99.15978994748687</v>
      </c>
    </row>
    <row r="38" spans="2:10" ht="12.75" customHeight="1">
      <c r="B38" s="14"/>
      <c r="C38" s="15"/>
      <c r="D38" s="15"/>
      <c r="E38" s="16"/>
      <c r="F38" s="26"/>
      <c r="G38" s="84"/>
      <c r="H38" s="84"/>
      <c r="I38" s="84"/>
      <c r="J38" s="154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s="1" customFormat="1" ht="12.75" customHeight="1">
      <c r="B40" s="17"/>
      <c r="C40" s="12"/>
      <c r="D40" s="12"/>
      <c r="E40" s="9"/>
      <c r="F40" s="12" t="s">
        <v>95</v>
      </c>
      <c r="G40" s="20">
        <v>21</v>
      </c>
      <c r="H40" s="20">
        <v>21</v>
      </c>
      <c r="I40" s="20">
        <v>21</v>
      </c>
      <c r="J40" s="154"/>
    </row>
    <row r="41" spans="2:10" s="1" customFormat="1" ht="12.75" customHeight="1">
      <c r="B41" s="17"/>
      <c r="C41" s="12"/>
      <c r="D41" s="12"/>
      <c r="E41" s="9"/>
      <c r="F41" s="12" t="s">
        <v>116</v>
      </c>
      <c r="G41" s="20">
        <f>G7+G13+G17+G29+G35</f>
        <v>2761500</v>
      </c>
      <c r="H41" s="20">
        <f>H7+H13+H17+H29+H35</f>
        <v>2761500</v>
      </c>
      <c r="I41" s="20">
        <f>I7+I13+I17+I29+I35</f>
        <v>2734923</v>
      </c>
      <c r="J41" s="153">
        <f t="shared" si="0"/>
        <v>99.03758826724605</v>
      </c>
    </row>
    <row r="42" spans="2:10" s="1" customFormat="1" ht="12.75" customHeight="1">
      <c r="B42" s="17"/>
      <c r="C42" s="12"/>
      <c r="D42" s="12"/>
      <c r="E42" s="9"/>
      <c r="F42" s="12" t="s">
        <v>96</v>
      </c>
      <c r="G42" s="20">
        <f aca="true" t="shared" si="1" ref="G42:I43">G41</f>
        <v>2761500</v>
      </c>
      <c r="H42" s="20">
        <f t="shared" si="1"/>
        <v>2761500</v>
      </c>
      <c r="I42" s="20">
        <f t="shared" si="1"/>
        <v>2734923</v>
      </c>
      <c r="J42" s="153">
        <f t="shared" si="0"/>
        <v>99.03758826724605</v>
      </c>
    </row>
    <row r="43" spans="2:10" s="1" customFormat="1" ht="12.75" customHeight="1">
      <c r="B43" s="17"/>
      <c r="C43" s="12"/>
      <c r="D43" s="12"/>
      <c r="E43" s="9"/>
      <c r="F43" s="12" t="s">
        <v>97</v>
      </c>
      <c r="G43" s="20">
        <f t="shared" si="1"/>
        <v>2761500</v>
      </c>
      <c r="H43" s="20">
        <f t="shared" si="1"/>
        <v>2761500</v>
      </c>
      <c r="I43" s="20">
        <f t="shared" si="1"/>
        <v>2734923</v>
      </c>
      <c r="J43" s="153">
        <f t="shared" si="0"/>
        <v>99.03758826724605</v>
      </c>
    </row>
    <row r="44" spans="2:10" ht="12.75" customHeight="1" thickBot="1">
      <c r="B44" s="21"/>
      <c r="C44" s="22"/>
      <c r="D44" s="22"/>
      <c r="E44" s="23"/>
      <c r="F44" s="22"/>
      <c r="G44" s="36"/>
      <c r="H44" s="50"/>
      <c r="I44" s="47"/>
      <c r="J44" s="157"/>
    </row>
    <row r="46" ht="12.75">
      <c r="B46" s="83"/>
    </row>
    <row r="47" ht="12.75">
      <c r="B47" s="83"/>
    </row>
    <row r="48" ht="12.75">
      <c r="B48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2:L64"/>
  <sheetViews>
    <sheetView zoomScaleSheetLayoutView="100" workbookViewId="0" topLeftCell="A16">
      <selection activeCell="J54" sqref="J5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8" ht="15" customHeight="1">
      <c r="B2" s="452" t="s">
        <v>147</v>
      </c>
      <c r="C2" s="452"/>
      <c r="D2" s="452"/>
      <c r="E2" s="452"/>
      <c r="F2" s="452"/>
      <c r="G2" s="452"/>
      <c r="H2" s="452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264800</v>
      </c>
      <c r="H7" s="20">
        <f>SUM(H8:H11)</f>
        <v>264800</v>
      </c>
      <c r="I7" s="20">
        <f>SUM(I8:I11)</f>
        <v>259445</v>
      </c>
      <c r="J7" s="153">
        <f aca="true" t="shared" si="0" ref="J7:J55">IF(H7=0,"",I7/H7*100)</f>
        <v>97.97771903323263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v>208600</v>
      </c>
      <c r="H8" s="46">
        <v>208600</v>
      </c>
      <c r="I8" s="46">
        <v>205069</v>
      </c>
      <c r="J8" s="154">
        <f t="shared" si="0"/>
        <v>98.30728667305848</v>
      </c>
    </row>
    <row r="9" spans="2:12" ht="12.75" customHeight="1">
      <c r="B9" s="14"/>
      <c r="C9" s="15"/>
      <c r="D9" s="15"/>
      <c r="E9" s="16">
        <v>611200</v>
      </c>
      <c r="F9" s="15" t="s">
        <v>205</v>
      </c>
      <c r="G9" s="46">
        <f>34500+10*240</f>
        <v>36900</v>
      </c>
      <c r="H9" s="46">
        <f>34500+10*240</f>
        <v>36900</v>
      </c>
      <c r="I9" s="46">
        <v>35584</v>
      </c>
      <c r="J9" s="154">
        <f t="shared" si="0"/>
        <v>96.43360433604336</v>
      </c>
      <c r="L9" s="91"/>
    </row>
    <row r="10" spans="2:12" ht="12.75" customHeight="1">
      <c r="B10" s="14"/>
      <c r="C10" s="15"/>
      <c r="D10" s="15"/>
      <c r="E10" s="16">
        <v>611200</v>
      </c>
      <c r="F10" s="366" t="s">
        <v>707</v>
      </c>
      <c r="G10" s="84">
        <v>19300</v>
      </c>
      <c r="H10" s="84">
        <v>19300</v>
      </c>
      <c r="I10" s="84">
        <v>18792</v>
      </c>
      <c r="J10" s="154">
        <f t="shared" si="0"/>
        <v>97.36787564766838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22400</v>
      </c>
      <c r="H13" s="20">
        <f>H14</f>
        <v>22400</v>
      </c>
      <c r="I13" s="20">
        <f>I14</f>
        <v>21833</v>
      </c>
      <c r="J13" s="153">
        <f t="shared" si="0"/>
        <v>97.46875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22400</v>
      </c>
      <c r="H14" s="46">
        <v>22400</v>
      </c>
      <c r="I14" s="46">
        <v>21833</v>
      </c>
      <c r="J14" s="154">
        <f t="shared" si="0"/>
        <v>97.46875</v>
      </c>
    </row>
    <row r="15" spans="2:10" ht="12.75" customHeight="1">
      <c r="B15" s="14"/>
      <c r="C15" s="15"/>
      <c r="D15" s="15"/>
      <c r="E15" s="16"/>
      <c r="F15" s="15"/>
      <c r="G15" s="118"/>
      <c r="H15" s="118"/>
      <c r="I15" s="118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109"/>
      <c r="H16" s="109"/>
      <c r="I16" s="109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109">
        <f>SUM(G18:G29)</f>
        <v>108550</v>
      </c>
      <c r="H17" s="109">
        <f>SUM(H18:H29)</f>
        <v>108550</v>
      </c>
      <c r="I17" s="109">
        <f>SUM(I18:I29)</f>
        <v>108307</v>
      </c>
      <c r="J17" s="153">
        <f t="shared" si="0"/>
        <v>99.77614002763704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18">
        <v>5100</v>
      </c>
      <c r="H18" s="118">
        <v>5550</v>
      </c>
      <c r="I18" s="118">
        <v>5541</v>
      </c>
      <c r="J18" s="154">
        <f t="shared" si="0"/>
        <v>99.83783783783784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18">
        <v>0</v>
      </c>
      <c r="H19" s="118">
        <v>0</v>
      </c>
      <c r="I19" s="118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118">
        <v>4100</v>
      </c>
      <c r="H20" s="118">
        <v>3700</v>
      </c>
      <c r="I20" s="118">
        <v>3637</v>
      </c>
      <c r="J20" s="154">
        <f t="shared" si="0"/>
        <v>98.29729729729729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1100</v>
      </c>
      <c r="H21" s="118">
        <v>1100</v>
      </c>
      <c r="I21" s="118">
        <v>1094</v>
      </c>
      <c r="J21" s="154">
        <f t="shared" si="0"/>
        <v>99.45454545454545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0</v>
      </c>
      <c r="H22" s="118">
        <v>0</v>
      </c>
      <c r="I22" s="118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800</v>
      </c>
      <c r="H24" s="118">
        <v>500</v>
      </c>
      <c r="I24" s="118">
        <v>498</v>
      </c>
      <c r="J24" s="154">
        <f t="shared" si="0"/>
        <v>99.6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613800</v>
      </c>
      <c r="F26" s="26" t="s">
        <v>192</v>
      </c>
      <c r="G26" s="118">
        <v>0</v>
      </c>
      <c r="H26" s="118">
        <v>0</v>
      </c>
      <c r="I26" s="118">
        <v>0</v>
      </c>
      <c r="J26" s="154">
        <f t="shared" si="0"/>
      </c>
    </row>
    <row r="27" spans="2:10" ht="12.75" customHeight="1">
      <c r="B27" s="14"/>
      <c r="C27" s="15"/>
      <c r="D27" s="15"/>
      <c r="E27" s="16">
        <v>613900</v>
      </c>
      <c r="F27" s="26" t="s">
        <v>172</v>
      </c>
      <c r="G27" s="118">
        <v>21000</v>
      </c>
      <c r="H27" s="118">
        <v>21050</v>
      </c>
      <c r="I27" s="118">
        <v>21005</v>
      </c>
      <c r="J27" s="154">
        <f t="shared" si="0"/>
        <v>99.78622327790974</v>
      </c>
    </row>
    <row r="28" spans="2:10" ht="12.75" customHeight="1">
      <c r="B28" s="14"/>
      <c r="C28" s="15"/>
      <c r="D28" s="15"/>
      <c r="E28" s="16">
        <v>613900</v>
      </c>
      <c r="F28" s="26" t="s">
        <v>185</v>
      </c>
      <c r="G28" s="118">
        <v>57000</v>
      </c>
      <c r="H28" s="118">
        <v>57200</v>
      </c>
      <c r="I28" s="118">
        <v>57181</v>
      </c>
      <c r="J28" s="154">
        <f t="shared" si="0"/>
        <v>99.96678321678321</v>
      </c>
    </row>
    <row r="29" spans="2:10" ht="12.75" customHeight="1">
      <c r="B29" s="14"/>
      <c r="C29" s="15"/>
      <c r="D29" s="15"/>
      <c r="E29" s="16">
        <v>613900</v>
      </c>
      <c r="F29" s="366" t="s">
        <v>708</v>
      </c>
      <c r="G29" s="118">
        <v>19450</v>
      </c>
      <c r="H29" s="118">
        <v>19450</v>
      </c>
      <c r="I29" s="118">
        <v>19351</v>
      </c>
      <c r="J29" s="154">
        <f t="shared" si="0"/>
        <v>99.49100257069409</v>
      </c>
    </row>
    <row r="30" spans="2:10" ht="12.75" customHeight="1">
      <c r="B30" s="14"/>
      <c r="C30" s="15"/>
      <c r="D30" s="15"/>
      <c r="E30" s="16"/>
      <c r="F30" s="15"/>
      <c r="G30" s="118"/>
      <c r="H30" s="118"/>
      <c r="I30" s="118"/>
      <c r="J30" s="154">
        <f t="shared" si="0"/>
      </c>
    </row>
    <row r="31" spans="2:10" s="1" customFormat="1" ht="12.75" customHeight="1">
      <c r="B31" s="17"/>
      <c r="C31" s="12"/>
      <c r="D31" s="12"/>
      <c r="E31" s="9">
        <v>614000</v>
      </c>
      <c r="F31" s="12" t="s">
        <v>208</v>
      </c>
      <c r="G31" s="109">
        <f>SUM(G32:G38)</f>
        <v>1064000</v>
      </c>
      <c r="H31" s="109">
        <f>SUM(H32:H38)</f>
        <v>1064000</v>
      </c>
      <c r="I31" s="109">
        <f>SUM(I32:I38)</f>
        <v>1044656</v>
      </c>
      <c r="J31" s="153">
        <f t="shared" si="0"/>
        <v>98.18195488721805</v>
      </c>
    </row>
    <row r="32" spans="2:11" s="192" customFormat="1" ht="24.75" customHeight="1">
      <c r="B32" s="184"/>
      <c r="C32" s="185"/>
      <c r="D32" s="186"/>
      <c r="E32" s="187">
        <v>614100</v>
      </c>
      <c r="F32" s="188" t="s">
        <v>227</v>
      </c>
      <c r="G32" s="189">
        <v>158000</v>
      </c>
      <c r="H32" s="189">
        <v>158000</v>
      </c>
      <c r="I32" s="189">
        <v>140400</v>
      </c>
      <c r="J32" s="190">
        <f t="shared" si="0"/>
        <v>88.86075949367088</v>
      </c>
      <c r="K32" s="191"/>
    </row>
    <row r="33" spans="2:10" ht="12.75" customHeight="1">
      <c r="B33" s="14"/>
      <c r="C33" s="15"/>
      <c r="D33" s="15"/>
      <c r="E33" s="119">
        <v>614100</v>
      </c>
      <c r="F33" s="116" t="s">
        <v>102</v>
      </c>
      <c r="G33" s="118">
        <f>275000+25000</f>
        <v>300000</v>
      </c>
      <c r="H33" s="118">
        <f>275000+25000</f>
        <v>300000</v>
      </c>
      <c r="I33" s="118">
        <v>300000</v>
      </c>
      <c r="J33" s="154">
        <f t="shared" si="0"/>
        <v>100</v>
      </c>
    </row>
    <row r="34" spans="2:10" ht="12.75" customHeight="1">
      <c r="B34" s="14"/>
      <c r="C34" s="15"/>
      <c r="D34" s="15"/>
      <c r="E34" s="119">
        <v>614100</v>
      </c>
      <c r="F34" s="116" t="s">
        <v>487</v>
      </c>
      <c r="G34" s="118">
        <v>291000</v>
      </c>
      <c r="H34" s="118">
        <v>291000</v>
      </c>
      <c r="I34" s="118">
        <v>290456</v>
      </c>
      <c r="J34" s="154">
        <f t="shared" si="0"/>
        <v>99.81305841924399</v>
      </c>
    </row>
    <row r="35" spans="2:10" ht="12.75" customHeight="1">
      <c r="B35" s="14"/>
      <c r="C35" s="15"/>
      <c r="D35" s="15"/>
      <c r="E35" s="16">
        <v>614200</v>
      </c>
      <c r="F35" s="30" t="s">
        <v>115</v>
      </c>
      <c r="G35" s="118">
        <v>120000</v>
      </c>
      <c r="H35" s="118">
        <v>120000</v>
      </c>
      <c r="I35" s="118">
        <v>118800</v>
      </c>
      <c r="J35" s="154">
        <f t="shared" si="0"/>
        <v>99</v>
      </c>
    </row>
    <row r="36" spans="2:10" s="192" customFormat="1" ht="24.75" customHeight="1">
      <c r="B36" s="184"/>
      <c r="C36" s="185"/>
      <c r="D36" s="185"/>
      <c r="E36" s="187">
        <v>614200</v>
      </c>
      <c r="F36" s="193" t="s">
        <v>323</v>
      </c>
      <c r="G36" s="189">
        <v>15000</v>
      </c>
      <c r="H36" s="189">
        <v>15000</v>
      </c>
      <c r="I36" s="189">
        <v>15000</v>
      </c>
      <c r="J36" s="190">
        <f t="shared" si="0"/>
        <v>100</v>
      </c>
    </row>
    <row r="37" spans="2:10" ht="12.75" customHeight="1">
      <c r="B37" s="14"/>
      <c r="C37" s="15"/>
      <c r="D37" s="15"/>
      <c r="E37" s="58">
        <v>614300</v>
      </c>
      <c r="F37" s="30" t="s">
        <v>103</v>
      </c>
      <c r="G37" s="118">
        <v>30000</v>
      </c>
      <c r="H37" s="118">
        <v>30000</v>
      </c>
      <c r="I37" s="118">
        <v>30000</v>
      </c>
      <c r="J37" s="154">
        <f t="shared" si="0"/>
        <v>100</v>
      </c>
    </row>
    <row r="38" spans="2:11" ht="12.75" customHeight="1">
      <c r="B38" s="14"/>
      <c r="C38" s="15"/>
      <c r="D38" s="15"/>
      <c r="E38" s="58">
        <v>614300</v>
      </c>
      <c r="F38" s="30" t="s">
        <v>104</v>
      </c>
      <c r="G38" s="118">
        <v>150000</v>
      </c>
      <c r="H38" s="118">
        <v>150000</v>
      </c>
      <c r="I38" s="118">
        <v>150000</v>
      </c>
      <c r="J38" s="154">
        <f t="shared" si="0"/>
        <v>100</v>
      </c>
      <c r="K38" s="108"/>
    </row>
    <row r="39" spans="2:11" ht="12.75" customHeight="1">
      <c r="B39" s="14"/>
      <c r="C39" s="15"/>
      <c r="D39" s="15"/>
      <c r="E39" s="58"/>
      <c r="F39" s="30"/>
      <c r="G39" s="118"/>
      <c r="H39" s="118"/>
      <c r="I39" s="118"/>
      <c r="J39" s="154">
        <f t="shared" si="0"/>
      </c>
      <c r="K39" s="108"/>
    </row>
    <row r="40" spans="2:11" ht="12.75" customHeight="1">
      <c r="B40" s="14"/>
      <c r="C40" s="15"/>
      <c r="D40" s="15"/>
      <c r="E40" s="9">
        <v>615000</v>
      </c>
      <c r="F40" s="34" t="s">
        <v>91</v>
      </c>
      <c r="G40" s="109">
        <f>G41</f>
        <v>0</v>
      </c>
      <c r="H40" s="109">
        <f>H41</f>
        <v>0</v>
      </c>
      <c r="I40" s="109">
        <f>I41</f>
        <v>0</v>
      </c>
      <c r="J40" s="153">
        <f t="shared" si="0"/>
      </c>
      <c r="K40" s="108"/>
    </row>
    <row r="41" spans="2:11" ht="12.75" customHeight="1">
      <c r="B41" s="14"/>
      <c r="C41" s="15"/>
      <c r="D41" s="15"/>
      <c r="E41" s="16">
        <v>615100</v>
      </c>
      <c r="F41" s="68" t="s">
        <v>91</v>
      </c>
      <c r="G41" s="118">
        <v>0</v>
      </c>
      <c r="H41" s="118">
        <v>0</v>
      </c>
      <c r="I41" s="118">
        <v>0</v>
      </c>
      <c r="J41" s="154">
        <f t="shared" si="0"/>
      </c>
      <c r="K41" s="108"/>
    </row>
    <row r="42" spans="2:10" ht="12.75" customHeight="1">
      <c r="B42" s="14"/>
      <c r="C42" s="15"/>
      <c r="D42" s="15"/>
      <c r="E42" s="58"/>
      <c r="F42" s="30"/>
      <c r="G42" s="118"/>
      <c r="H42" s="118"/>
      <c r="I42" s="118"/>
      <c r="J42" s="154">
        <f t="shared" si="0"/>
      </c>
    </row>
    <row r="43" spans="2:10" ht="12.75" customHeight="1">
      <c r="B43" s="14"/>
      <c r="C43" s="15"/>
      <c r="D43" s="15"/>
      <c r="E43" s="9">
        <v>616000</v>
      </c>
      <c r="F43" s="34" t="s">
        <v>209</v>
      </c>
      <c r="G43" s="109">
        <f>G44</f>
        <v>12560</v>
      </c>
      <c r="H43" s="109">
        <f>H44</f>
        <v>12560</v>
      </c>
      <c r="I43" s="109">
        <f>I44</f>
        <v>12557</v>
      </c>
      <c r="J43" s="153">
        <f t="shared" si="0"/>
        <v>99.97611464968152</v>
      </c>
    </row>
    <row r="44" spans="2:10" ht="12.75" customHeight="1">
      <c r="B44" s="14"/>
      <c r="C44" s="15"/>
      <c r="D44" s="15"/>
      <c r="E44" s="16">
        <v>616300</v>
      </c>
      <c r="F44" s="68" t="s">
        <v>220</v>
      </c>
      <c r="G44" s="118">
        <v>12560</v>
      </c>
      <c r="H44" s="118">
        <v>12560</v>
      </c>
      <c r="I44" s="118">
        <v>12557</v>
      </c>
      <c r="J44" s="154">
        <f t="shared" si="0"/>
        <v>99.97611464968152</v>
      </c>
    </row>
    <row r="45" spans="2:10" ht="12.75" customHeight="1">
      <c r="B45" s="14"/>
      <c r="C45" s="15"/>
      <c r="D45" s="15"/>
      <c r="E45" s="16"/>
      <c r="F45" s="15"/>
      <c r="G45" s="84"/>
      <c r="H45" s="84"/>
      <c r="I45" s="84"/>
      <c r="J45" s="154">
        <f t="shared" si="0"/>
      </c>
    </row>
    <row r="46" spans="2:10" s="1" customFormat="1" ht="12.75" customHeight="1">
      <c r="B46" s="17"/>
      <c r="C46" s="12"/>
      <c r="D46" s="12"/>
      <c r="E46" s="9">
        <v>821000</v>
      </c>
      <c r="F46" s="12" t="s">
        <v>92</v>
      </c>
      <c r="G46" s="109">
        <f>SUM(G47:G48)</f>
        <v>1440</v>
      </c>
      <c r="H46" s="109">
        <f>SUM(H47:H48)</f>
        <v>1440</v>
      </c>
      <c r="I46" s="109">
        <f>SUM(I47:I48)</f>
        <v>1439</v>
      </c>
      <c r="J46" s="153">
        <f t="shared" si="0"/>
        <v>99.93055555555556</v>
      </c>
    </row>
    <row r="47" spans="2:10" ht="12.75" customHeight="1">
      <c r="B47" s="14"/>
      <c r="C47" s="15"/>
      <c r="D47" s="15"/>
      <c r="E47" s="16">
        <v>821200</v>
      </c>
      <c r="F47" s="15" t="s">
        <v>93</v>
      </c>
      <c r="G47" s="84">
        <v>0</v>
      </c>
      <c r="H47" s="84">
        <v>0</v>
      </c>
      <c r="I47" s="84">
        <v>0</v>
      </c>
      <c r="J47" s="154">
        <f t="shared" si="0"/>
      </c>
    </row>
    <row r="48" spans="2:10" ht="12.75" customHeight="1">
      <c r="B48" s="14"/>
      <c r="C48" s="15"/>
      <c r="D48" s="15"/>
      <c r="E48" s="16">
        <v>821300</v>
      </c>
      <c r="F48" s="15" t="s">
        <v>94</v>
      </c>
      <c r="G48" s="118">
        <v>1440</v>
      </c>
      <c r="H48" s="118">
        <v>1440</v>
      </c>
      <c r="I48" s="118">
        <v>1439</v>
      </c>
      <c r="J48" s="154">
        <f t="shared" si="0"/>
        <v>99.93055555555556</v>
      </c>
    </row>
    <row r="49" spans="2:10" ht="12.75" customHeight="1">
      <c r="B49" s="14"/>
      <c r="C49" s="15"/>
      <c r="D49" s="15"/>
      <c r="E49" s="16"/>
      <c r="F49" s="15"/>
      <c r="G49" s="84"/>
      <c r="H49" s="84"/>
      <c r="I49" s="84"/>
      <c r="J49" s="154">
        <f t="shared" si="0"/>
      </c>
    </row>
    <row r="50" spans="2:10" ht="12.75" customHeight="1">
      <c r="B50" s="14"/>
      <c r="C50" s="15"/>
      <c r="D50" s="15"/>
      <c r="E50" s="9">
        <v>823000</v>
      </c>
      <c r="F50" s="12" t="s">
        <v>210</v>
      </c>
      <c r="G50" s="109">
        <f>G51</f>
        <v>74130</v>
      </c>
      <c r="H50" s="109">
        <f>H51</f>
        <v>74130</v>
      </c>
      <c r="I50" s="109">
        <f>I51</f>
        <v>74128</v>
      </c>
      <c r="J50" s="153">
        <f t="shared" si="0"/>
        <v>99.9973020369621</v>
      </c>
    </row>
    <row r="51" spans="2:10" ht="12.75" customHeight="1">
      <c r="B51" s="14"/>
      <c r="C51" s="15"/>
      <c r="D51" s="15"/>
      <c r="E51" s="16">
        <v>823300</v>
      </c>
      <c r="F51" s="26" t="s">
        <v>191</v>
      </c>
      <c r="G51" s="118">
        <v>74130</v>
      </c>
      <c r="H51" s="118">
        <v>74130</v>
      </c>
      <c r="I51" s="118">
        <v>74128</v>
      </c>
      <c r="J51" s="154">
        <f t="shared" si="0"/>
        <v>99.9973020369621</v>
      </c>
    </row>
    <row r="52" spans="2:10" ht="12.75" customHeight="1">
      <c r="B52" s="14"/>
      <c r="C52" s="15"/>
      <c r="D52" s="15"/>
      <c r="E52" s="16"/>
      <c r="F52" s="26"/>
      <c r="G52" s="84"/>
      <c r="H52" s="84"/>
      <c r="I52" s="84"/>
      <c r="J52" s="154">
        <f t="shared" si="0"/>
      </c>
    </row>
    <row r="53" spans="2:10" ht="12.75" customHeight="1">
      <c r="B53" s="14"/>
      <c r="C53" s="15"/>
      <c r="D53" s="15"/>
      <c r="E53" s="16"/>
      <c r="F53" s="15"/>
      <c r="G53" s="84"/>
      <c r="H53" s="84"/>
      <c r="I53" s="84"/>
      <c r="J53" s="154">
        <f t="shared" si="0"/>
      </c>
    </row>
    <row r="54" spans="2:10" s="1" customFormat="1" ht="12.75" customHeight="1">
      <c r="B54" s="17"/>
      <c r="C54" s="12"/>
      <c r="D54" s="12"/>
      <c r="E54" s="9"/>
      <c r="F54" s="12" t="s">
        <v>95</v>
      </c>
      <c r="G54" s="20">
        <v>10</v>
      </c>
      <c r="H54" s="20">
        <v>10</v>
      </c>
      <c r="I54" s="20">
        <v>10</v>
      </c>
      <c r="J54" s="154"/>
    </row>
    <row r="55" spans="2:10" s="1" customFormat="1" ht="12.75" customHeight="1">
      <c r="B55" s="17"/>
      <c r="C55" s="12"/>
      <c r="D55" s="12"/>
      <c r="E55" s="9"/>
      <c r="F55" s="12" t="s">
        <v>116</v>
      </c>
      <c r="G55" s="20">
        <f>G7+G13+G17+G31+G40+G43+G46+G50</f>
        <v>1547880</v>
      </c>
      <c r="H55" s="20">
        <f>H7+H13+H17+H31+H40+H43+H46+H50</f>
        <v>1547880</v>
      </c>
      <c r="I55" s="20">
        <f>I7+I13+I17+I31+I40+I43+I46+I50</f>
        <v>1522365</v>
      </c>
      <c r="J55" s="153">
        <f t="shared" si="0"/>
        <v>98.35161640437244</v>
      </c>
    </row>
    <row r="56" spans="2:10" s="1" customFormat="1" ht="12.75" customHeight="1">
      <c r="B56" s="17"/>
      <c r="C56" s="12"/>
      <c r="D56" s="12"/>
      <c r="E56" s="9"/>
      <c r="F56" s="12" t="s">
        <v>96</v>
      </c>
      <c r="G56" s="12"/>
      <c r="H56" s="20"/>
      <c r="I56" s="15"/>
      <c r="J56" s="155"/>
    </row>
    <row r="57" spans="2:10" s="1" customFormat="1" ht="12.75" customHeight="1">
      <c r="B57" s="17"/>
      <c r="C57" s="12"/>
      <c r="D57" s="12"/>
      <c r="E57" s="9"/>
      <c r="F57" s="12" t="s">
        <v>97</v>
      </c>
      <c r="G57" s="12"/>
      <c r="H57" s="20"/>
      <c r="I57" s="15"/>
      <c r="J57" s="155"/>
    </row>
    <row r="58" spans="2:10" ht="12.75" customHeight="1" thickBot="1">
      <c r="B58" s="21"/>
      <c r="C58" s="22"/>
      <c r="D58" s="22"/>
      <c r="E58" s="23"/>
      <c r="F58" s="22"/>
      <c r="G58" s="36"/>
      <c r="H58" s="50"/>
      <c r="I58" s="22"/>
      <c r="J58" s="157"/>
    </row>
    <row r="61" ht="12.75">
      <c r="B61" s="83"/>
    </row>
    <row r="62" ht="12.75">
      <c r="B62" s="83"/>
    </row>
    <row r="63" ht="12.75">
      <c r="B63" s="83"/>
    </row>
    <row r="64" ht="12.75">
      <c r="B64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B2:M60"/>
  <sheetViews>
    <sheetView zoomScaleSheetLayoutView="100" workbookViewId="0" topLeftCell="C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173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137</v>
      </c>
      <c r="D6" s="11" t="s">
        <v>122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1079260</v>
      </c>
      <c r="H7" s="20">
        <f>SUM(H8:H11)</f>
        <v>1079260</v>
      </c>
      <c r="I7" s="20">
        <f>SUM(I8:I11)</f>
        <v>1059993</v>
      </c>
      <c r="J7" s="153">
        <f aca="true" t="shared" si="0" ref="J7:J42">IF(H7=0,"",I7/H7*100)</f>
        <v>98.21479532272113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859400+7300</f>
        <v>866700</v>
      </c>
      <c r="H8" s="46">
        <f>859400+7300</f>
        <v>866700</v>
      </c>
      <c r="I8" s="46">
        <v>855921</v>
      </c>
      <c r="J8" s="154">
        <f t="shared" si="0"/>
        <v>98.75631706472828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192200+5000+54*240</f>
        <v>210160</v>
      </c>
      <c r="H9" s="46">
        <f>192200+5000+54*240</f>
        <v>210160</v>
      </c>
      <c r="I9" s="46">
        <v>201792</v>
      </c>
      <c r="J9" s="154">
        <f t="shared" si="0"/>
        <v>96.01827179291969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2400</v>
      </c>
      <c r="H10" s="84">
        <v>2400</v>
      </c>
      <c r="I10" s="84">
        <v>2280</v>
      </c>
      <c r="J10" s="154">
        <f t="shared" si="0"/>
        <v>95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  <c r="L12" s="83" t="s">
        <v>180</v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92700</v>
      </c>
      <c r="H13" s="20">
        <f>H14</f>
        <v>92700</v>
      </c>
      <c r="I13" s="20">
        <f>I14</f>
        <v>92009</v>
      </c>
      <c r="J13" s="153">
        <f t="shared" si="0"/>
        <v>99.25458468176915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92700</v>
      </c>
      <c r="H14" s="46">
        <v>92700</v>
      </c>
      <c r="I14" s="46">
        <v>92009</v>
      </c>
      <c r="J14" s="154">
        <f t="shared" si="0"/>
        <v>99.25458468176915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159500</v>
      </c>
      <c r="H17" s="51">
        <f>SUM(H18:H27)</f>
        <v>159500</v>
      </c>
      <c r="I17" s="51">
        <f>SUM(I18:I27)</f>
        <v>146979</v>
      </c>
      <c r="J17" s="153">
        <f t="shared" si="0"/>
        <v>92.14984326018809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6000</v>
      </c>
      <c r="H18" s="46">
        <v>6000</v>
      </c>
      <c r="I18" s="46">
        <v>5050</v>
      </c>
      <c r="J18" s="154">
        <f t="shared" si="0"/>
        <v>84.16666666666667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60000</v>
      </c>
      <c r="H19" s="46">
        <v>60000</v>
      </c>
      <c r="I19" s="46">
        <v>56612</v>
      </c>
      <c r="J19" s="154">
        <f t="shared" si="0"/>
        <v>94.35333333333334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7400</v>
      </c>
      <c r="H20" s="46">
        <v>7400</v>
      </c>
      <c r="I20" s="46">
        <v>6187</v>
      </c>
      <c r="J20" s="154">
        <f t="shared" si="0"/>
        <v>83.6081081081081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22000</v>
      </c>
      <c r="H21" s="46">
        <v>22880</v>
      </c>
      <c r="I21" s="46">
        <v>22833</v>
      </c>
      <c r="J21" s="154">
        <f t="shared" si="0"/>
        <v>99.79458041958041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1500</v>
      </c>
      <c r="H22" s="118">
        <v>1670</v>
      </c>
      <c r="I22" s="118">
        <v>1660</v>
      </c>
      <c r="J22" s="154">
        <f t="shared" si="0"/>
        <v>99.40119760479041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6">
        <v>14000</v>
      </c>
      <c r="H24" s="46">
        <v>14000</v>
      </c>
      <c r="I24" s="46">
        <v>13464</v>
      </c>
      <c r="J24" s="154">
        <f t="shared" si="0"/>
        <v>96.17142857142858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6">
        <v>300</v>
      </c>
      <c r="H25" s="46">
        <v>300</v>
      </c>
      <c r="I25" s="46">
        <v>0</v>
      </c>
      <c r="J25" s="154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45000</v>
      </c>
      <c r="H26" s="118">
        <v>43950</v>
      </c>
      <c r="I26" s="118">
        <v>37916</v>
      </c>
      <c r="J26" s="154">
        <f t="shared" si="0"/>
        <v>86.27076222980659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0">
        <v>3300</v>
      </c>
      <c r="H27" s="110">
        <v>3300</v>
      </c>
      <c r="I27" s="110">
        <v>3257</v>
      </c>
      <c r="J27" s="154">
        <f t="shared" si="0"/>
        <v>98.69696969696969</v>
      </c>
    </row>
    <row r="28" spans="2:10" s="1" customFormat="1" ht="12.75" customHeight="1">
      <c r="B28" s="17"/>
      <c r="C28" s="12"/>
      <c r="D28" s="12"/>
      <c r="E28" s="9"/>
      <c r="F28" s="12"/>
      <c r="G28" s="46"/>
      <c r="H28" s="46"/>
      <c r="I28" s="46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46"/>
      <c r="H29" s="46"/>
      <c r="I29" s="46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46"/>
      <c r="H30" s="46"/>
      <c r="I30" s="46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46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46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SUM(G37:G39)</f>
        <v>14340</v>
      </c>
      <c r="H36" s="20">
        <f>SUM(H37:H39)</f>
        <v>14340</v>
      </c>
      <c r="I36" s="20">
        <f>SUM(I37:I39)</f>
        <v>8343</v>
      </c>
      <c r="J36" s="153">
        <f t="shared" si="0"/>
        <v>58.17991631799163</v>
      </c>
    </row>
    <row r="37" spans="2:11" ht="12.75" customHeight="1">
      <c r="B37" s="14"/>
      <c r="C37" s="15"/>
      <c r="D37" s="15"/>
      <c r="E37" s="16">
        <v>821200</v>
      </c>
      <c r="F37" s="15" t="s">
        <v>93</v>
      </c>
      <c r="G37" s="118">
        <v>6000</v>
      </c>
      <c r="H37" s="118">
        <v>6000</v>
      </c>
      <c r="I37" s="118">
        <v>2015</v>
      </c>
      <c r="J37" s="154">
        <f t="shared" si="0"/>
        <v>33.58333333333333</v>
      </c>
      <c r="K37" s="83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8340</v>
      </c>
      <c r="H38" s="118">
        <v>8340</v>
      </c>
      <c r="I38" s="118">
        <v>6328</v>
      </c>
      <c r="J38" s="154">
        <f t="shared" si="0"/>
        <v>75.87529976019185</v>
      </c>
    </row>
    <row r="39" spans="2:10" ht="12.75" customHeight="1">
      <c r="B39" s="14"/>
      <c r="C39" s="15"/>
      <c r="D39" s="15"/>
      <c r="E39" s="16"/>
      <c r="F39" s="26"/>
      <c r="G39" s="46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717</v>
      </c>
      <c r="H41" s="25" t="s">
        <v>717</v>
      </c>
      <c r="I41" s="25" t="s">
        <v>752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1345800</v>
      </c>
      <c r="H42" s="20">
        <f>H7+H13+H17+H36</f>
        <v>1345800</v>
      </c>
      <c r="I42" s="20">
        <f>I7+I13+I17+I36</f>
        <v>1307324</v>
      </c>
      <c r="J42" s="153">
        <f t="shared" si="0"/>
        <v>97.14103135681378</v>
      </c>
    </row>
    <row r="43" spans="2:13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  <c r="M43" s="1" t="s">
        <v>180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  <row r="55" ht="12.75">
      <c r="B55" s="83"/>
    </row>
    <row r="56" ht="12.75">
      <c r="B56" s="83"/>
    </row>
    <row r="57" ht="12.75">
      <c r="B57" s="83"/>
    </row>
    <row r="58" ht="12.75">
      <c r="B58" s="83"/>
    </row>
    <row r="59" ht="12.75">
      <c r="B59" s="83"/>
    </row>
    <row r="60" ht="12.75">
      <c r="B60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B2:L51"/>
  <sheetViews>
    <sheetView zoomScaleSheetLayoutView="100" workbookViewId="0" topLeftCell="C4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316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36" t="s">
        <v>148</v>
      </c>
      <c r="C6" s="137" t="s">
        <v>137</v>
      </c>
      <c r="D6" s="137" t="s">
        <v>129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1020000</v>
      </c>
      <c r="H7" s="20">
        <f>SUM(H8:H11)</f>
        <v>1020000</v>
      </c>
      <c r="I7" s="20">
        <f>SUM(I8:I11)</f>
        <v>1004007</v>
      </c>
      <c r="J7" s="153">
        <f aca="true" t="shared" si="0" ref="J7:J42">IF(H7=0,"",I7/H7*100)</f>
        <v>98.43205882352942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811100</f>
        <v>811100</v>
      </c>
      <c r="H8" s="46">
        <f>811100</f>
        <v>811100</v>
      </c>
      <c r="I8" s="46">
        <v>805149</v>
      </c>
      <c r="J8" s="154">
        <f t="shared" si="0"/>
        <v>99.26630501787696</v>
      </c>
    </row>
    <row r="9" spans="2:12" ht="12.75" customHeight="1">
      <c r="B9" s="14"/>
      <c r="C9" s="15"/>
      <c r="D9" s="15"/>
      <c r="E9" s="16">
        <v>611200</v>
      </c>
      <c r="F9" s="15" t="s">
        <v>205</v>
      </c>
      <c r="G9" s="118">
        <f>193700+55*240</f>
        <v>206900</v>
      </c>
      <c r="H9" s="118">
        <f>193700+55*240</f>
        <v>206900</v>
      </c>
      <c r="I9" s="118">
        <v>196978</v>
      </c>
      <c r="J9" s="154">
        <f t="shared" si="0"/>
        <v>95.20444659255679</v>
      </c>
      <c r="L9" s="83"/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2000</v>
      </c>
      <c r="H10" s="84">
        <v>2000</v>
      </c>
      <c r="I10" s="84">
        <v>1880</v>
      </c>
      <c r="J10" s="154">
        <f t="shared" si="0"/>
        <v>94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86600</v>
      </c>
      <c r="H13" s="20">
        <f>H14</f>
        <v>86600</v>
      </c>
      <c r="I13" s="20">
        <f>I14</f>
        <v>85458</v>
      </c>
      <c r="J13" s="153">
        <f t="shared" si="0"/>
        <v>98.68129330254042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86600</v>
      </c>
      <c r="H14" s="46">
        <v>86600</v>
      </c>
      <c r="I14" s="46">
        <v>85458</v>
      </c>
      <c r="J14" s="154">
        <f t="shared" si="0"/>
        <v>98.68129330254042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152700</v>
      </c>
      <c r="H17" s="51">
        <f>SUM(H18:H27)</f>
        <v>152700</v>
      </c>
      <c r="I17" s="51">
        <f>SUM(I18:I27)</f>
        <v>150349</v>
      </c>
      <c r="J17" s="153">
        <f t="shared" si="0"/>
        <v>98.46037982973151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18">
        <v>5000</v>
      </c>
      <c r="H18" s="118">
        <v>3950</v>
      </c>
      <c r="I18" s="118">
        <v>3908</v>
      </c>
      <c r="J18" s="154">
        <f t="shared" si="0"/>
        <v>98.9367088607595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68000</v>
      </c>
      <c r="H19" s="46">
        <v>67200</v>
      </c>
      <c r="I19" s="46">
        <v>67145</v>
      </c>
      <c r="J19" s="154">
        <f t="shared" si="0"/>
        <v>99.91815476190476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118">
        <v>12000</v>
      </c>
      <c r="H20" s="118">
        <v>10700</v>
      </c>
      <c r="I20" s="118">
        <v>10427</v>
      </c>
      <c r="J20" s="154">
        <f t="shared" si="0"/>
        <v>97.44859813084112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24000</v>
      </c>
      <c r="H21" s="118">
        <v>24000</v>
      </c>
      <c r="I21" s="118">
        <v>22532</v>
      </c>
      <c r="J21" s="154">
        <f t="shared" si="0"/>
        <v>93.88333333333333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500</v>
      </c>
      <c r="H22" s="118">
        <v>150</v>
      </c>
      <c r="I22" s="118">
        <v>93</v>
      </c>
      <c r="J22" s="154">
        <f t="shared" si="0"/>
        <v>62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22500</v>
      </c>
      <c r="H24" s="118">
        <v>22500</v>
      </c>
      <c r="I24" s="118">
        <v>22279</v>
      </c>
      <c r="J24" s="154">
        <f t="shared" si="0"/>
        <v>99.01777777777778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18000</v>
      </c>
      <c r="H26" s="118">
        <v>21500</v>
      </c>
      <c r="I26" s="118">
        <v>21317</v>
      </c>
      <c r="J26" s="154">
        <f t="shared" si="0"/>
        <v>99.14883720930231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70">
        <v>2700</v>
      </c>
      <c r="H27" s="170">
        <v>2700</v>
      </c>
      <c r="I27" s="170">
        <v>2648</v>
      </c>
      <c r="J27" s="154">
        <f t="shared" si="0"/>
        <v>98.07407407407408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5000</v>
      </c>
      <c r="H36" s="109">
        <f>SUM(H37:H39)</f>
        <v>5000</v>
      </c>
      <c r="I36" s="109">
        <f>SUM(I37:I39)</f>
        <v>5000</v>
      </c>
      <c r="J36" s="153">
        <f t="shared" si="0"/>
        <v>100</v>
      </c>
    </row>
    <row r="37" spans="2:11" ht="12.75" customHeight="1">
      <c r="B37" s="14"/>
      <c r="C37" s="15"/>
      <c r="D37" s="15"/>
      <c r="E37" s="120">
        <v>821200</v>
      </c>
      <c r="F37" s="19" t="s">
        <v>93</v>
      </c>
      <c r="G37" s="118">
        <v>0</v>
      </c>
      <c r="H37" s="118">
        <v>0</v>
      </c>
      <c r="I37" s="118">
        <v>0</v>
      </c>
      <c r="J37" s="154">
        <f t="shared" si="0"/>
      </c>
      <c r="K37" s="83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5000</v>
      </c>
      <c r="H38" s="118">
        <v>5000</v>
      </c>
      <c r="I38" s="118">
        <v>5000</v>
      </c>
      <c r="J38" s="154">
        <f t="shared" si="0"/>
        <v>100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118"/>
      <c r="H40" s="118"/>
      <c r="I40" s="118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718</v>
      </c>
      <c r="H41" s="25" t="s">
        <v>718</v>
      </c>
      <c r="I41" s="25" t="s">
        <v>720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1264300</v>
      </c>
      <c r="H42" s="20">
        <f>H7+H13+H17+H36</f>
        <v>1264300</v>
      </c>
      <c r="I42" s="20">
        <f>I7+I13+I17+I36</f>
        <v>1244814</v>
      </c>
      <c r="J42" s="153">
        <f t="shared" si="0"/>
        <v>98.45875187850984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&amp;R29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B2:L51"/>
  <sheetViews>
    <sheetView zoomScaleSheetLayoutView="100" workbookViewId="0" topLeftCell="C4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8" ht="15" customHeight="1">
      <c r="B2" s="450" t="s">
        <v>317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36" t="s">
        <v>148</v>
      </c>
      <c r="C6" s="137" t="s">
        <v>137</v>
      </c>
      <c r="D6" s="137" t="s">
        <v>130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840800</v>
      </c>
      <c r="H7" s="20">
        <f>SUM(H8:H11)</f>
        <v>840800</v>
      </c>
      <c r="I7" s="20">
        <f>SUM(I8:I11)</f>
        <v>832948</v>
      </c>
      <c r="J7" s="153">
        <f aca="true" t="shared" si="0" ref="J7:J43">IF(H7=0,"",I7/H7*100)</f>
        <v>99.06612749762131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46">
        <v>662400</v>
      </c>
      <c r="H8" s="46">
        <v>662400</v>
      </c>
      <c r="I8" s="46">
        <v>661632</v>
      </c>
      <c r="J8" s="154">
        <f t="shared" si="0"/>
        <v>99.8840579710145</v>
      </c>
      <c r="K8" s="83"/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162800+45*240</f>
        <v>173600</v>
      </c>
      <c r="H9" s="118">
        <f>162800+45*240</f>
        <v>173600</v>
      </c>
      <c r="I9" s="118">
        <v>166676</v>
      </c>
      <c r="J9" s="154">
        <f t="shared" si="0"/>
        <v>96.01152073732719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4800</v>
      </c>
      <c r="H10" s="84">
        <v>4800</v>
      </c>
      <c r="I10" s="84">
        <v>4640</v>
      </c>
      <c r="J10" s="154">
        <f t="shared" si="0"/>
        <v>96.66666666666667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71100</v>
      </c>
      <c r="H13" s="20">
        <f>H14</f>
        <v>71350</v>
      </c>
      <c r="I13" s="20">
        <f>I14</f>
        <v>71325</v>
      </c>
      <c r="J13" s="153">
        <f t="shared" si="0"/>
        <v>99.96496145760337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71100</v>
      </c>
      <c r="H14" s="46">
        <v>71350</v>
      </c>
      <c r="I14" s="46">
        <v>71325</v>
      </c>
      <c r="J14" s="154">
        <f t="shared" si="0"/>
        <v>99.96496145760337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147100</v>
      </c>
      <c r="H17" s="51">
        <f>SUM(H18:H27)</f>
        <v>146850</v>
      </c>
      <c r="I17" s="51">
        <f>SUM(I18:I27)</f>
        <v>140994</v>
      </c>
      <c r="J17" s="153">
        <f t="shared" si="0"/>
        <v>96.01225740551584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18">
        <v>4000</v>
      </c>
      <c r="H18" s="118">
        <v>4000</v>
      </c>
      <c r="I18" s="118">
        <v>3546</v>
      </c>
      <c r="J18" s="154">
        <f t="shared" si="0"/>
        <v>88.64999999999999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45000</v>
      </c>
      <c r="H19" s="46">
        <v>47300</v>
      </c>
      <c r="I19" s="46">
        <v>47178</v>
      </c>
      <c r="J19" s="154">
        <f t="shared" si="0"/>
        <v>99.74207188160676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7500</v>
      </c>
      <c r="H20" s="46">
        <v>7500</v>
      </c>
      <c r="I20" s="46">
        <v>6643</v>
      </c>
      <c r="J20" s="154">
        <f t="shared" si="0"/>
        <v>88.57333333333334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16000</v>
      </c>
      <c r="H21" s="46">
        <v>16000</v>
      </c>
      <c r="I21" s="46">
        <v>15999</v>
      </c>
      <c r="J21" s="154">
        <f t="shared" si="0"/>
        <v>99.99375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3000</v>
      </c>
      <c r="H22" s="118">
        <v>3000</v>
      </c>
      <c r="I22" s="118">
        <v>2946</v>
      </c>
      <c r="J22" s="154">
        <f t="shared" si="0"/>
        <v>98.2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15000</v>
      </c>
      <c r="H24" s="118">
        <v>15000</v>
      </c>
      <c r="I24" s="118">
        <v>14669</v>
      </c>
      <c r="J24" s="154">
        <f t="shared" si="0"/>
        <v>97.79333333333334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50000</v>
      </c>
      <c r="H26" s="118">
        <v>47400</v>
      </c>
      <c r="I26" s="118">
        <v>43374</v>
      </c>
      <c r="J26" s="154">
        <f t="shared" si="0"/>
        <v>91.50632911392404</v>
      </c>
    </row>
    <row r="27" spans="2:10" ht="12.75" customHeight="1">
      <c r="B27" s="14"/>
      <c r="C27" s="15"/>
      <c r="D27" s="15"/>
      <c r="E27" s="16">
        <v>613900</v>
      </c>
      <c r="F27" s="366" t="s">
        <v>680</v>
      </c>
      <c r="G27" s="170">
        <v>6600</v>
      </c>
      <c r="H27" s="170">
        <v>6650</v>
      </c>
      <c r="I27" s="170">
        <v>6639</v>
      </c>
      <c r="J27" s="154">
        <f t="shared" si="0"/>
        <v>99.8345864661654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4500</v>
      </c>
      <c r="H36" s="109">
        <f>SUM(H37:H39)</f>
        <v>4500</v>
      </c>
      <c r="I36" s="109">
        <f>SUM(I37:I39)</f>
        <v>4500</v>
      </c>
      <c r="J36" s="153">
        <f t="shared" si="0"/>
        <v>100</v>
      </c>
    </row>
    <row r="37" spans="2:11" ht="12.75" customHeight="1">
      <c r="B37" s="14"/>
      <c r="C37" s="15"/>
      <c r="D37" s="15"/>
      <c r="E37" s="120">
        <v>821200</v>
      </c>
      <c r="F37" s="19" t="s">
        <v>93</v>
      </c>
      <c r="G37" s="118">
        <v>0</v>
      </c>
      <c r="H37" s="118">
        <v>0</v>
      </c>
      <c r="I37" s="118">
        <v>0</v>
      </c>
      <c r="J37" s="154">
        <f t="shared" si="0"/>
      </c>
      <c r="K37" s="83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4500</v>
      </c>
      <c r="H38" s="118">
        <v>4500</v>
      </c>
      <c r="I38" s="118">
        <v>4500</v>
      </c>
      <c r="J38" s="154">
        <f t="shared" si="0"/>
        <v>100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719</v>
      </c>
      <c r="H41" s="25" t="s">
        <v>719</v>
      </c>
      <c r="I41" s="25" t="s">
        <v>753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1063500</v>
      </c>
      <c r="H42" s="20">
        <f>H7+H13+H17+H36</f>
        <v>1063500</v>
      </c>
      <c r="I42" s="20">
        <f>I7+I13+I17+I36</f>
        <v>1049767</v>
      </c>
      <c r="J42" s="153">
        <f t="shared" si="0"/>
        <v>98.70869769628585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G42+'22'!G42+'21'!G42</f>
        <v>3673600</v>
      </c>
      <c r="H43" s="20">
        <f>H42+'22'!H42+'21'!H42</f>
        <v>3673600</v>
      </c>
      <c r="I43" s="20">
        <f>I42+'22'!I42+'21'!I42</f>
        <v>3601905</v>
      </c>
      <c r="J43" s="153">
        <f t="shared" si="0"/>
        <v>98.04837216898954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B2:L54"/>
  <sheetViews>
    <sheetView zoomScaleSheetLayoutView="100" workbookViewId="0" topLeftCell="C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2" t="s">
        <v>149</v>
      </c>
      <c r="C2" s="452"/>
      <c r="D2" s="452"/>
      <c r="E2" s="452"/>
      <c r="F2" s="452"/>
      <c r="G2" s="452"/>
      <c r="H2" s="452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1005060</v>
      </c>
      <c r="H7" s="20">
        <f>SUM(H8:H11)</f>
        <v>1005060</v>
      </c>
      <c r="I7" s="20">
        <f>SUM(I8:I11)</f>
        <v>988173</v>
      </c>
      <c r="J7" s="153">
        <f aca="true" t="shared" si="0" ref="J7:J42">IF(H7=0,"",I7/H7*100)</f>
        <v>98.31980180287744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118">
        <f>793900+2700+4000</f>
        <v>800600</v>
      </c>
      <c r="H8" s="118">
        <f>793900+2700+4000</f>
        <v>800600</v>
      </c>
      <c r="I8" s="118">
        <v>789878</v>
      </c>
      <c r="J8" s="154">
        <f t="shared" si="0"/>
        <v>98.66075443417436</v>
      </c>
      <c r="K8" s="108"/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177400+54*240</f>
        <v>190360</v>
      </c>
      <c r="H9" s="118">
        <f>177400+54*240</f>
        <v>190360</v>
      </c>
      <c r="I9" s="118">
        <v>184832</v>
      </c>
      <c r="J9" s="154">
        <f t="shared" si="0"/>
        <v>97.09602857743224</v>
      </c>
    </row>
    <row r="10" spans="2:12" ht="12.75" customHeight="1">
      <c r="B10" s="14"/>
      <c r="C10" s="15"/>
      <c r="D10" s="15"/>
      <c r="E10" s="16">
        <v>611200</v>
      </c>
      <c r="F10" s="366" t="s">
        <v>711</v>
      </c>
      <c r="G10" s="84">
        <v>14100</v>
      </c>
      <c r="H10" s="84">
        <v>14100</v>
      </c>
      <c r="I10" s="84">
        <v>13463</v>
      </c>
      <c r="J10" s="154">
        <f t="shared" si="0"/>
        <v>95.4822695035461</v>
      </c>
      <c r="L10" s="90"/>
    </row>
    <row r="11" spans="2:10" ht="12.75" customHeight="1">
      <c r="B11" s="14"/>
      <c r="C11" s="15"/>
      <c r="D11" s="15"/>
      <c r="E11" s="16"/>
      <c r="F11" s="26"/>
      <c r="G11" s="118"/>
      <c r="H11" s="118"/>
      <c r="I11" s="118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85700</v>
      </c>
      <c r="H13" s="109">
        <f>H14</f>
        <v>85700</v>
      </c>
      <c r="I13" s="109">
        <f>I14</f>
        <v>84684</v>
      </c>
      <c r="J13" s="153">
        <f t="shared" si="0"/>
        <v>98.8144690781797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85700</v>
      </c>
      <c r="H14" s="118">
        <v>85700</v>
      </c>
      <c r="I14" s="118">
        <v>84684</v>
      </c>
      <c r="J14" s="154">
        <f t="shared" si="0"/>
        <v>98.8144690781797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115100</v>
      </c>
      <c r="H17" s="51">
        <f>SUM(H18:H27)</f>
        <v>115100</v>
      </c>
      <c r="I17" s="51">
        <f>SUM(I18:I27)</f>
        <v>113601</v>
      </c>
      <c r="J17" s="153">
        <f t="shared" si="0"/>
        <v>98.69765421372719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18">
        <v>5000</v>
      </c>
      <c r="H18" s="118">
        <f>5000-510</f>
        <v>4490</v>
      </c>
      <c r="I18" s="118">
        <v>4410</v>
      </c>
      <c r="J18" s="154">
        <f t="shared" si="0"/>
        <v>98.21826280623608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18">
        <v>30000</v>
      </c>
      <c r="H19" s="118">
        <v>30000</v>
      </c>
      <c r="I19" s="118">
        <v>29067</v>
      </c>
      <c r="J19" s="154">
        <f t="shared" si="0"/>
        <v>96.89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118">
        <v>6000</v>
      </c>
      <c r="H20" s="118">
        <f>6000-200</f>
        <v>5800</v>
      </c>
      <c r="I20" s="118">
        <v>5508</v>
      </c>
      <c r="J20" s="154">
        <f t="shared" si="0"/>
        <v>94.96551724137932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12000</v>
      </c>
      <c r="H21" s="118">
        <f>12000+200</f>
        <v>12200</v>
      </c>
      <c r="I21" s="118">
        <v>12160</v>
      </c>
      <c r="J21" s="154">
        <f t="shared" si="0"/>
        <v>99.672131147541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500</v>
      </c>
      <c r="H22" s="118">
        <f>500-500</f>
        <v>0</v>
      </c>
      <c r="I22" s="118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8000</v>
      </c>
      <c r="H24" s="118">
        <v>8000</v>
      </c>
      <c r="I24" s="118">
        <v>7861</v>
      </c>
      <c r="J24" s="154">
        <f t="shared" si="0"/>
        <v>98.2625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118">
        <v>36000</v>
      </c>
      <c r="H26" s="118">
        <f>36000+1390</f>
        <v>37390</v>
      </c>
      <c r="I26" s="118">
        <v>37382</v>
      </c>
      <c r="J26" s="154">
        <f t="shared" si="0"/>
        <v>99.97860390478738</v>
      </c>
      <c r="K26" s="91"/>
      <c r="L26" s="91"/>
    </row>
    <row r="27" spans="2:11" ht="12.75" customHeight="1">
      <c r="B27" s="14"/>
      <c r="C27" s="15"/>
      <c r="D27" s="15"/>
      <c r="E27" s="16">
        <v>613900</v>
      </c>
      <c r="F27" s="366" t="s">
        <v>712</v>
      </c>
      <c r="G27" s="118">
        <v>17600</v>
      </c>
      <c r="H27" s="118">
        <f>17600-380</f>
        <v>17220</v>
      </c>
      <c r="I27" s="118">
        <v>17213</v>
      </c>
      <c r="J27" s="154">
        <f t="shared" si="0"/>
        <v>99.95934959349594</v>
      </c>
      <c r="K27" s="91"/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6000</v>
      </c>
      <c r="H36" s="109">
        <f>SUM(H37:H39)</f>
        <v>6000</v>
      </c>
      <c r="I36" s="109">
        <f>SUM(I37:I39)</f>
        <v>5744</v>
      </c>
      <c r="J36" s="153">
        <f t="shared" si="0"/>
        <v>95.73333333333333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6000</v>
      </c>
      <c r="H38" s="118">
        <v>6000</v>
      </c>
      <c r="I38" s="118">
        <v>5744</v>
      </c>
      <c r="J38" s="154">
        <f t="shared" si="0"/>
        <v>95.73333333333333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118"/>
      <c r="H40" s="118"/>
      <c r="I40" s="118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720</v>
      </c>
      <c r="H41" s="25" t="s">
        <v>720</v>
      </c>
      <c r="I41" s="25" t="s">
        <v>754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1211860</v>
      </c>
      <c r="H42" s="20">
        <f>H7+H13+H17+H36</f>
        <v>1211860</v>
      </c>
      <c r="I42" s="20">
        <f>I7+I13+I17+I36</f>
        <v>1192202</v>
      </c>
      <c r="J42" s="153">
        <f t="shared" si="0"/>
        <v>98.37786543000017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13"/>
  <sheetViews>
    <sheetView zoomScalePageLayoutView="0" workbookViewId="0" topLeftCell="A10">
      <selection activeCell="A29" sqref="A29"/>
    </sheetView>
  </sheetViews>
  <sheetFormatPr defaultColWidth="9.140625" defaultRowHeight="15" customHeight="1"/>
  <cols>
    <col min="1" max="1" width="50.00390625" style="0" customWidth="1"/>
    <col min="2" max="2" width="17.421875" style="0" customWidth="1"/>
    <col min="3" max="3" width="18.28125" style="0" customWidth="1"/>
    <col min="4" max="4" width="8.8515625" style="0" customWidth="1"/>
    <col min="5" max="5" width="6.421875" style="0" customWidth="1"/>
    <col min="7" max="8" width="15.7109375" style="0" customWidth="1"/>
    <col min="9" max="9" width="8.7109375" style="0" customWidth="1"/>
  </cols>
  <sheetData>
    <row r="1" spans="1:26" ht="15" customHeight="1">
      <c r="A1" s="434"/>
      <c r="B1" s="434"/>
      <c r="C1" s="434"/>
      <c r="D1" s="434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5" customHeight="1">
      <c r="A2" s="434"/>
      <c r="B2" s="434"/>
      <c r="C2" s="434"/>
      <c r="D2" s="434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5" customHeight="1">
      <c r="A3" s="434"/>
      <c r="B3" s="434"/>
      <c r="C3" s="434"/>
      <c r="D3" s="43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0.5" customHeight="1">
      <c r="A4" s="434"/>
      <c r="B4" s="434"/>
      <c r="C4" s="434"/>
      <c r="D4" s="43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9" customHeight="1" hidden="1">
      <c r="A5" s="418"/>
      <c r="B5" s="418"/>
      <c r="C5" s="418"/>
      <c r="D5" s="418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9" customHeight="1">
      <c r="A6" s="292"/>
      <c r="B6" s="292"/>
      <c r="C6" s="292"/>
      <c r="D6" s="292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8.75" customHeight="1">
      <c r="A7" s="430" t="s">
        <v>746</v>
      </c>
      <c r="B7" s="430"/>
      <c r="C7" s="430"/>
      <c r="D7" s="43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5" customHeight="1">
      <c r="A8" s="435" t="s">
        <v>660</v>
      </c>
      <c r="B8" s="435"/>
      <c r="C8" s="435"/>
      <c r="D8" s="435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6.75" customHeight="1">
      <c r="A9" s="54"/>
      <c r="B9" s="53"/>
      <c r="C9" s="53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25.5" customHeight="1">
      <c r="A10" s="436"/>
      <c r="B10" s="436"/>
      <c r="C10" s="436"/>
      <c r="D10" s="43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6.5" customHeight="1">
      <c r="A11" s="370"/>
      <c r="B11" s="369"/>
      <c r="C11" s="369"/>
      <c r="D11" s="369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0.5" customHeight="1">
      <c r="A12" s="72"/>
      <c r="B12" s="72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40.5" customHeight="1">
      <c r="A13" s="245" t="s">
        <v>314</v>
      </c>
      <c r="B13" s="285" t="s">
        <v>543</v>
      </c>
      <c r="C13" s="285" t="s">
        <v>747</v>
      </c>
      <c r="D13" s="285" t="s">
        <v>453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s="238" customFormat="1" ht="12.75" customHeight="1">
      <c r="A14" s="241">
        <v>1</v>
      </c>
      <c r="B14" s="242">
        <v>2</v>
      </c>
      <c r="C14" s="242">
        <v>3</v>
      </c>
      <c r="D14" s="241">
        <v>4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</row>
    <row r="15" spans="1:26" ht="15" customHeight="1">
      <c r="A15" s="240" t="s">
        <v>471</v>
      </c>
      <c r="B15" s="248">
        <f>B16+B24+B25+B26+B27</f>
        <v>39817470</v>
      </c>
      <c r="C15" s="248">
        <f>C16+C24+C25+C26+C27</f>
        <v>40448169</v>
      </c>
      <c r="D15" s="259">
        <f>IF(B15=0,,C15/B15*100)</f>
        <v>101.5839755765497</v>
      </c>
      <c r="E15" s="235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5" customHeight="1">
      <c r="A16" s="236" t="s">
        <v>467</v>
      </c>
      <c r="B16" s="244">
        <f>SUM(B17:B23)</f>
        <v>34190490</v>
      </c>
      <c r="C16" s="244">
        <f>SUM(C17:C23)</f>
        <v>34947334</v>
      </c>
      <c r="D16" s="260">
        <f aca="true" t="shared" si="0" ref="D16:D51">IF(B16=0,,C16/B16*100)</f>
        <v>102.2136096908819</v>
      </c>
      <c r="E16" s="235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5" customHeight="1">
      <c r="A17" s="237" t="s">
        <v>455</v>
      </c>
      <c r="B17" s="255">
        <f>Prihodi!D6</f>
        <v>2421450</v>
      </c>
      <c r="C17" s="255">
        <f>Prihodi!E6</f>
        <v>2525727</v>
      </c>
      <c r="D17" s="359">
        <f t="shared" si="0"/>
        <v>104.30638666914452</v>
      </c>
      <c r="E17" s="235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5" ht="15" customHeight="1">
      <c r="A18" s="237" t="s">
        <v>456</v>
      </c>
      <c r="B18" s="255">
        <f>Prihodi!D14</f>
        <v>3340</v>
      </c>
      <c r="C18" s="255">
        <f>Prihodi!E14</f>
        <v>20684</v>
      </c>
      <c r="D18" s="261">
        <f t="shared" si="0"/>
        <v>619.2814371257485</v>
      </c>
      <c r="E18" s="235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5" customHeight="1">
      <c r="A19" s="237" t="s">
        <v>457</v>
      </c>
      <c r="B19" s="255">
        <f>Prihodi!D18</f>
        <v>277530</v>
      </c>
      <c r="C19" s="255">
        <f>Prihodi!E18</f>
        <v>281088</v>
      </c>
      <c r="D19" s="267">
        <f t="shared" si="0"/>
        <v>101.28202356502001</v>
      </c>
      <c r="E19" s="235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5" customHeight="1">
      <c r="A20" s="237" t="s">
        <v>458</v>
      </c>
      <c r="B20" s="256">
        <f>Prihodi!D26</f>
        <v>5090</v>
      </c>
      <c r="C20" s="256">
        <f>Prihodi!E26</f>
        <v>4993</v>
      </c>
      <c r="D20" s="262">
        <f t="shared" si="0"/>
        <v>98.09430255402751</v>
      </c>
      <c r="E20" s="235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5" customHeight="1">
      <c r="A21" s="237" t="s">
        <v>459</v>
      </c>
      <c r="B21" s="256">
        <f>Prihodi!D36</f>
        <v>2535470</v>
      </c>
      <c r="C21" s="256">
        <f>Prihodi!E36</f>
        <v>2741015</v>
      </c>
      <c r="D21" s="262">
        <f t="shared" si="0"/>
        <v>108.1067809912955</v>
      </c>
      <c r="E21" s="23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5" customHeight="1">
      <c r="A22" s="237" t="s">
        <v>460</v>
      </c>
      <c r="B22" s="256">
        <f>Prihodi!D45</f>
        <v>28947500</v>
      </c>
      <c r="C22" s="256">
        <f>Prihodi!E45</f>
        <v>29373737</v>
      </c>
      <c r="D22" s="262">
        <f t="shared" si="0"/>
        <v>101.47244839796184</v>
      </c>
      <c r="E22" s="235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ht="15" customHeight="1">
      <c r="A23" s="237" t="s">
        <v>461</v>
      </c>
      <c r="B23" s="256">
        <f>Prihodi!D49</f>
        <v>110</v>
      </c>
      <c r="C23" s="256">
        <f>Prihodi!E49</f>
        <v>90</v>
      </c>
      <c r="D23" s="262">
        <f t="shared" si="0"/>
        <v>81.81818181818183</v>
      </c>
      <c r="E23" s="235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6" ht="15" customHeight="1">
      <c r="A24" s="236" t="s">
        <v>462</v>
      </c>
      <c r="B24" s="244">
        <f>Prihodi!D55</f>
        <v>2987650</v>
      </c>
      <c r="C24" s="244">
        <f>Prihodi!E55</f>
        <v>2909586</v>
      </c>
      <c r="D24" s="260">
        <f t="shared" si="0"/>
        <v>97.38711027061403</v>
      </c>
      <c r="E24" s="235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" customHeight="1">
      <c r="A25" s="236" t="s">
        <v>541</v>
      </c>
      <c r="B25" s="244">
        <f>Prihodi!D145</f>
        <v>1997450</v>
      </c>
      <c r="C25" s="244">
        <f>Prihodi!E145</f>
        <v>2015188</v>
      </c>
      <c r="D25" s="260">
        <f t="shared" si="0"/>
        <v>100.88803224110741</v>
      </c>
      <c r="E25" s="235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" customHeight="1">
      <c r="A26" s="236" t="s">
        <v>542</v>
      </c>
      <c r="B26" s="244">
        <f>Prihodi!D175</f>
        <v>462680</v>
      </c>
      <c r="C26" s="244">
        <f>Prihodi!E175</f>
        <v>373825</v>
      </c>
      <c r="D26" s="260">
        <f t="shared" si="0"/>
        <v>80.79558225987724</v>
      </c>
      <c r="E26" s="235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 customHeight="1">
      <c r="A27" s="236" t="s">
        <v>470</v>
      </c>
      <c r="B27" s="244">
        <f>Prihodi!D198</f>
        <v>179200</v>
      </c>
      <c r="C27" s="244">
        <f>Prihodi!E198</f>
        <v>202236</v>
      </c>
      <c r="D27" s="260">
        <f t="shared" si="0"/>
        <v>112.85491071428571</v>
      </c>
      <c r="E27" s="235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5" ht="15" customHeight="1">
      <c r="A28" s="240" t="s">
        <v>760</v>
      </c>
      <c r="B28" s="248">
        <f>SUM(B29:B35)</f>
        <v>36215220</v>
      </c>
      <c r="C28" s="248">
        <f>SUM(C29:C35)</f>
        <v>35446268</v>
      </c>
      <c r="D28" s="263">
        <f t="shared" si="0"/>
        <v>97.87671592220066</v>
      </c>
      <c r="E28" s="235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s="70" customFormat="1" ht="15" customHeight="1">
      <c r="A29" s="243" t="s">
        <v>650</v>
      </c>
      <c r="B29" s="360">
        <f>Rashodi!F8</f>
        <v>960000</v>
      </c>
      <c r="C29" s="360">
        <f>Rashodi!G8</f>
        <v>959916</v>
      </c>
      <c r="D29" s="361">
        <f t="shared" si="0"/>
        <v>99.99125</v>
      </c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</row>
    <row r="30" spans="1:25" s="70" customFormat="1" ht="15" customHeight="1">
      <c r="A30" s="243" t="s">
        <v>651</v>
      </c>
      <c r="B30" s="360">
        <f>Rashodi!F14</f>
        <v>19494360</v>
      </c>
      <c r="C30" s="360">
        <f>Rashodi!G14</f>
        <v>19211475</v>
      </c>
      <c r="D30" s="361">
        <f t="shared" si="0"/>
        <v>98.54888798606366</v>
      </c>
      <c r="E30" s="246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</row>
    <row r="31" spans="1:26" ht="15" customHeight="1">
      <c r="A31" s="357" t="s">
        <v>652</v>
      </c>
      <c r="B31" s="362">
        <f>Rashodi!F19</f>
        <v>1817170</v>
      </c>
      <c r="C31" s="362">
        <f>Rashodi!G19</f>
        <v>1792444</v>
      </c>
      <c r="D31" s="363">
        <f t="shared" si="0"/>
        <v>98.63931277756072</v>
      </c>
      <c r="E31" s="235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5" ht="15" customHeight="1">
      <c r="A32" s="357" t="s">
        <v>653</v>
      </c>
      <c r="B32" s="362">
        <f>Rashodi!F22</f>
        <v>4673820</v>
      </c>
      <c r="C32" s="362">
        <f>Rashodi!G22</f>
        <v>4372751</v>
      </c>
      <c r="D32" s="363">
        <f>IF(B32=0,,C32/B32*100)</f>
        <v>93.55839548805902</v>
      </c>
      <c r="E32" s="235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5" ht="15" customHeight="1">
      <c r="A33" s="357" t="s">
        <v>654</v>
      </c>
      <c r="B33" s="362">
        <f>Rashodi!F39</f>
        <v>8676000</v>
      </c>
      <c r="C33" s="362">
        <f>Rashodi!G39</f>
        <v>8516481</v>
      </c>
      <c r="D33" s="363">
        <f t="shared" si="0"/>
        <v>98.16137621023513</v>
      </c>
      <c r="E33" s="235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1:25" ht="15" customHeight="1">
      <c r="A34" s="357" t="s">
        <v>655</v>
      </c>
      <c r="B34" s="362">
        <f>Rashodi!F74</f>
        <v>500000</v>
      </c>
      <c r="C34" s="362">
        <f>Rashodi!G74</f>
        <v>500000</v>
      </c>
      <c r="D34" s="363">
        <f>IF(B34=0,,C34/B34*100)</f>
        <v>100</v>
      </c>
      <c r="E34" s="235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:25" ht="15" customHeight="1" thickBot="1">
      <c r="A35" s="358" t="s">
        <v>656</v>
      </c>
      <c r="B35" s="364">
        <f>Rashodi!F78</f>
        <v>93870</v>
      </c>
      <c r="C35" s="364">
        <f>Rashodi!G78</f>
        <v>93201</v>
      </c>
      <c r="D35" s="365">
        <f t="shared" si="0"/>
        <v>99.28731224033237</v>
      </c>
      <c r="E35" s="235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25" ht="15" customHeight="1" thickBot="1" thickTop="1">
      <c r="A36" s="249" t="s">
        <v>465</v>
      </c>
      <c r="B36" s="250">
        <f>B15-B28</f>
        <v>3602250</v>
      </c>
      <c r="C36" s="250">
        <f>C15-C28</f>
        <v>5001901</v>
      </c>
      <c r="D36" s="264">
        <f t="shared" si="0"/>
        <v>138.85491012561593</v>
      </c>
      <c r="E36" s="235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 ht="15" customHeight="1" thickTop="1">
      <c r="A37" s="240" t="s">
        <v>463</v>
      </c>
      <c r="B37" s="248">
        <f>Prihodi!D204</f>
        <v>7510</v>
      </c>
      <c r="C37" s="248">
        <f>Prihodi!E204</f>
        <v>1504</v>
      </c>
      <c r="D37" s="263">
        <f t="shared" si="0"/>
        <v>20.026631158455395</v>
      </c>
      <c r="E37" s="235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:25" ht="15" customHeight="1">
      <c r="A38" s="240" t="s">
        <v>464</v>
      </c>
      <c r="B38" s="248">
        <f>B39</f>
        <v>2079690</v>
      </c>
      <c r="C38" s="248">
        <f>C39</f>
        <v>1914268</v>
      </c>
      <c r="D38" s="263">
        <f t="shared" si="0"/>
        <v>92.04583375406912</v>
      </c>
      <c r="E38" s="235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1:26" ht="15" customHeight="1" thickBot="1">
      <c r="A39" s="237" t="s">
        <v>657</v>
      </c>
      <c r="B39" s="255">
        <f>Rashodi!F85</f>
        <v>2079690</v>
      </c>
      <c r="C39" s="255">
        <f>Rashodi!G85</f>
        <v>1914268</v>
      </c>
      <c r="D39" s="267">
        <f>IF(B39=0,,C39/B39*100)</f>
        <v>92.04583375406912</v>
      </c>
      <c r="E39" s="235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5" ht="15" customHeight="1" thickBot="1" thickTop="1">
      <c r="A40" s="251" t="s">
        <v>466</v>
      </c>
      <c r="B40" s="252">
        <f>B37-B38</f>
        <v>-2072180</v>
      </c>
      <c r="C40" s="252">
        <f>C37-C38</f>
        <v>-1912764</v>
      </c>
      <c r="D40" s="265">
        <f t="shared" si="0"/>
        <v>92.30684593037284</v>
      </c>
      <c r="E40" s="235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24.75" customHeight="1" thickBot="1" thickTop="1">
      <c r="A41" s="249" t="s">
        <v>479</v>
      </c>
      <c r="B41" s="250">
        <f>B36+B40</f>
        <v>1530070</v>
      </c>
      <c r="C41" s="250">
        <f>C36+C40</f>
        <v>3089137</v>
      </c>
      <c r="D41" s="264">
        <f t="shared" si="0"/>
        <v>201.89514205232442</v>
      </c>
      <c r="E41" s="235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25" ht="15" customHeight="1" thickTop="1">
      <c r="A42" s="240" t="s">
        <v>468</v>
      </c>
      <c r="B42" s="248">
        <f>0</f>
        <v>0</v>
      </c>
      <c r="C42" s="248">
        <f>0</f>
        <v>0</v>
      </c>
      <c r="D42" s="263">
        <f t="shared" si="0"/>
        <v>0</v>
      </c>
      <c r="E42" s="235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ht="26.25" customHeight="1">
      <c r="A43" s="219" t="s">
        <v>469</v>
      </c>
      <c r="B43" s="248">
        <f>B44</f>
        <v>1458750</v>
      </c>
      <c r="C43" s="248">
        <f>C44</f>
        <v>1458743</v>
      </c>
      <c r="D43" s="263">
        <f t="shared" si="0"/>
        <v>99.99952013710369</v>
      </c>
      <c r="E43" s="235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6" ht="15" customHeight="1" thickBot="1">
      <c r="A44" s="237" t="s">
        <v>472</v>
      </c>
      <c r="B44" s="255">
        <f>Rashodi!F92</f>
        <v>1458750</v>
      </c>
      <c r="C44" s="255">
        <f>Rashodi!G92</f>
        <v>1458743</v>
      </c>
      <c r="D44" s="267">
        <f t="shared" si="0"/>
        <v>99.99952013710369</v>
      </c>
      <c r="E44" s="235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5" ht="15" customHeight="1" thickBot="1" thickTop="1">
      <c r="A45" s="251" t="s">
        <v>473</v>
      </c>
      <c r="B45" s="252">
        <f>B42-B43</f>
        <v>-1458750</v>
      </c>
      <c r="C45" s="252">
        <f>C42-C43</f>
        <v>-1458743</v>
      </c>
      <c r="D45" s="265">
        <f t="shared" si="0"/>
        <v>99.99952013710369</v>
      </c>
      <c r="E45" s="235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15" customHeight="1" thickBot="1" thickTop="1">
      <c r="A46" s="251" t="s">
        <v>474</v>
      </c>
      <c r="B46" s="252">
        <f>B41+B45</f>
        <v>71320</v>
      </c>
      <c r="C46" s="252">
        <f>C41+C45</f>
        <v>1630394</v>
      </c>
      <c r="D46" s="265">
        <f t="shared" si="0"/>
        <v>2286.0263600673024</v>
      </c>
      <c r="E46" s="235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ht="15" customHeight="1" thickBot="1" thickTop="1">
      <c r="A47" s="251" t="s">
        <v>475</v>
      </c>
      <c r="B47" s="252">
        <f>B46</f>
        <v>71320</v>
      </c>
      <c r="C47" s="252">
        <f>C46</f>
        <v>1630394</v>
      </c>
      <c r="D47" s="265">
        <f t="shared" si="0"/>
        <v>2286.0263600673024</v>
      </c>
      <c r="E47" s="235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ht="9.75" customHeight="1" thickTop="1">
      <c r="A48" s="253"/>
      <c r="B48" s="254"/>
      <c r="C48" s="254"/>
      <c r="D48" s="266"/>
      <c r="E48" s="235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ht="15" customHeight="1">
      <c r="A49" s="240" t="s">
        <v>454</v>
      </c>
      <c r="B49" s="248">
        <f>B15+B37+B42</f>
        <v>39824980</v>
      </c>
      <c r="C49" s="248">
        <f>C15+C37+C42</f>
        <v>40449673</v>
      </c>
      <c r="D49" s="263">
        <f t="shared" si="0"/>
        <v>101.56859589132247</v>
      </c>
      <c r="E49" s="235"/>
      <c r="F49" s="392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ht="15" customHeight="1">
      <c r="A50" s="240" t="s">
        <v>659</v>
      </c>
      <c r="B50" s="248">
        <f>B28+B38+B43</f>
        <v>39753660</v>
      </c>
      <c r="C50" s="248">
        <f>C28+C38+C43</f>
        <v>38819279</v>
      </c>
      <c r="D50" s="263">
        <f t="shared" si="0"/>
        <v>97.6495723915735</v>
      </c>
      <c r="E50" s="235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6" ht="15" customHeight="1">
      <c r="A51" s="240" t="s">
        <v>658</v>
      </c>
      <c r="B51" s="248">
        <f>B49-B50</f>
        <v>71320</v>
      </c>
      <c r="C51" s="248">
        <f>C49-C50</f>
        <v>1630394</v>
      </c>
      <c r="D51" s="263">
        <f t="shared" si="0"/>
        <v>2286.0263600673024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5" customHeight="1">
      <c r="A52" s="246"/>
      <c r="B52" s="367"/>
      <c r="C52" s="367"/>
      <c r="D52" s="368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5" customHeight="1">
      <c r="A53" s="55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6:26" ht="10.5" customHeight="1"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6:26" ht="15.75" customHeight="1"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27" customHeight="1">
      <c r="A56" s="437"/>
      <c r="B56" s="436"/>
      <c r="C56" s="436"/>
      <c r="D56" s="436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5" customHeight="1">
      <c r="A58" s="88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6:26" ht="15" customHeight="1"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6:26" ht="15" customHeight="1"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6:26" ht="15" customHeight="1"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6:26" ht="15" customHeight="1"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6:26" ht="15" customHeight="1"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6:26" ht="15" customHeight="1"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6:26" ht="15" customHeight="1"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6:26" ht="15" customHeight="1"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6:26" ht="15" customHeight="1"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6:26" ht="15" customHeight="1"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6:26" ht="15" customHeight="1"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6:26" ht="15" customHeight="1"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6:26" ht="15" customHeight="1"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6:26" ht="15" customHeight="1"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6:26" ht="15" customHeight="1"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6:26" ht="15" customHeight="1"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6:26" ht="15" customHeight="1"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6:26" ht="15" customHeight="1"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6:26" ht="15" customHeight="1"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6:26" ht="15" customHeight="1"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6:26" ht="15" customHeight="1"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6:26" ht="15" customHeight="1"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6:26" ht="15" customHeight="1"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6:26" ht="15" customHeight="1"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6:26" ht="15" customHeight="1"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6:26" ht="15" customHeight="1"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6:26" ht="15" customHeight="1"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6:26" ht="15" customHeight="1"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6:26" ht="15" customHeight="1"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6:26" ht="15" customHeight="1"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6:26" ht="15" customHeight="1"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6:26" ht="15" customHeight="1"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6:26" ht="15" customHeight="1"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6:26" ht="15" customHeight="1"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6:26" ht="15" customHeight="1"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6:26" ht="15" customHeight="1"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6:26" ht="15" customHeight="1"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6:26" ht="15" customHeight="1"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6:26" ht="15" customHeight="1"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6:26" ht="15" customHeight="1"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6:26" ht="15" customHeight="1"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6:26" ht="15" customHeight="1"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6:26" ht="15" customHeight="1"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6:26" ht="15" customHeight="1"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6:26" ht="15" customHeight="1"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6:26" ht="15" customHeight="1"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6:26" ht="15" customHeight="1"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6:26" ht="15" customHeight="1"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6:26" ht="15" customHeight="1"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6:26" ht="15" customHeight="1"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6:26" ht="15" customHeight="1"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6:26" ht="15" customHeight="1"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6:26" ht="15" customHeight="1"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6:26" ht="15" customHeight="1"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6:26" ht="15" customHeight="1"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6:26" ht="15" customHeight="1"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6:26" ht="15" customHeight="1"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6:26" ht="15" customHeight="1"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6:26" ht="15" customHeight="1"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6:26" ht="15" customHeight="1"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6:26" ht="15" customHeight="1"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6:26" ht="15" customHeight="1"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6:26" ht="15" customHeight="1"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6:26" ht="15" customHeight="1"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6:26" ht="15" customHeight="1"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6:26" ht="15" customHeight="1"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6:26" ht="15" customHeight="1"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6:26" ht="15" customHeight="1"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6:26" ht="15" customHeight="1"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6:26" ht="15" customHeight="1"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6:26" ht="15" customHeight="1"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6:26" ht="15" customHeight="1"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6:26" ht="15" customHeight="1"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6:26" ht="15" customHeight="1"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6:26" ht="15" customHeight="1"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6:26" ht="15" customHeight="1"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6:26" ht="15" customHeight="1"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6:26" ht="15" customHeight="1"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6:26" ht="15" customHeight="1"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6:26" ht="15" customHeight="1"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6:26" ht="15" customHeight="1"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6:26" ht="15" customHeight="1"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6:26" ht="15" customHeight="1"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6:26" ht="15" customHeight="1"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6:26" ht="15" customHeight="1"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6:26" ht="15" customHeight="1"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6:26" ht="15" customHeight="1"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6:26" ht="15" customHeight="1"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6:26" ht="15" customHeight="1"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6:26" ht="15" customHeight="1"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6:26" ht="15" customHeight="1"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6:26" ht="15" customHeight="1"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6:26" ht="15" customHeight="1"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6:26" ht="15" customHeight="1"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6:26" ht="15" customHeight="1"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6:26" ht="15" customHeight="1"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6:26" ht="15" customHeight="1"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6:26" ht="15" customHeight="1"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6:26" ht="15" customHeight="1"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6:26" ht="15" customHeight="1"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6:26" ht="15" customHeight="1"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6:26" ht="15" customHeight="1"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6:26" ht="15" customHeight="1"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6:26" ht="15" customHeight="1"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6:26" ht="15" customHeight="1"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6:26" ht="15" customHeight="1"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6:26" ht="15" customHeight="1"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6:26" ht="15" customHeight="1"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6:26" ht="15" customHeight="1"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6:26" ht="15" customHeight="1"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6:26" ht="15" customHeight="1"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6:26" ht="15" customHeight="1"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6:26" ht="15" customHeight="1"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6:26" ht="15" customHeight="1"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6:26" ht="15" customHeight="1"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6:26" ht="15" customHeight="1"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6:26" ht="15" customHeight="1"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6:26" ht="15" customHeight="1"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6:26" ht="15" customHeight="1"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6:26" ht="15" customHeight="1"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6:26" ht="15" customHeight="1"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6:26" ht="15" customHeight="1"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6:26" ht="15" customHeight="1"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6:26" ht="15" customHeight="1"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6:26" ht="15" customHeight="1"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6:26" ht="15" customHeight="1"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6:26" ht="15" customHeight="1"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6:26" ht="15" customHeight="1"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6:26" ht="15" customHeight="1"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6:26" ht="15" customHeight="1"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6:26" ht="15" customHeight="1"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6:26" ht="15" customHeight="1"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6:26" ht="15" customHeight="1"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6:26" ht="15" customHeight="1"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6:26" ht="15" customHeight="1"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6:26" ht="15" customHeight="1"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6:26" ht="15" customHeight="1"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</sheetData>
  <sheetProtection/>
  <mergeCells count="5">
    <mergeCell ref="A1:D5"/>
    <mergeCell ref="A7:D7"/>
    <mergeCell ref="A8:D8"/>
    <mergeCell ref="A10:D10"/>
    <mergeCell ref="A56:D56"/>
  </mergeCells>
  <printOptions/>
  <pageMargins left="0.71" right="0.31" top="0.52" bottom="0.5" header="0.5" footer="0.5"/>
  <pageSetup horizontalDpi="600" verticalDpi="600" orientation="portrait" paperSize="9" scale="88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B2:L54"/>
  <sheetViews>
    <sheetView workbookViewId="0" topLeftCell="C7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0" t="s">
        <v>174</v>
      </c>
      <c r="C2" s="450"/>
      <c r="D2" s="450"/>
      <c r="E2" s="450"/>
      <c r="F2" s="450"/>
      <c r="G2" s="450"/>
      <c r="H2" s="450"/>
      <c r="I2" s="450"/>
      <c r="J2" s="147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122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1991780</v>
      </c>
      <c r="H7" s="20">
        <f>SUM(H8:H11)</f>
        <v>1991780</v>
      </c>
      <c r="I7" s="20">
        <f>SUM(I8:I11)</f>
        <v>1964252</v>
      </c>
      <c r="J7" s="153">
        <f aca="true" t="shared" si="0" ref="J7:J42">IF(H7=0,"",I7/H7*100)</f>
        <v>98.61791964976051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84">
        <f>1587400+4000</f>
        <v>1591400</v>
      </c>
      <c r="H8" s="84">
        <f>1587400+4000</f>
        <v>1591400</v>
      </c>
      <c r="I8" s="84">
        <v>1570248</v>
      </c>
      <c r="J8" s="154">
        <f t="shared" si="0"/>
        <v>98.6708558501948</v>
      </c>
    </row>
    <row r="9" spans="2:12" ht="12.75" customHeight="1">
      <c r="B9" s="14"/>
      <c r="C9" s="15"/>
      <c r="D9" s="15"/>
      <c r="E9" s="16">
        <v>611200</v>
      </c>
      <c r="F9" s="15" t="s">
        <v>205</v>
      </c>
      <c r="G9" s="84">
        <f>351200+2500+240*107</f>
        <v>379380</v>
      </c>
      <c r="H9" s="84">
        <f>351200+2500+240*107</f>
        <v>379380</v>
      </c>
      <c r="I9" s="84">
        <v>373399</v>
      </c>
      <c r="J9" s="154">
        <f t="shared" si="0"/>
        <v>98.42348041541462</v>
      </c>
      <c r="L9" s="91"/>
    </row>
    <row r="10" spans="2:12" ht="12.75" customHeight="1">
      <c r="B10" s="14"/>
      <c r="C10" s="15"/>
      <c r="D10" s="15"/>
      <c r="E10" s="16">
        <v>611200</v>
      </c>
      <c r="F10" s="366" t="s">
        <v>681</v>
      </c>
      <c r="G10" s="84">
        <v>21000</v>
      </c>
      <c r="H10" s="84">
        <v>21000</v>
      </c>
      <c r="I10" s="84">
        <v>20605</v>
      </c>
      <c r="J10" s="154">
        <f t="shared" si="0"/>
        <v>98.11904761904762</v>
      </c>
      <c r="L10" s="90"/>
    </row>
    <row r="11" spans="2:10" ht="12.75" customHeight="1">
      <c r="B11" s="14"/>
      <c r="C11" s="15"/>
      <c r="D11" s="15"/>
      <c r="E11" s="16"/>
      <c r="F11" s="26"/>
      <c r="G11" s="84"/>
      <c r="H11" s="84"/>
      <c r="I11" s="84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171500</v>
      </c>
      <c r="H13" s="109">
        <f>H14</f>
        <v>171500</v>
      </c>
      <c r="I13" s="109">
        <f>I14</f>
        <v>170892</v>
      </c>
      <c r="J13" s="153">
        <f t="shared" si="0"/>
        <v>99.64548104956268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84">
        <v>171500</v>
      </c>
      <c r="H14" s="84">
        <v>171500</v>
      </c>
      <c r="I14" s="84">
        <v>170892</v>
      </c>
      <c r="J14" s="154">
        <f t="shared" si="0"/>
        <v>99.64548104956268</v>
      </c>
    </row>
    <row r="15" spans="2:10" ht="12.75" customHeight="1">
      <c r="B15" s="14"/>
      <c r="C15" s="15"/>
      <c r="D15" s="15"/>
      <c r="E15" s="16"/>
      <c r="F15" s="15"/>
      <c r="G15" s="84"/>
      <c r="H15" s="84"/>
      <c r="I15" s="84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232200</v>
      </c>
      <c r="H17" s="51">
        <f>SUM(H18:H27)</f>
        <v>232200</v>
      </c>
      <c r="I17" s="51">
        <f>SUM(I18:I27)</f>
        <v>220115</v>
      </c>
      <c r="J17" s="153">
        <f t="shared" si="0"/>
        <v>94.79543496985357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84">
        <v>14000</v>
      </c>
      <c r="H18" s="84">
        <v>15150</v>
      </c>
      <c r="I18" s="84">
        <v>15091</v>
      </c>
      <c r="J18" s="154">
        <f t="shared" si="0"/>
        <v>99.61056105610561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73000</v>
      </c>
      <c r="H19" s="45">
        <v>73000</v>
      </c>
      <c r="I19" s="45">
        <v>70856</v>
      </c>
      <c r="J19" s="154">
        <f t="shared" si="0"/>
        <v>97.06301369863014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5">
        <v>9500</v>
      </c>
      <c r="H20" s="45">
        <v>9500</v>
      </c>
      <c r="I20" s="45">
        <v>8637</v>
      </c>
      <c r="J20" s="154">
        <f t="shared" si="0"/>
        <v>90.9157894736842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84">
        <v>20000</v>
      </c>
      <c r="H21" s="84">
        <v>20000</v>
      </c>
      <c r="I21" s="84">
        <v>16604</v>
      </c>
      <c r="J21" s="154">
        <f t="shared" si="0"/>
        <v>83.02000000000001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84">
        <v>1200</v>
      </c>
      <c r="H22" s="84">
        <v>1200</v>
      </c>
      <c r="I22" s="84">
        <v>1085</v>
      </c>
      <c r="J22" s="154">
        <f t="shared" si="0"/>
        <v>90.41666666666667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84">
        <v>0</v>
      </c>
      <c r="H23" s="84">
        <v>0</v>
      </c>
      <c r="I23" s="84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84">
        <v>18000</v>
      </c>
      <c r="H24" s="84">
        <v>16850</v>
      </c>
      <c r="I24" s="84">
        <v>13810</v>
      </c>
      <c r="J24" s="154">
        <f t="shared" si="0"/>
        <v>81.95845697329376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84">
        <v>0</v>
      </c>
      <c r="H25" s="84">
        <v>0</v>
      </c>
      <c r="I25" s="84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84">
        <v>72000</v>
      </c>
      <c r="H26" s="84">
        <v>72000</v>
      </c>
      <c r="I26" s="84">
        <v>69923</v>
      </c>
      <c r="J26" s="154">
        <f t="shared" si="0"/>
        <v>97.11527777777778</v>
      </c>
    </row>
    <row r="27" spans="2:10" ht="12.75" customHeight="1">
      <c r="B27" s="14"/>
      <c r="C27" s="15"/>
      <c r="D27" s="15"/>
      <c r="E27" s="16">
        <v>613900</v>
      </c>
      <c r="F27" s="366" t="s">
        <v>682</v>
      </c>
      <c r="G27" s="170">
        <v>24500</v>
      </c>
      <c r="H27" s="170">
        <v>24500</v>
      </c>
      <c r="I27" s="170">
        <v>24109</v>
      </c>
      <c r="J27" s="154">
        <f t="shared" si="0"/>
        <v>98.40408163265306</v>
      </c>
    </row>
    <row r="28" spans="2:10" s="1" customFormat="1" ht="12.75" customHeight="1">
      <c r="B28" s="17"/>
      <c r="C28" s="12"/>
      <c r="D28" s="12"/>
      <c r="E28" s="9"/>
      <c r="F28" s="12"/>
      <c r="G28" s="84"/>
      <c r="H28" s="84"/>
      <c r="I28" s="84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84"/>
      <c r="H29" s="84"/>
      <c r="I29" s="84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84"/>
      <c r="H30" s="84"/>
      <c r="I30" s="84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84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84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84"/>
      <c r="H33" s="84"/>
      <c r="I33" s="84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84"/>
      <c r="H34" s="84"/>
      <c r="I34" s="84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105850</v>
      </c>
      <c r="H36" s="109">
        <f>SUM(H37:H39)</f>
        <v>105850</v>
      </c>
      <c r="I36" s="109">
        <f>SUM(I37:I39)</f>
        <v>97609</v>
      </c>
      <c r="J36" s="153">
        <f t="shared" si="0"/>
        <v>92.2144544166273</v>
      </c>
    </row>
    <row r="37" spans="2:11" ht="12.75" customHeight="1">
      <c r="B37" s="14"/>
      <c r="C37" s="15"/>
      <c r="D37" s="15"/>
      <c r="E37" s="16">
        <v>821200</v>
      </c>
      <c r="F37" s="15" t="s">
        <v>93</v>
      </c>
      <c r="G37" s="84">
        <v>95850</v>
      </c>
      <c r="H37" s="84">
        <v>95850</v>
      </c>
      <c r="I37" s="84">
        <v>88735</v>
      </c>
      <c r="J37" s="154">
        <f t="shared" si="0"/>
        <v>92.57694314032342</v>
      </c>
      <c r="K37" s="83"/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84">
        <v>10000</v>
      </c>
      <c r="H38" s="84">
        <v>10000</v>
      </c>
      <c r="I38" s="84">
        <v>8874</v>
      </c>
      <c r="J38" s="154">
        <f t="shared" si="0"/>
        <v>88.74</v>
      </c>
    </row>
    <row r="39" spans="2:10" ht="12.75" customHeight="1">
      <c r="B39" s="14"/>
      <c r="C39" s="15"/>
      <c r="D39" s="15"/>
      <c r="E39" s="16"/>
      <c r="F39" s="26"/>
      <c r="G39" s="84"/>
      <c r="H39" s="84"/>
      <c r="I39" s="84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109"/>
      <c r="H40" s="109"/>
      <c r="I40" s="109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721</v>
      </c>
      <c r="H41" s="25" t="s">
        <v>721</v>
      </c>
      <c r="I41" s="25" t="s">
        <v>755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2501330</v>
      </c>
      <c r="H42" s="20">
        <f>H7+H13+H17+H36</f>
        <v>2501330</v>
      </c>
      <c r="I42" s="20">
        <f>I7+I13+I17+I36</f>
        <v>2452868</v>
      </c>
      <c r="J42" s="153">
        <f t="shared" si="0"/>
        <v>98.06255072301535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B2:L57"/>
  <sheetViews>
    <sheetView workbookViewId="0" topLeftCell="B4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175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129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569980</v>
      </c>
      <c r="H7" s="20">
        <f>SUM(H8:H11)</f>
        <v>569980</v>
      </c>
      <c r="I7" s="20">
        <f>SUM(I8:I11)</f>
        <v>554603</v>
      </c>
      <c r="J7" s="153">
        <f aca="true" t="shared" si="0" ref="J7:J42">IF(H7=0,"",I7/H7*100)</f>
        <v>97.30218604161549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453200</f>
        <v>453200</v>
      </c>
      <c r="H8" s="46">
        <f>453200</f>
        <v>453200</v>
      </c>
      <c r="I8" s="46">
        <v>445650</v>
      </c>
      <c r="J8" s="154">
        <f t="shared" si="0"/>
        <v>98.33406884377757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103600+32*240</f>
        <v>111280</v>
      </c>
      <c r="H9" s="46">
        <f>103600+32*240</f>
        <v>111280</v>
      </c>
      <c r="I9" s="46">
        <v>103663</v>
      </c>
      <c r="J9" s="154">
        <f t="shared" si="0"/>
        <v>93.15510424155285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5500</v>
      </c>
      <c r="H10" s="84">
        <v>5500</v>
      </c>
      <c r="I10" s="84">
        <f>5100+190</f>
        <v>5290</v>
      </c>
      <c r="J10" s="154">
        <f t="shared" si="0"/>
        <v>96.18181818181817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48900</v>
      </c>
      <c r="H13" s="20">
        <f>H14</f>
        <v>48900</v>
      </c>
      <c r="I13" s="20">
        <f>I14</f>
        <v>48099</v>
      </c>
      <c r="J13" s="153">
        <f t="shared" si="0"/>
        <v>98.36196319018406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48900</v>
      </c>
      <c r="H14" s="46">
        <v>48900</v>
      </c>
      <c r="I14" s="46">
        <v>48099</v>
      </c>
      <c r="J14" s="154">
        <f t="shared" si="0"/>
        <v>98.36196319018406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58200</v>
      </c>
      <c r="H17" s="51">
        <f>SUM(H18:H27)</f>
        <v>58200</v>
      </c>
      <c r="I17" s="51">
        <f>SUM(I18:I27)</f>
        <v>55848</v>
      </c>
      <c r="J17" s="153">
        <f t="shared" si="0"/>
        <v>95.95876288659794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3500</v>
      </c>
      <c r="H18" s="46">
        <v>3500</v>
      </c>
      <c r="I18" s="46">
        <v>3323</v>
      </c>
      <c r="J18" s="154">
        <f t="shared" si="0"/>
        <v>94.94285714285714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20500</v>
      </c>
      <c r="H19" s="46">
        <v>20500</v>
      </c>
      <c r="I19" s="46">
        <v>20149</v>
      </c>
      <c r="J19" s="154">
        <f t="shared" si="0"/>
        <v>98.28780487804877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3300</v>
      </c>
      <c r="H20" s="46">
        <v>3300</v>
      </c>
      <c r="I20" s="46">
        <v>2673</v>
      </c>
      <c r="J20" s="154">
        <f t="shared" si="0"/>
        <v>81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8500</v>
      </c>
      <c r="H21" s="46">
        <v>8500</v>
      </c>
      <c r="I21" s="46">
        <v>8428</v>
      </c>
      <c r="J21" s="154">
        <f t="shared" si="0"/>
        <v>99.15294117647059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300</v>
      </c>
      <c r="H22" s="46">
        <v>300</v>
      </c>
      <c r="I22" s="46">
        <v>0</v>
      </c>
      <c r="J22" s="154">
        <f t="shared" si="0"/>
        <v>0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8500</v>
      </c>
      <c r="H24" s="118">
        <v>8500</v>
      </c>
      <c r="I24" s="118">
        <v>8008</v>
      </c>
      <c r="J24" s="154">
        <f t="shared" si="0"/>
        <v>94.21176470588235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7000</v>
      </c>
      <c r="H26" s="118">
        <v>7000</v>
      </c>
      <c r="I26" s="118">
        <v>6734</v>
      </c>
      <c r="J26" s="154">
        <f t="shared" si="0"/>
        <v>96.2</v>
      </c>
    </row>
    <row r="27" spans="2:10" ht="12.75" customHeight="1">
      <c r="B27" s="14"/>
      <c r="C27" s="15"/>
      <c r="D27" s="15"/>
      <c r="E27" s="16">
        <v>613900</v>
      </c>
      <c r="F27" s="366" t="s">
        <v>680</v>
      </c>
      <c r="G27" s="170">
        <v>6600</v>
      </c>
      <c r="H27" s="170">
        <v>6600</v>
      </c>
      <c r="I27" s="170">
        <v>6533</v>
      </c>
      <c r="J27" s="154">
        <f t="shared" si="0"/>
        <v>98.98484848484848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1000</v>
      </c>
      <c r="H36" s="109">
        <f>SUM(H37:H39)</f>
        <v>1000</v>
      </c>
      <c r="I36" s="109">
        <f>SUM(I37:I39)</f>
        <v>981</v>
      </c>
      <c r="J36" s="153">
        <f t="shared" si="0"/>
        <v>98.1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1000</v>
      </c>
      <c r="H38" s="118">
        <v>1000</v>
      </c>
      <c r="I38" s="118">
        <v>981</v>
      </c>
      <c r="J38" s="154">
        <f t="shared" si="0"/>
        <v>98.1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722</v>
      </c>
      <c r="H41" s="25" t="s">
        <v>722</v>
      </c>
      <c r="I41" s="25" t="s">
        <v>726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678080</v>
      </c>
      <c r="H42" s="20">
        <f>H7+H13+H17+H36</f>
        <v>678080</v>
      </c>
      <c r="I42" s="20">
        <f>I7+I13+I17+I36</f>
        <v>659531</v>
      </c>
      <c r="J42" s="153">
        <f t="shared" si="0"/>
        <v>97.26448206701274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  <row r="55" ht="12.75">
      <c r="B55" s="83"/>
    </row>
    <row r="56" ht="12.75">
      <c r="B56" s="83"/>
    </row>
    <row r="57" ht="12.75">
      <c r="B57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B2:L52"/>
  <sheetViews>
    <sheetView workbookViewId="0" topLeftCell="C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176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130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109">
        <f>SUM(G8:G11)</f>
        <v>753510</v>
      </c>
      <c r="H7" s="109">
        <f>SUM(H8:H11)</f>
        <v>753510</v>
      </c>
      <c r="I7" s="109">
        <f>SUM(I8:I11)</f>
        <v>743476</v>
      </c>
      <c r="J7" s="153">
        <f aca="true" t="shared" si="0" ref="J7:J42">IF(H7=0,"",I7/H7*100)</f>
        <v>98.6683653833393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602500</v>
      </c>
      <c r="H8" s="118">
        <v>602500</v>
      </c>
      <c r="I8" s="118">
        <v>598749</v>
      </c>
      <c r="J8" s="154">
        <f t="shared" si="0"/>
        <v>99.37742738589212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133200+2000+44*240</f>
        <v>145760</v>
      </c>
      <c r="H9" s="118">
        <f>133200+2000+44*240</f>
        <v>145760</v>
      </c>
      <c r="I9" s="118">
        <v>139687</v>
      </c>
      <c r="J9" s="154">
        <f t="shared" si="0"/>
        <v>95.83356201975852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5250</v>
      </c>
      <c r="H10" s="84">
        <v>5250</v>
      </c>
      <c r="I10" s="84">
        <v>5040</v>
      </c>
      <c r="J10" s="154">
        <f t="shared" si="0"/>
        <v>96</v>
      </c>
      <c r="L10" s="90"/>
    </row>
    <row r="11" spans="2:10" ht="12.75" customHeight="1">
      <c r="B11" s="14"/>
      <c r="C11" s="15"/>
      <c r="D11" s="15"/>
      <c r="E11" s="16"/>
      <c r="F11" s="26"/>
      <c r="G11" s="118"/>
      <c r="H11" s="118"/>
      <c r="I11" s="118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65300</v>
      </c>
      <c r="H13" s="109">
        <f>H14</f>
        <v>65300</v>
      </c>
      <c r="I13" s="109">
        <f>I14</f>
        <v>63685</v>
      </c>
      <c r="J13" s="153">
        <f t="shared" si="0"/>
        <v>97.52679938744258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65300</v>
      </c>
      <c r="H14" s="118">
        <v>65300</v>
      </c>
      <c r="I14" s="118">
        <v>63685</v>
      </c>
      <c r="J14" s="154">
        <f t="shared" si="0"/>
        <v>97.52679938744258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69400</v>
      </c>
      <c r="H17" s="51">
        <f>SUM(H18:H27)</f>
        <v>69400</v>
      </c>
      <c r="I17" s="51">
        <f>SUM(I18:I27)</f>
        <v>68823</v>
      </c>
      <c r="J17" s="153">
        <f t="shared" si="0"/>
        <v>99.1685878962536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3500</v>
      </c>
      <c r="H18" s="46">
        <v>3500</v>
      </c>
      <c r="I18" s="46">
        <v>3408</v>
      </c>
      <c r="J18" s="154">
        <f t="shared" si="0"/>
        <v>97.37142857142858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32000</v>
      </c>
      <c r="H19" s="46">
        <v>32600</v>
      </c>
      <c r="I19" s="46">
        <v>32510</v>
      </c>
      <c r="J19" s="154">
        <f t="shared" si="0"/>
        <v>99.7239263803681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118">
        <v>3050</v>
      </c>
      <c r="H20" s="118">
        <v>3050</v>
      </c>
      <c r="I20" s="118">
        <v>2893</v>
      </c>
      <c r="J20" s="154">
        <f t="shared" si="0"/>
        <v>94.85245901639344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8500</v>
      </c>
      <c r="H21" s="118">
        <v>9100</v>
      </c>
      <c r="I21" s="118">
        <v>8924</v>
      </c>
      <c r="J21" s="154">
        <f t="shared" si="0"/>
        <v>98.06593406593407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0</v>
      </c>
      <c r="H22" s="118">
        <v>0</v>
      </c>
      <c r="I22" s="118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6500</v>
      </c>
      <c r="H24" s="118">
        <v>6550</v>
      </c>
      <c r="I24" s="118">
        <v>6536</v>
      </c>
      <c r="J24" s="154">
        <f t="shared" si="0"/>
        <v>99.78625954198473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18">
        <v>9000</v>
      </c>
      <c r="H26" s="118">
        <v>7900</v>
      </c>
      <c r="I26" s="118">
        <v>7900</v>
      </c>
      <c r="J26" s="154">
        <f t="shared" si="0"/>
        <v>100</v>
      </c>
      <c r="K26" s="91"/>
    </row>
    <row r="27" spans="2:11" ht="12.75" customHeight="1">
      <c r="B27" s="14"/>
      <c r="C27" s="15"/>
      <c r="D27" s="15"/>
      <c r="E27" s="16">
        <v>613900</v>
      </c>
      <c r="F27" s="366" t="s">
        <v>680</v>
      </c>
      <c r="G27" s="118">
        <v>6850</v>
      </c>
      <c r="H27" s="118">
        <v>6700</v>
      </c>
      <c r="I27" s="118">
        <v>6652</v>
      </c>
      <c r="J27" s="154">
        <f t="shared" si="0"/>
        <v>99.28358208955224</v>
      </c>
      <c r="K27" s="91"/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0</v>
      </c>
      <c r="H36" s="109">
        <f>SUM(H37:H39)</f>
        <v>0</v>
      </c>
      <c r="I36" s="109">
        <f>SUM(I37:I39)</f>
        <v>0</v>
      </c>
      <c r="J36" s="153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0</v>
      </c>
      <c r="H38" s="118">
        <v>0</v>
      </c>
      <c r="I38" s="118">
        <v>0</v>
      </c>
      <c r="J38" s="154">
        <f t="shared" si="0"/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723</v>
      </c>
      <c r="H41" s="25" t="s">
        <v>723</v>
      </c>
      <c r="I41" s="25" t="s">
        <v>756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888210</v>
      </c>
      <c r="H42" s="20">
        <f>H7+H13+H17+H36</f>
        <v>888210</v>
      </c>
      <c r="I42" s="20">
        <f>I7+I13+I17+I36</f>
        <v>875984</v>
      </c>
      <c r="J42" s="153">
        <f t="shared" si="0"/>
        <v>98.62352371623828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44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43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B2:L53"/>
  <sheetViews>
    <sheetView workbookViewId="0" topLeftCell="C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2" t="s">
        <v>177</v>
      </c>
      <c r="C2" s="452"/>
      <c r="D2" s="452"/>
      <c r="E2" s="452"/>
      <c r="F2" s="452"/>
      <c r="G2" s="452"/>
      <c r="H2" s="452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151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806840</v>
      </c>
      <c r="H7" s="20">
        <f>SUM(H8:H11)</f>
        <v>806840</v>
      </c>
      <c r="I7" s="20">
        <f>SUM(I8:I11)</f>
        <v>792820</v>
      </c>
      <c r="J7" s="153">
        <f aca="true" t="shared" si="0" ref="J7:J42">IF(H7=0,"",I7/H7*100)</f>
        <v>98.26235684894155</v>
      </c>
    </row>
    <row r="8" spans="2:12" ht="12.75" customHeight="1">
      <c r="B8" s="14"/>
      <c r="C8" s="15"/>
      <c r="D8" s="15"/>
      <c r="E8" s="16">
        <v>611100</v>
      </c>
      <c r="F8" s="26" t="s">
        <v>204</v>
      </c>
      <c r="G8" s="118">
        <f>638900</f>
        <v>638900</v>
      </c>
      <c r="H8" s="118">
        <f>638900</f>
        <v>638900</v>
      </c>
      <c r="I8" s="118">
        <v>635972</v>
      </c>
      <c r="J8" s="154">
        <f t="shared" si="0"/>
        <v>99.54171231804663</v>
      </c>
      <c r="K8" s="83"/>
      <c r="L8" s="91"/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143700+3700+46*240</f>
        <v>158440</v>
      </c>
      <c r="H9" s="118">
        <f>143700+3700+46*240</f>
        <v>158440</v>
      </c>
      <c r="I9" s="118">
        <v>147666</v>
      </c>
      <c r="J9" s="154">
        <f t="shared" si="0"/>
        <v>93.19994950770007</v>
      </c>
    </row>
    <row r="10" spans="2:12" ht="12.75" customHeight="1">
      <c r="B10" s="14"/>
      <c r="C10" s="15"/>
      <c r="D10" s="15"/>
      <c r="E10" s="16">
        <v>611200</v>
      </c>
      <c r="F10" s="366" t="s">
        <v>677</v>
      </c>
      <c r="G10" s="84">
        <v>9500</v>
      </c>
      <c r="H10" s="84">
        <v>9500</v>
      </c>
      <c r="I10" s="84">
        <v>9182</v>
      </c>
      <c r="J10" s="154">
        <f t="shared" si="0"/>
        <v>96.65263157894736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68000</v>
      </c>
      <c r="H13" s="20">
        <f>H14</f>
        <v>68000</v>
      </c>
      <c r="I13" s="20">
        <f>I14</f>
        <v>67615</v>
      </c>
      <c r="J13" s="153">
        <f t="shared" si="0"/>
        <v>99.43382352941177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68000</v>
      </c>
      <c r="H14" s="118">
        <v>68000</v>
      </c>
      <c r="I14" s="118">
        <v>67615</v>
      </c>
      <c r="J14" s="154">
        <f t="shared" si="0"/>
        <v>99.43382352941177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106700</v>
      </c>
      <c r="H17" s="51">
        <f>SUM(H18:H27)</f>
        <v>106700</v>
      </c>
      <c r="I17" s="51">
        <f>SUM(I18:I27)</f>
        <v>91370</v>
      </c>
      <c r="J17" s="153">
        <f t="shared" si="0"/>
        <v>85.63261480787254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4000</v>
      </c>
      <c r="H18" s="46">
        <v>4000</v>
      </c>
      <c r="I18" s="46">
        <v>3567</v>
      </c>
      <c r="J18" s="154">
        <f t="shared" si="0"/>
        <v>89.17500000000001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55000</v>
      </c>
      <c r="H19" s="46">
        <f>55000-3000</f>
        <v>52000</v>
      </c>
      <c r="I19" s="46">
        <v>43015</v>
      </c>
      <c r="J19" s="154">
        <f t="shared" si="0"/>
        <v>82.72115384615385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5500</v>
      </c>
      <c r="H20" s="46">
        <v>5500</v>
      </c>
      <c r="I20" s="46">
        <v>4768</v>
      </c>
      <c r="J20" s="154">
        <f t="shared" si="0"/>
        <v>86.6909090909091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9500</v>
      </c>
      <c r="H21" s="46">
        <f>9500+3000</f>
        <v>12500</v>
      </c>
      <c r="I21" s="46">
        <v>10697</v>
      </c>
      <c r="J21" s="154">
        <f t="shared" si="0"/>
        <v>85.576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1500</v>
      </c>
      <c r="H22" s="118">
        <v>1500</v>
      </c>
      <c r="I22" s="118">
        <v>1261</v>
      </c>
      <c r="J22" s="154">
        <f t="shared" si="0"/>
        <v>84.06666666666666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7200</v>
      </c>
      <c r="H24" s="118">
        <v>7200</v>
      </c>
      <c r="I24" s="118">
        <v>5529</v>
      </c>
      <c r="J24" s="154">
        <f t="shared" si="0"/>
        <v>76.79166666666667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1600</v>
      </c>
      <c r="H25" s="118">
        <v>1600</v>
      </c>
      <c r="I25" s="118">
        <v>1050</v>
      </c>
      <c r="J25" s="154">
        <f t="shared" si="0"/>
        <v>65.625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12000</v>
      </c>
      <c r="H26" s="118">
        <v>12000</v>
      </c>
      <c r="I26" s="118">
        <v>11346</v>
      </c>
      <c r="J26" s="154">
        <f t="shared" si="0"/>
        <v>94.55</v>
      </c>
    </row>
    <row r="27" spans="2:10" ht="12.75" customHeight="1">
      <c r="B27" s="14"/>
      <c r="C27" s="15"/>
      <c r="D27" s="15"/>
      <c r="E27" s="16">
        <v>613900</v>
      </c>
      <c r="F27" s="366" t="s">
        <v>678</v>
      </c>
      <c r="G27" s="170">
        <v>10400</v>
      </c>
      <c r="H27" s="170">
        <v>10400</v>
      </c>
      <c r="I27" s="170">
        <v>10137</v>
      </c>
      <c r="J27" s="154">
        <f t="shared" si="0"/>
        <v>97.47115384615384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46"/>
      <c r="H31" s="46"/>
      <c r="I31" s="46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6"/>
      <c r="H32" s="46"/>
      <c r="I32" s="46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46"/>
      <c r="H33" s="46"/>
      <c r="I33" s="46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46"/>
      <c r="H34" s="46"/>
      <c r="I34" s="46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20"/>
      <c r="H35" s="20"/>
      <c r="I35" s="20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45000</v>
      </c>
      <c r="H36" s="109">
        <f>SUM(H37:H39)</f>
        <v>45000</v>
      </c>
      <c r="I36" s="109">
        <f>SUM(I37:I39)</f>
        <v>44763</v>
      </c>
      <c r="J36" s="153">
        <f t="shared" si="0"/>
        <v>99.47333333333333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41500</v>
      </c>
      <c r="H37" s="118">
        <v>41500</v>
      </c>
      <c r="I37" s="118">
        <v>41271</v>
      </c>
      <c r="J37" s="154">
        <f t="shared" si="0"/>
        <v>99.44819277108434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3500</v>
      </c>
      <c r="H38" s="118">
        <v>3500</v>
      </c>
      <c r="I38" s="118">
        <v>3492</v>
      </c>
      <c r="J38" s="154">
        <f t="shared" si="0"/>
        <v>99.77142857142857</v>
      </c>
    </row>
    <row r="39" spans="2:10" ht="12.75" customHeight="1">
      <c r="B39" s="14"/>
      <c r="C39" s="15"/>
      <c r="D39" s="15"/>
      <c r="E39" s="16"/>
      <c r="F39" s="26"/>
      <c r="G39" s="46"/>
      <c r="H39" s="46"/>
      <c r="I39" s="46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135" t="s">
        <v>724</v>
      </c>
      <c r="H41" s="135" t="s">
        <v>724</v>
      </c>
      <c r="I41" s="135" t="s">
        <v>757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1026540</v>
      </c>
      <c r="H42" s="20">
        <f>H7+H13+H17+H36</f>
        <v>1026540</v>
      </c>
      <c r="I42" s="20">
        <f>I7+I13+I17+I36</f>
        <v>996568</v>
      </c>
      <c r="J42" s="153">
        <f t="shared" si="0"/>
        <v>97.08028912658055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B2:L54"/>
  <sheetViews>
    <sheetView workbookViewId="0" topLeftCell="C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178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152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109">
        <f>SUM(G8:G11)</f>
        <v>380700</v>
      </c>
      <c r="H7" s="109">
        <f>SUM(H8:H11)</f>
        <v>380700</v>
      </c>
      <c r="I7" s="109">
        <f>SUM(I8:I11)</f>
        <v>371328</v>
      </c>
      <c r="J7" s="153">
        <f aca="true" t="shared" si="0" ref="J7:J42">IF(H7=0,"",I7/H7*100)</f>
        <v>97.53821907013396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300200</v>
      </c>
      <c r="H8" s="118">
        <v>300200</v>
      </c>
      <c r="I8" s="118">
        <v>295834</v>
      </c>
      <c r="J8" s="154">
        <f t="shared" si="0"/>
        <v>98.545636242505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73800+240*21</f>
        <v>78840</v>
      </c>
      <c r="H9" s="118">
        <f>73800+240*21</f>
        <v>78840</v>
      </c>
      <c r="I9" s="118">
        <v>73844</v>
      </c>
      <c r="J9" s="154">
        <f t="shared" si="0"/>
        <v>93.66311516996448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1660</v>
      </c>
      <c r="H10" s="84">
        <v>1660</v>
      </c>
      <c r="I10" s="84">
        <v>1650</v>
      </c>
      <c r="J10" s="154">
        <f t="shared" si="0"/>
        <v>99.3975903614458</v>
      </c>
      <c r="L10" s="90"/>
    </row>
    <row r="11" spans="2:10" ht="12.75" customHeight="1">
      <c r="B11" s="14"/>
      <c r="C11" s="15"/>
      <c r="D11" s="15"/>
      <c r="E11" s="16"/>
      <c r="F11" s="26"/>
      <c r="G11" s="118"/>
      <c r="H11" s="118"/>
      <c r="I11" s="118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32800</v>
      </c>
      <c r="H13" s="109">
        <f>H14</f>
        <v>32800</v>
      </c>
      <c r="I13" s="109">
        <f>I14</f>
        <v>31790</v>
      </c>
      <c r="J13" s="153">
        <f t="shared" si="0"/>
        <v>96.92073170731707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32800</v>
      </c>
      <c r="H14" s="118">
        <v>32800</v>
      </c>
      <c r="I14" s="118">
        <v>31790</v>
      </c>
      <c r="J14" s="154">
        <f t="shared" si="0"/>
        <v>96.92073170731707</v>
      </c>
    </row>
    <row r="15" spans="2:10" ht="12.75" customHeight="1">
      <c r="B15" s="14"/>
      <c r="C15" s="15"/>
      <c r="D15" s="15"/>
      <c r="E15" s="16"/>
      <c r="F15" s="15"/>
      <c r="G15" s="118"/>
      <c r="H15" s="118"/>
      <c r="I15" s="118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51660</v>
      </c>
      <c r="H17" s="51">
        <f>SUM(H18:H27)</f>
        <v>51660</v>
      </c>
      <c r="I17" s="51">
        <f>SUM(I18:I27)</f>
        <v>50678</v>
      </c>
      <c r="J17" s="153">
        <f t="shared" si="0"/>
        <v>98.0991095625242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4000</v>
      </c>
      <c r="H18" s="46">
        <v>4310</v>
      </c>
      <c r="I18" s="46">
        <v>4305</v>
      </c>
      <c r="J18" s="154">
        <f t="shared" si="0"/>
        <v>99.88399071925754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18000</v>
      </c>
      <c r="H19" s="46">
        <v>18000</v>
      </c>
      <c r="I19" s="46">
        <v>17775</v>
      </c>
      <c r="J19" s="154">
        <f t="shared" si="0"/>
        <v>98.75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2800</v>
      </c>
      <c r="H20" s="46">
        <v>2800</v>
      </c>
      <c r="I20" s="46">
        <v>2539</v>
      </c>
      <c r="J20" s="154">
        <f t="shared" si="0"/>
        <v>90.67857142857143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9000</v>
      </c>
      <c r="H21" s="46">
        <v>10720</v>
      </c>
      <c r="I21" s="46">
        <v>10695</v>
      </c>
      <c r="J21" s="154">
        <f t="shared" si="0"/>
        <v>99.76679104477611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500</v>
      </c>
      <c r="H22" s="46">
        <v>500</v>
      </c>
      <c r="I22" s="46">
        <v>491</v>
      </c>
      <c r="J22" s="154">
        <f t="shared" si="0"/>
        <v>98.2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6">
        <v>6000</v>
      </c>
      <c r="H24" s="46">
        <v>6170</v>
      </c>
      <c r="I24" s="46">
        <v>6147</v>
      </c>
      <c r="J24" s="154">
        <f t="shared" si="0"/>
        <v>99.62722852512155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9000</v>
      </c>
      <c r="H26" s="118">
        <v>6800</v>
      </c>
      <c r="I26" s="118">
        <v>6378</v>
      </c>
      <c r="J26" s="154">
        <f t="shared" si="0"/>
        <v>93.79411764705883</v>
      </c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8">
        <v>2360</v>
      </c>
      <c r="H27" s="118">
        <v>2360</v>
      </c>
      <c r="I27" s="118">
        <v>2348</v>
      </c>
      <c r="J27" s="154">
        <f t="shared" si="0"/>
        <v>99.49152542372882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15000</v>
      </c>
      <c r="H36" s="109">
        <f>SUM(H37:H39)</f>
        <v>15000</v>
      </c>
      <c r="I36" s="109">
        <f>SUM(I37:I39)</f>
        <v>14988</v>
      </c>
      <c r="J36" s="153">
        <f t="shared" si="0"/>
        <v>99.92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5980</v>
      </c>
      <c r="H37" s="118">
        <v>5980</v>
      </c>
      <c r="I37" s="118">
        <v>5970</v>
      </c>
      <c r="J37" s="154">
        <f t="shared" si="0"/>
        <v>99.83277591973244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f>4020+5000</f>
        <v>9020</v>
      </c>
      <c r="H38" s="118">
        <f>4020+5000</f>
        <v>9020</v>
      </c>
      <c r="I38" s="118">
        <v>9018</v>
      </c>
      <c r="J38" s="154">
        <f t="shared" si="0"/>
        <v>99.97782705099777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725</v>
      </c>
      <c r="H41" s="25" t="s">
        <v>725</v>
      </c>
      <c r="I41" s="25" t="s">
        <v>725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480160</v>
      </c>
      <c r="H42" s="20">
        <f>H7+H13+H17+H36</f>
        <v>480160</v>
      </c>
      <c r="I42" s="20">
        <f>I7+I13+I17+I36</f>
        <v>468784</v>
      </c>
      <c r="J42" s="153">
        <f t="shared" si="0"/>
        <v>97.63078973675442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45"/>
      <c r="J44" s="155"/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B2:L53"/>
  <sheetViews>
    <sheetView workbookViewId="0" topLeftCell="C13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179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148</v>
      </c>
      <c r="C6" s="11" t="s">
        <v>150</v>
      </c>
      <c r="D6" s="11" t="s">
        <v>153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599280</v>
      </c>
      <c r="H7" s="20">
        <f>SUM(H8:H11)</f>
        <v>599280</v>
      </c>
      <c r="I7" s="20">
        <f>SUM(I8:I11)</f>
        <v>581354</v>
      </c>
      <c r="J7" s="153">
        <f aca="true" t="shared" si="0" ref="J7:J44">IF(H7=0,"",I7/H7*100)</f>
        <v>97.00874382592444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473700</f>
        <v>473700</v>
      </c>
      <c r="H8" s="46">
        <f>473700</f>
        <v>473700</v>
      </c>
      <c r="I8" s="46">
        <v>464477</v>
      </c>
      <c r="J8" s="154">
        <f t="shared" si="0"/>
        <v>98.05298712265147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115100+32*240</f>
        <v>122780</v>
      </c>
      <c r="H9" s="46">
        <f>115100+32*240</f>
        <v>122780</v>
      </c>
      <c r="I9" s="46">
        <v>114199</v>
      </c>
      <c r="J9" s="154">
        <f t="shared" si="0"/>
        <v>93.01107672259326</v>
      </c>
    </row>
    <row r="10" spans="2:12" ht="12.75" customHeight="1">
      <c r="B10" s="14"/>
      <c r="C10" s="15"/>
      <c r="D10" s="15"/>
      <c r="E10" s="16">
        <v>611200</v>
      </c>
      <c r="F10" s="366" t="s">
        <v>671</v>
      </c>
      <c r="G10" s="84">
        <v>2800</v>
      </c>
      <c r="H10" s="84">
        <v>2800</v>
      </c>
      <c r="I10" s="84">
        <v>2678</v>
      </c>
      <c r="J10" s="154">
        <f t="shared" si="0"/>
        <v>95.64285714285714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51600</v>
      </c>
      <c r="H13" s="20">
        <f>H14</f>
        <v>51600</v>
      </c>
      <c r="I13" s="20">
        <f>I14</f>
        <v>50200</v>
      </c>
      <c r="J13" s="153">
        <f t="shared" si="0"/>
        <v>97.28682170542635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51600</v>
      </c>
      <c r="H14" s="46">
        <v>51600</v>
      </c>
      <c r="I14" s="46">
        <v>50200</v>
      </c>
      <c r="J14" s="154">
        <f t="shared" si="0"/>
        <v>97.28682170542635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66200</v>
      </c>
      <c r="H17" s="51">
        <f>SUM(H18:H27)</f>
        <v>66200</v>
      </c>
      <c r="I17" s="51">
        <f>SUM(I18:I27)</f>
        <v>66092</v>
      </c>
      <c r="J17" s="153">
        <f t="shared" si="0"/>
        <v>99.83685800604229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3500</v>
      </c>
      <c r="H18" s="46">
        <v>3410</v>
      </c>
      <c r="I18" s="46">
        <v>3402</v>
      </c>
      <c r="J18" s="154">
        <f t="shared" si="0"/>
        <v>99.76539589442815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30500</v>
      </c>
      <c r="H19" s="46">
        <v>30160</v>
      </c>
      <c r="I19" s="46">
        <v>30160</v>
      </c>
      <c r="J19" s="154">
        <f t="shared" si="0"/>
        <v>100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3400</v>
      </c>
      <c r="H20" s="46">
        <v>3250</v>
      </c>
      <c r="I20" s="46">
        <v>3237</v>
      </c>
      <c r="J20" s="154">
        <f t="shared" si="0"/>
        <v>99.6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8000</v>
      </c>
      <c r="H21" s="118">
        <v>7810</v>
      </c>
      <c r="I21" s="118">
        <v>7800</v>
      </c>
      <c r="J21" s="154">
        <f t="shared" si="0"/>
        <v>99.8719590268886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1000</v>
      </c>
      <c r="H22" s="118">
        <v>900</v>
      </c>
      <c r="I22" s="118">
        <v>888</v>
      </c>
      <c r="J22" s="154">
        <f t="shared" si="0"/>
        <v>98.66666666666667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8000</v>
      </c>
      <c r="H24" s="118">
        <v>8900</v>
      </c>
      <c r="I24" s="118">
        <v>8859</v>
      </c>
      <c r="J24" s="154">
        <f t="shared" si="0"/>
        <v>99.53932584269663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8000</v>
      </c>
      <c r="H26" s="118">
        <v>8100</v>
      </c>
      <c r="I26" s="118">
        <v>8077</v>
      </c>
      <c r="J26" s="154">
        <f t="shared" si="0"/>
        <v>99.71604938271605</v>
      </c>
    </row>
    <row r="27" spans="2:11" ht="12.75" customHeight="1">
      <c r="B27" s="14"/>
      <c r="C27" s="15"/>
      <c r="D27" s="15"/>
      <c r="E27" s="16">
        <v>613900</v>
      </c>
      <c r="F27" s="366" t="s">
        <v>672</v>
      </c>
      <c r="G27" s="118">
        <v>3800</v>
      </c>
      <c r="H27" s="118">
        <v>3670</v>
      </c>
      <c r="I27" s="118">
        <v>3669</v>
      </c>
      <c r="J27" s="154">
        <f t="shared" si="0"/>
        <v>99.97275204359674</v>
      </c>
      <c r="K27" s="91"/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16500</v>
      </c>
      <c r="H36" s="109">
        <f>SUM(H37:H39)</f>
        <v>16500</v>
      </c>
      <c r="I36" s="109">
        <f>SUM(I37:I39)</f>
        <v>16491</v>
      </c>
      <c r="J36" s="153">
        <f t="shared" si="0"/>
        <v>99.94545454545455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3500</v>
      </c>
      <c r="H37" s="118">
        <v>3020</v>
      </c>
      <c r="I37" s="118">
        <v>3012</v>
      </c>
      <c r="J37" s="154">
        <f t="shared" si="0"/>
        <v>99.73509933774835</v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13000</v>
      </c>
      <c r="H38" s="118">
        <v>13480</v>
      </c>
      <c r="I38" s="118">
        <v>13479</v>
      </c>
      <c r="J38" s="154">
        <f t="shared" si="0"/>
        <v>99.99258160237389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5" t="s">
        <v>726</v>
      </c>
      <c r="H41" s="25" t="s">
        <v>726</v>
      </c>
      <c r="I41" s="25" t="s">
        <v>758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733580</v>
      </c>
      <c r="H42" s="20">
        <f>H7+H13+H17+H36</f>
        <v>733580</v>
      </c>
      <c r="I42" s="20">
        <f>I7+I13+I17+I36</f>
        <v>714137</v>
      </c>
      <c r="J42" s="153">
        <f t="shared" si="0"/>
        <v>97.34957332533602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G42+'29'!G42+'28'!G42+'27'!G42+'26'!G42+'25'!G42+'24'!G42</f>
        <v>7519760</v>
      </c>
      <c r="H43" s="20">
        <f>H42+'29'!H42+'28'!H42+'27'!H42+'26'!H42+'25'!H42+'24'!H42</f>
        <v>7519760</v>
      </c>
      <c r="I43" s="20">
        <f>I42+'29'!I42+'28'!I42+'27'!I42+'26'!I42+'25'!I42+'24'!I42</f>
        <v>7360074</v>
      </c>
      <c r="J43" s="153">
        <f t="shared" si="0"/>
        <v>97.87644818451653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G43+'23'!G43+'20'!G55</f>
        <v>12741240</v>
      </c>
      <c r="H44" s="20">
        <f>H43+'23'!H43+'20'!H55</f>
        <v>12741240</v>
      </c>
      <c r="I44" s="20">
        <f>I43+'23'!I43+'20'!I55</f>
        <v>12484344</v>
      </c>
      <c r="J44" s="153">
        <f t="shared" si="0"/>
        <v>97.98374412537555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2:L43"/>
  <sheetViews>
    <sheetView workbookViewId="0" topLeftCell="C13">
      <selection activeCell="J38" sqref="J3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2" t="s">
        <v>184</v>
      </c>
      <c r="C2" s="452"/>
      <c r="D2" s="452"/>
      <c r="E2" s="452"/>
      <c r="F2" s="452"/>
      <c r="G2" s="452"/>
      <c r="H2" s="452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154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201600</v>
      </c>
      <c r="H7" s="20">
        <f>SUM(H8:H11)</f>
        <v>201600</v>
      </c>
      <c r="I7" s="20">
        <f>SUM(I8:I11)</f>
        <v>197060</v>
      </c>
      <c r="J7" s="153">
        <f aca="true" t="shared" si="0" ref="J7:J41">IF(H7=0,"",I7/H7*100)</f>
        <v>97.74801587301587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f>151800+500</f>
        <v>152300</v>
      </c>
      <c r="H8" s="118">
        <f>151800+500</f>
        <v>152300</v>
      </c>
      <c r="I8" s="118">
        <v>150255</v>
      </c>
      <c r="J8" s="154">
        <f t="shared" si="0"/>
        <v>98.65725541694025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118">
        <f>39300+500+10*240</f>
        <v>42200</v>
      </c>
      <c r="H9" s="118">
        <f>39300+500+10*240</f>
        <v>42200</v>
      </c>
      <c r="I9" s="118">
        <v>39959</v>
      </c>
      <c r="J9" s="154">
        <f t="shared" si="0"/>
        <v>94.68957345971563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7100</v>
      </c>
      <c r="H10" s="84">
        <v>7100</v>
      </c>
      <c r="I10" s="84">
        <v>6846</v>
      </c>
      <c r="J10" s="154">
        <f t="shared" si="0"/>
        <v>96.4225352112676</v>
      </c>
      <c r="L10" s="90"/>
    </row>
    <row r="11" spans="2:10" ht="12.75" customHeight="1">
      <c r="B11" s="14"/>
      <c r="C11" s="15"/>
      <c r="D11" s="15"/>
      <c r="E11" s="16"/>
      <c r="F11" s="26"/>
      <c r="G11" s="118"/>
      <c r="H11" s="118"/>
      <c r="I11" s="118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109"/>
      <c r="H12" s="109"/>
      <c r="I12" s="109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109">
        <f>G14</f>
        <v>17000</v>
      </c>
      <c r="H13" s="109">
        <f>H14</f>
        <v>17000</v>
      </c>
      <c r="I13" s="109">
        <f>I14</f>
        <v>15905</v>
      </c>
      <c r="J13" s="153">
        <f t="shared" si="0"/>
        <v>93.55882352941177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f>16900+100</f>
        <v>17000</v>
      </c>
      <c r="H14" s="118">
        <f>16900+100</f>
        <v>17000</v>
      </c>
      <c r="I14" s="118">
        <v>15905</v>
      </c>
      <c r="J14" s="154">
        <f t="shared" si="0"/>
        <v>93.55882352941177</v>
      </c>
    </row>
    <row r="15" spans="2:10" ht="12.75" customHeight="1">
      <c r="B15" s="14"/>
      <c r="C15" s="15"/>
      <c r="D15" s="15"/>
      <c r="E15" s="16"/>
      <c r="F15" s="15"/>
      <c r="G15" s="118"/>
      <c r="H15" s="118"/>
      <c r="I15" s="118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109"/>
      <c r="H16" s="109"/>
      <c r="I16" s="109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109">
        <f>SUM(G18:G27)</f>
        <v>41400</v>
      </c>
      <c r="H17" s="109">
        <f>SUM(H18:H27)</f>
        <v>41400</v>
      </c>
      <c r="I17" s="109">
        <f>SUM(I18:I27)</f>
        <v>39197</v>
      </c>
      <c r="J17" s="153">
        <f t="shared" si="0"/>
        <v>94.67874396135265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118">
        <v>3500</v>
      </c>
      <c r="H18" s="118">
        <v>3500</v>
      </c>
      <c r="I18" s="118">
        <v>3479</v>
      </c>
      <c r="J18" s="154">
        <f t="shared" si="0"/>
        <v>99.4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118">
        <v>0</v>
      </c>
      <c r="H19" s="118">
        <v>0</v>
      </c>
      <c r="I19" s="118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118">
        <v>3300</v>
      </c>
      <c r="H20" s="118">
        <v>3300</v>
      </c>
      <c r="I20" s="118">
        <v>3096</v>
      </c>
      <c r="J20" s="154">
        <f t="shared" si="0"/>
        <v>93.81818181818183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118">
        <v>2500</v>
      </c>
      <c r="H21" s="118">
        <v>1500</v>
      </c>
      <c r="I21" s="118">
        <v>627</v>
      </c>
      <c r="J21" s="154">
        <f t="shared" si="0"/>
        <v>41.8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118">
        <v>0</v>
      </c>
      <c r="H22" s="118">
        <v>0</v>
      </c>
      <c r="I22" s="118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1500</v>
      </c>
      <c r="H24" s="118">
        <v>1000</v>
      </c>
      <c r="I24" s="118">
        <v>166</v>
      </c>
      <c r="J24" s="154">
        <f t="shared" si="0"/>
        <v>16.6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0</v>
      </c>
      <c r="H25" s="118">
        <v>0</v>
      </c>
      <c r="I25" s="118">
        <v>0</v>
      </c>
      <c r="J25" s="154">
        <f t="shared" si="0"/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18">
        <v>24000</v>
      </c>
      <c r="H26" s="118">
        <v>25500</v>
      </c>
      <c r="I26" s="118">
        <v>25255</v>
      </c>
      <c r="J26" s="154">
        <f t="shared" si="0"/>
        <v>99.0392156862745</v>
      </c>
      <c r="K26" s="108"/>
    </row>
    <row r="27" spans="2:10" ht="12.75" customHeight="1">
      <c r="B27" s="14"/>
      <c r="C27" s="15"/>
      <c r="D27" s="15"/>
      <c r="E27" s="16">
        <v>613900</v>
      </c>
      <c r="F27" s="366" t="s">
        <v>680</v>
      </c>
      <c r="G27" s="118">
        <v>6600</v>
      </c>
      <c r="H27" s="118">
        <v>6600</v>
      </c>
      <c r="I27" s="118">
        <v>6574</v>
      </c>
      <c r="J27" s="154">
        <f t="shared" si="0"/>
        <v>99.60606060606061</v>
      </c>
    </row>
    <row r="28" spans="2:10" ht="12.75" customHeight="1">
      <c r="B28" s="14"/>
      <c r="C28" s="15"/>
      <c r="D28" s="15"/>
      <c r="E28" s="16"/>
      <c r="F28" s="15"/>
      <c r="G28" s="109"/>
      <c r="H28" s="109"/>
      <c r="I28" s="109"/>
      <c r="J28" s="154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208</v>
      </c>
      <c r="G29" s="109">
        <f>G30</f>
        <v>900000</v>
      </c>
      <c r="H29" s="109">
        <f>H30</f>
        <v>900000</v>
      </c>
      <c r="I29" s="109">
        <f>I30</f>
        <v>899490</v>
      </c>
      <c r="J29" s="153">
        <f t="shared" si="0"/>
        <v>99.94333333333333</v>
      </c>
    </row>
    <row r="30" spans="2:10" ht="12.75" customHeight="1">
      <c r="B30" s="14"/>
      <c r="C30" s="15"/>
      <c r="D30" s="15"/>
      <c r="E30" s="16">
        <v>614200</v>
      </c>
      <c r="F30" s="30" t="s">
        <v>118</v>
      </c>
      <c r="G30" s="118">
        <v>900000</v>
      </c>
      <c r="H30" s="118">
        <v>900000</v>
      </c>
      <c r="I30" s="118">
        <v>899490</v>
      </c>
      <c r="J30" s="154">
        <f t="shared" si="0"/>
        <v>99.94333333333333</v>
      </c>
    </row>
    <row r="31" spans="2:10" ht="12.75" customHeight="1">
      <c r="B31" s="14"/>
      <c r="C31" s="15"/>
      <c r="D31" s="15"/>
      <c r="E31" s="16"/>
      <c r="F31" s="26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s="1" customFormat="1" ht="12.75" customHeight="1">
      <c r="B33" s="17"/>
      <c r="C33" s="12"/>
      <c r="D33" s="12"/>
      <c r="E33" s="9">
        <v>821000</v>
      </c>
      <c r="F33" s="12" t="s">
        <v>92</v>
      </c>
      <c r="G33" s="109">
        <f>SUM(G34:G36)</f>
        <v>2000</v>
      </c>
      <c r="H33" s="109">
        <f>SUM(H34:H36)</f>
        <v>2000</v>
      </c>
      <c r="I33" s="109">
        <f>SUM(I34:I36)</f>
        <v>1653</v>
      </c>
      <c r="J33" s="153">
        <f t="shared" si="0"/>
        <v>82.65</v>
      </c>
    </row>
    <row r="34" spans="2:10" ht="12.75" customHeight="1">
      <c r="B34" s="14"/>
      <c r="C34" s="15"/>
      <c r="D34" s="15"/>
      <c r="E34" s="16">
        <v>821200</v>
      </c>
      <c r="F34" s="15" t="s">
        <v>93</v>
      </c>
      <c r="G34" s="118">
        <v>0</v>
      </c>
      <c r="H34" s="118">
        <v>0</v>
      </c>
      <c r="I34" s="118">
        <v>0</v>
      </c>
      <c r="J34" s="154">
        <f t="shared" si="0"/>
      </c>
    </row>
    <row r="35" spans="2:10" ht="12.75" customHeight="1">
      <c r="B35" s="14"/>
      <c r="C35" s="15"/>
      <c r="D35" s="15"/>
      <c r="E35" s="16">
        <v>821300</v>
      </c>
      <c r="F35" s="15" t="s">
        <v>94</v>
      </c>
      <c r="G35" s="118">
        <v>2000</v>
      </c>
      <c r="H35" s="118">
        <v>2000</v>
      </c>
      <c r="I35" s="118">
        <v>1653</v>
      </c>
      <c r="J35" s="154">
        <f t="shared" si="0"/>
        <v>82.65</v>
      </c>
    </row>
    <row r="36" spans="2:10" ht="12.75" customHeight="1">
      <c r="B36" s="14"/>
      <c r="C36" s="15"/>
      <c r="D36" s="15"/>
      <c r="E36" s="16"/>
      <c r="F36" s="26"/>
      <c r="G36" s="118"/>
      <c r="H36" s="118"/>
      <c r="I36" s="118"/>
      <c r="J36" s="154">
        <f t="shared" si="0"/>
      </c>
    </row>
    <row r="37" spans="2:10" ht="12.75" customHeight="1">
      <c r="B37" s="14"/>
      <c r="C37" s="15"/>
      <c r="D37" s="15"/>
      <c r="E37" s="16"/>
      <c r="F37" s="15"/>
      <c r="G37" s="118"/>
      <c r="H37" s="118"/>
      <c r="I37" s="118"/>
      <c r="J37" s="154">
        <f t="shared" si="0"/>
      </c>
    </row>
    <row r="38" spans="2:10" s="1" customFormat="1" ht="12.75" customHeight="1">
      <c r="B38" s="17"/>
      <c r="C38" s="12"/>
      <c r="D38" s="12"/>
      <c r="E38" s="9"/>
      <c r="F38" s="12" t="s">
        <v>95</v>
      </c>
      <c r="G38" s="20">
        <v>9</v>
      </c>
      <c r="H38" s="20">
        <v>9</v>
      </c>
      <c r="I38" s="20">
        <v>10</v>
      </c>
      <c r="J38" s="154"/>
    </row>
    <row r="39" spans="2:10" s="1" customFormat="1" ht="12.75" customHeight="1">
      <c r="B39" s="17"/>
      <c r="C39" s="12"/>
      <c r="D39" s="12"/>
      <c r="E39" s="9"/>
      <c r="F39" s="12" t="s">
        <v>116</v>
      </c>
      <c r="G39" s="20">
        <f>G7+G13+G17+G29+G33</f>
        <v>1162000</v>
      </c>
      <c r="H39" s="20">
        <f>H7+H13+H17+H29+H33</f>
        <v>1162000</v>
      </c>
      <c r="I39" s="20">
        <f>I7+I13+I17+I29+I33</f>
        <v>1153305</v>
      </c>
      <c r="J39" s="153">
        <f t="shared" si="0"/>
        <v>99.25172117039587</v>
      </c>
    </row>
    <row r="40" spans="2:10" s="1" customFormat="1" ht="12.75" customHeight="1">
      <c r="B40" s="17"/>
      <c r="C40" s="12"/>
      <c r="D40" s="12"/>
      <c r="E40" s="9"/>
      <c r="F40" s="12" t="s">
        <v>96</v>
      </c>
      <c r="G40" s="20">
        <f aca="true" t="shared" si="1" ref="G40:I41">G39</f>
        <v>1162000</v>
      </c>
      <c r="H40" s="20">
        <f t="shared" si="1"/>
        <v>1162000</v>
      </c>
      <c r="I40" s="20">
        <f t="shared" si="1"/>
        <v>1153305</v>
      </c>
      <c r="J40" s="153">
        <f t="shared" si="0"/>
        <v>99.25172117039587</v>
      </c>
    </row>
    <row r="41" spans="2:10" s="1" customFormat="1" ht="12.75" customHeight="1">
      <c r="B41" s="17"/>
      <c r="C41" s="12"/>
      <c r="D41" s="12"/>
      <c r="E41" s="9"/>
      <c r="F41" s="12" t="s">
        <v>97</v>
      </c>
      <c r="G41" s="20">
        <f t="shared" si="1"/>
        <v>1162000</v>
      </c>
      <c r="H41" s="20">
        <f t="shared" si="1"/>
        <v>1162000</v>
      </c>
      <c r="I41" s="20">
        <f t="shared" si="1"/>
        <v>1153305</v>
      </c>
      <c r="J41" s="153">
        <f t="shared" si="0"/>
        <v>99.25172117039587</v>
      </c>
    </row>
    <row r="42" spans="2:10" ht="12.75" customHeight="1" thickBot="1">
      <c r="B42" s="21"/>
      <c r="C42" s="22"/>
      <c r="D42" s="22"/>
      <c r="E42" s="23"/>
      <c r="F42" s="22"/>
      <c r="G42" s="50"/>
      <c r="H42" s="50"/>
      <c r="I42" s="47"/>
      <c r="J42" s="157"/>
    </row>
    <row r="43" ht="12.75">
      <c r="I43" s="95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B2:L49"/>
  <sheetViews>
    <sheetView workbookViewId="0" topLeftCell="A7">
      <selection activeCell="J40" sqref="J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156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155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98760</v>
      </c>
      <c r="H7" s="20">
        <f>SUM(H8:H10)</f>
        <v>98760</v>
      </c>
      <c r="I7" s="20">
        <f>SUM(I8:I10)</f>
        <v>95963</v>
      </c>
      <c r="J7" s="153">
        <f aca="true" t="shared" si="0" ref="J7:J43">IF(H7=0,"",I7/H7*100)</f>
        <v>97.16788173349535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84">
        <v>76100</v>
      </c>
      <c r="H8" s="84">
        <v>76100</v>
      </c>
      <c r="I8" s="84">
        <v>75053</v>
      </c>
      <c r="J8" s="154">
        <f t="shared" si="0"/>
        <v>98.62417871222077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84">
        <f>19500+4*240</f>
        <v>20460</v>
      </c>
      <c r="H9" s="84">
        <f>19500+4*240</f>
        <v>20460</v>
      </c>
      <c r="I9" s="84">
        <v>18800</v>
      </c>
      <c r="J9" s="154">
        <f t="shared" si="0"/>
        <v>91.88660801564026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2200</v>
      </c>
      <c r="H10" s="84">
        <v>2200</v>
      </c>
      <c r="I10" s="84">
        <v>2110</v>
      </c>
      <c r="J10" s="154">
        <f t="shared" si="0"/>
        <v>95.9090909090909</v>
      </c>
      <c r="L10" s="90"/>
    </row>
    <row r="11" spans="2:10" ht="12.75" customHeight="1">
      <c r="B11" s="14"/>
      <c r="C11" s="15"/>
      <c r="D11" s="15"/>
      <c r="E11" s="16"/>
      <c r="F11" s="15"/>
      <c r="G11" s="45"/>
      <c r="H11" s="45"/>
      <c r="I11" s="45"/>
      <c r="J11" s="154">
        <f t="shared" si="0"/>
      </c>
    </row>
    <row r="12" spans="2:10" ht="12.75" customHeight="1">
      <c r="B12" s="17"/>
      <c r="C12" s="12"/>
      <c r="D12" s="12"/>
      <c r="E12" s="9">
        <v>612000</v>
      </c>
      <c r="F12" s="12" t="s">
        <v>167</v>
      </c>
      <c r="G12" s="20">
        <f>G13</f>
        <v>8700</v>
      </c>
      <c r="H12" s="20">
        <f>H13</f>
        <v>8700</v>
      </c>
      <c r="I12" s="20">
        <f>I13</f>
        <v>7933</v>
      </c>
      <c r="J12" s="153">
        <f t="shared" si="0"/>
        <v>91.18390804597702</v>
      </c>
    </row>
    <row r="13" spans="2:10" s="1" customFormat="1" ht="12.75" customHeight="1">
      <c r="B13" s="14"/>
      <c r="C13" s="15"/>
      <c r="D13" s="15"/>
      <c r="E13" s="16">
        <v>612100</v>
      </c>
      <c r="F13" s="18" t="s">
        <v>85</v>
      </c>
      <c r="G13" s="84">
        <v>8700</v>
      </c>
      <c r="H13" s="84">
        <v>8700</v>
      </c>
      <c r="I13" s="84">
        <v>7933</v>
      </c>
      <c r="J13" s="154">
        <f t="shared" si="0"/>
        <v>91.18390804597702</v>
      </c>
    </row>
    <row r="14" spans="2:10" ht="12.75" customHeight="1">
      <c r="B14" s="14"/>
      <c r="C14" s="15"/>
      <c r="D14" s="15"/>
      <c r="E14" s="16"/>
      <c r="F14" s="15"/>
      <c r="G14" s="45"/>
      <c r="H14" s="45"/>
      <c r="I14" s="45"/>
      <c r="J14" s="154">
        <f t="shared" si="0"/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7"/>
      <c r="C16" s="12"/>
      <c r="D16" s="12"/>
      <c r="E16" s="9">
        <v>613000</v>
      </c>
      <c r="F16" s="12" t="s">
        <v>169</v>
      </c>
      <c r="G16" s="51">
        <f>SUM(G17:G26)</f>
        <v>32600</v>
      </c>
      <c r="H16" s="51">
        <f>SUM(H17:H26)</f>
        <v>32600</v>
      </c>
      <c r="I16" s="51">
        <f>SUM(I17:I26)</f>
        <v>28351</v>
      </c>
      <c r="J16" s="153">
        <f t="shared" si="0"/>
        <v>86.96625766871165</v>
      </c>
    </row>
    <row r="17" spans="2:10" s="1" customFormat="1" ht="12.75" customHeight="1">
      <c r="B17" s="14"/>
      <c r="C17" s="15"/>
      <c r="D17" s="15"/>
      <c r="E17" s="16">
        <v>613100</v>
      </c>
      <c r="F17" s="15" t="s">
        <v>86</v>
      </c>
      <c r="G17" s="84">
        <v>400</v>
      </c>
      <c r="H17" s="84">
        <v>400</v>
      </c>
      <c r="I17" s="84">
        <v>70</v>
      </c>
      <c r="J17" s="154">
        <f t="shared" si="0"/>
        <v>17.5</v>
      </c>
    </row>
    <row r="18" spans="2:10" ht="12.75" customHeight="1">
      <c r="B18" s="14"/>
      <c r="C18" s="15"/>
      <c r="D18" s="15"/>
      <c r="E18" s="16">
        <v>613200</v>
      </c>
      <c r="F18" s="15" t="s">
        <v>87</v>
      </c>
      <c r="G18" s="84">
        <v>5500</v>
      </c>
      <c r="H18" s="84">
        <v>5500</v>
      </c>
      <c r="I18" s="84">
        <v>5169</v>
      </c>
      <c r="J18" s="154">
        <f t="shared" si="0"/>
        <v>93.98181818181818</v>
      </c>
    </row>
    <row r="19" spans="2:10" ht="12.75" customHeight="1">
      <c r="B19" s="14"/>
      <c r="C19" s="15"/>
      <c r="D19" s="15"/>
      <c r="E19" s="16">
        <v>613300</v>
      </c>
      <c r="F19" s="26" t="s">
        <v>206</v>
      </c>
      <c r="G19" s="84">
        <v>3600</v>
      </c>
      <c r="H19" s="84">
        <v>3600</v>
      </c>
      <c r="I19" s="84">
        <v>2951</v>
      </c>
      <c r="J19" s="154">
        <f t="shared" si="0"/>
        <v>81.97222222222223</v>
      </c>
    </row>
    <row r="20" spans="2:10" ht="12.75" customHeight="1">
      <c r="B20" s="14"/>
      <c r="C20" s="15"/>
      <c r="D20" s="15"/>
      <c r="E20" s="16">
        <v>613400</v>
      </c>
      <c r="F20" s="15" t="s">
        <v>170</v>
      </c>
      <c r="G20" s="84">
        <v>1900</v>
      </c>
      <c r="H20" s="84">
        <v>1900</v>
      </c>
      <c r="I20" s="84">
        <v>1620</v>
      </c>
      <c r="J20" s="154">
        <f t="shared" si="0"/>
        <v>85.26315789473684</v>
      </c>
    </row>
    <row r="21" spans="2:10" ht="12.75" customHeight="1">
      <c r="B21" s="14"/>
      <c r="C21" s="15"/>
      <c r="D21" s="15"/>
      <c r="E21" s="16">
        <v>613500</v>
      </c>
      <c r="F21" s="15" t="s">
        <v>88</v>
      </c>
      <c r="G21" s="84">
        <v>0</v>
      </c>
      <c r="H21" s="84">
        <v>0</v>
      </c>
      <c r="I21" s="84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613600</v>
      </c>
      <c r="F22" s="26" t="s">
        <v>207</v>
      </c>
      <c r="G22" s="84">
        <v>0</v>
      </c>
      <c r="H22" s="84">
        <v>0</v>
      </c>
      <c r="I22" s="84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613700</v>
      </c>
      <c r="F23" s="15" t="s">
        <v>89</v>
      </c>
      <c r="G23" s="84">
        <v>500</v>
      </c>
      <c r="H23" s="84">
        <v>500</v>
      </c>
      <c r="I23" s="84">
        <v>495</v>
      </c>
      <c r="J23" s="154">
        <f t="shared" si="0"/>
        <v>99</v>
      </c>
    </row>
    <row r="24" spans="2:10" ht="12.75" customHeight="1">
      <c r="B24" s="14"/>
      <c r="C24" s="15"/>
      <c r="D24" s="15"/>
      <c r="E24" s="16">
        <v>613800</v>
      </c>
      <c r="F24" s="15" t="s">
        <v>171</v>
      </c>
      <c r="G24" s="84">
        <v>0</v>
      </c>
      <c r="H24" s="84">
        <v>0</v>
      </c>
      <c r="I24" s="84">
        <v>0</v>
      </c>
      <c r="J24" s="154">
        <f t="shared" si="0"/>
      </c>
    </row>
    <row r="25" spans="2:10" ht="12.75" customHeight="1">
      <c r="B25" s="14"/>
      <c r="C25" s="15"/>
      <c r="D25" s="15"/>
      <c r="E25" s="16">
        <v>613900</v>
      </c>
      <c r="F25" s="15" t="s">
        <v>172</v>
      </c>
      <c r="G25" s="84">
        <v>17300</v>
      </c>
      <c r="H25" s="84">
        <v>17300</v>
      </c>
      <c r="I25" s="84">
        <v>14726</v>
      </c>
      <c r="J25" s="154">
        <f t="shared" si="0"/>
        <v>85.121387283237</v>
      </c>
    </row>
    <row r="26" spans="2:10" ht="12.75" customHeight="1">
      <c r="B26" s="14"/>
      <c r="C26" s="15"/>
      <c r="D26" s="15"/>
      <c r="E26" s="16">
        <v>613900</v>
      </c>
      <c r="F26" s="366" t="s">
        <v>666</v>
      </c>
      <c r="G26" s="84">
        <v>3400</v>
      </c>
      <c r="H26" s="84">
        <v>3400</v>
      </c>
      <c r="I26" s="84">
        <v>3320</v>
      </c>
      <c r="J26" s="154">
        <f t="shared" si="0"/>
        <v>97.6470588235294</v>
      </c>
    </row>
    <row r="27" spans="2:10" ht="12.75" customHeight="1">
      <c r="B27" s="17"/>
      <c r="C27" s="12"/>
      <c r="D27" s="12"/>
      <c r="E27" s="9"/>
      <c r="F27" s="12"/>
      <c r="G27" s="109"/>
      <c r="H27" s="109"/>
      <c r="I27" s="109"/>
      <c r="J27" s="154">
        <f t="shared" si="0"/>
      </c>
    </row>
    <row r="28" spans="2:10" s="1" customFormat="1" ht="12.75" customHeight="1">
      <c r="B28" s="14"/>
      <c r="C28" s="15"/>
      <c r="D28" s="31"/>
      <c r="E28" s="16"/>
      <c r="F28" s="30"/>
      <c r="G28" s="84"/>
      <c r="H28" s="84"/>
      <c r="I28" s="84"/>
      <c r="J28" s="154">
        <f t="shared" si="0"/>
      </c>
    </row>
    <row r="29" spans="2:10" ht="12.75" customHeight="1">
      <c r="B29" s="14"/>
      <c r="C29" s="15"/>
      <c r="D29" s="15"/>
      <c r="E29" s="62"/>
      <c r="F29" s="30"/>
      <c r="G29" s="84"/>
      <c r="H29" s="84"/>
      <c r="I29" s="84"/>
      <c r="J29" s="154">
        <f t="shared" si="0"/>
      </c>
    </row>
    <row r="30" spans="2:10" ht="12.75" customHeight="1">
      <c r="B30" s="14"/>
      <c r="C30" s="15"/>
      <c r="D30" s="15"/>
      <c r="E30" s="16"/>
      <c r="F30" s="15"/>
      <c r="G30" s="84"/>
      <c r="H30" s="84"/>
      <c r="I30" s="84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84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9"/>
      <c r="F32" s="12"/>
      <c r="G32" s="84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16"/>
      <c r="F33" s="26"/>
      <c r="G33" s="84"/>
      <c r="H33" s="84"/>
      <c r="I33" s="84"/>
      <c r="J33" s="154">
        <f t="shared" si="0"/>
      </c>
    </row>
    <row r="34" spans="2:10" ht="12.75" customHeight="1">
      <c r="B34" s="14"/>
      <c r="C34" s="15"/>
      <c r="D34" s="15"/>
      <c r="E34" s="16"/>
      <c r="F34" s="15"/>
      <c r="G34" s="84"/>
      <c r="H34" s="84"/>
      <c r="I34" s="84"/>
      <c r="J34" s="154">
        <f t="shared" si="0"/>
      </c>
    </row>
    <row r="35" spans="2:10" ht="12.75" customHeight="1">
      <c r="B35" s="17"/>
      <c r="C35" s="12"/>
      <c r="D35" s="12"/>
      <c r="E35" s="9">
        <v>821000</v>
      </c>
      <c r="F35" s="12" t="s">
        <v>92</v>
      </c>
      <c r="G35" s="109">
        <f>SUM(G36:G37)</f>
        <v>0</v>
      </c>
      <c r="H35" s="109">
        <f>SUM(H36:H37)</f>
        <v>0</v>
      </c>
      <c r="I35" s="109">
        <f>SUM(I36:I37)</f>
        <v>0</v>
      </c>
      <c r="J35" s="153">
        <f t="shared" si="0"/>
      </c>
    </row>
    <row r="36" spans="2:10" s="1" customFormat="1" ht="12.75" customHeight="1">
      <c r="B36" s="14"/>
      <c r="C36" s="15"/>
      <c r="D36" s="15"/>
      <c r="E36" s="16">
        <v>821200</v>
      </c>
      <c r="F36" s="15" t="s">
        <v>93</v>
      </c>
      <c r="G36" s="84">
        <v>0</v>
      </c>
      <c r="H36" s="84">
        <v>0</v>
      </c>
      <c r="I36" s="84">
        <v>0</v>
      </c>
      <c r="J36" s="154">
        <f t="shared" si="0"/>
      </c>
    </row>
    <row r="37" spans="2:10" ht="12.75" customHeight="1">
      <c r="B37" s="14"/>
      <c r="C37" s="15"/>
      <c r="D37" s="15"/>
      <c r="E37" s="16">
        <v>821300</v>
      </c>
      <c r="F37" s="15" t="s">
        <v>94</v>
      </c>
      <c r="G37" s="84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/>
      <c r="F38" s="26"/>
      <c r="G38" s="84"/>
      <c r="H38" s="84"/>
      <c r="I38" s="84"/>
      <c r="J38" s="154">
        <f t="shared" si="0"/>
      </c>
    </row>
    <row r="39" spans="2:10" ht="12.75" customHeight="1">
      <c r="B39" s="14"/>
      <c r="C39" s="15"/>
      <c r="D39" s="15"/>
      <c r="E39" s="16"/>
      <c r="F39" s="15"/>
      <c r="G39" s="84"/>
      <c r="H39" s="84"/>
      <c r="I39" s="84"/>
      <c r="J39" s="154">
        <f t="shared" si="0"/>
      </c>
    </row>
    <row r="40" spans="2:10" ht="12.75" customHeight="1">
      <c r="B40" s="17"/>
      <c r="C40" s="12"/>
      <c r="D40" s="12"/>
      <c r="E40" s="9"/>
      <c r="F40" s="12" t="s">
        <v>95</v>
      </c>
      <c r="G40" s="109">
        <v>4</v>
      </c>
      <c r="H40" s="109">
        <v>4</v>
      </c>
      <c r="I40" s="109">
        <v>4</v>
      </c>
      <c r="J40" s="154"/>
    </row>
    <row r="41" spans="2:10" s="1" customFormat="1" ht="12.75" customHeight="1">
      <c r="B41" s="17"/>
      <c r="C41" s="12"/>
      <c r="D41" s="12"/>
      <c r="E41" s="9"/>
      <c r="F41" s="12" t="s">
        <v>116</v>
      </c>
      <c r="G41" s="20">
        <f>G7+G12+G16+G35</f>
        <v>140060</v>
      </c>
      <c r="H41" s="20">
        <f>H7+H12+H16+H35</f>
        <v>140060</v>
      </c>
      <c r="I41" s="20">
        <f>I7+I12+I16+I35</f>
        <v>132247</v>
      </c>
      <c r="J41" s="153">
        <f t="shared" si="0"/>
        <v>94.42167642438955</v>
      </c>
    </row>
    <row r="42" spans="2:10" s="1" customFormat="1" ht="12.75" customHeight="1">
      <c r="B42" s="17"/>
      <c r="C42" s="12"/>
      <c r="D42" s="12"/>
      <c r="E42" s="9"/>
      <c r="F42" s="12" t="s">
        <v>96</v>
      </c>
      <c r="G42" s="20">
        <f aca="true" t="shared" si="1" ref="G42:I43">G41</f>
        <v>140060</v>
      </c>
      <c r="H42" s="20">
        <f t="shared" si="1"/>
        <v>140060</v>
      </c>
      <c r="I42" s="20">
        <f t="shared" si="1"/>
        <v>132247</v>
      </c>
      <c r="J42" s="153">
        <f t="shared" si="0"/>
        <v>94.42167642438955</v>
      </c>
    </row>
    <row r="43" spans="2:10" s="1" customFormat="1" ht="12.75" customHeight="1">
      <c r="B43" s="17"/>
      <c r="C43" s="12"/>
      <c r="D43" s="12"/>
      <c r="E43" s="9"/>
      <c r="F43" s="12" t="s">
        <v>97</v>
      </c>
      <c r="G43" s="20">
        <f t="shared" si="1"/>
        <v>140060</v>
      </c>
      <c r="H43" s="20">
        <f t="shared" si="1"/>
        <v>140060</v>
      </c>
      <c r="I43" s="20">
        <f t="shared" si="1"/>
        <v>132247</v>
      </c>
      <c r="J43" s="153">
        <f t="shared" si="0"/>
        <v>94.42167642438955</v>
      </c>
    </row>
    <row r="44" spans="2:10" s="1" customFormat="1" ht="12.75" customHeight="1" thickBot="1">
      <c r="B44" s="21"/>
      <c r="C44" s="22"/>
      <c r="D44" s="22"/>
      <c r="E44" s="23"/>
      <c r="F44" s="22"/>
      <c r="G44" s="36"/>
      <c r="H44" s="50"/>
      <c r="I44" s="47"/>
      <c r="J44" s="157"/>
    </row>
    <row r="45" ht="12.75" customHeight="1"/>
    <row r="46" ht="12.75">
      <c r="B46" s="83"/>
    </row>
    <row r="47" ht="12.75">
      <c r="B47" s="83"/>
    </row>
    <row r="48" ht="12.75">
      <c r="B48" s="83"/>
    </row>
    <row r="49" ht="12.75">
      <c r="B49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B2:L54"/>
  <sheetViews>
    <sheetView workbookViewId="0" topLeftCell="A4">
      <selection activeCell="J39" sqref="J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157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158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190000</v>
      </c>
      <c r="H7" s="20">
        <f>SUM(H8:H11)</f>
        <v>190000</v>
      </c>
      <c r="I7" s="20">
        <f>SUM(I8:I11)</f>
        <v>184331</v>
      </c>
      <c r="J7" s="153">
        <f aca="true" t="shared" si="0" ref="J7:J42">IF(H7=0,"",I7/H7*100)</f>
        <v>97.01631578947368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84">
        <f>142100</f>
        <v>142100</v>
      </c>
      <c r="H8" s="84">
        <f>142100</f>
        <v>142100</v>
      </c>
      <c r="I8" s="84">
        <v>139214</v>
      </c>
      <c r="J8" s="154">
        <f t="shared" si="0"/>
        <v>97.96903589021817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84">
        <f>39200+10*240</f>
        <v>41600</v>
      </c>
      <c r="H9" s="84">
        <f>39200+10*240</f>
        <v>41600</v>
      </c>
      <c r="I9" s="84">
        <v>39068</v>
      </c>
      <c r="J9" s="154">
        <f t="shared" si="0"/>
        <v>93.91346153846155</v>
      </c>
    </row>
    <row r="10" spans="2:12" ht="12.75" customHeight="1">
      <c r="B10" s="14"/>
      <c r="C10" s="15"/>
      <c r="D10" s="15"/>
      <c r="E10" s="16">
        <v>611200</v>
      </c>
      <c r="F10" s="366" t="s">
        <v>679</v>
      </c>
      <c r="G10" s="84">
        <v>6300</v>
      </c>
      <c r="H10" s="84">
        <v>6300</v>
      </c>
      <c r="I10" s="84">
        <v>6049</v>
      </c>
      <c r="J10" s="154">
        <f t="shared" si="0"/>
        <v>96.01587301587303</v>
      </c>
      <c r="L10" s="90"/>
    </row>
    <row r="11" spans="2:10" ht="12.75" customHeight="1">
      <c r="B11" s="14"/>
      <c r="C11" s="15"/>
      <c r="D11" s="15"/>
      <c r="E11" s="16"/>
      <c r="F11" s="26"/>
      <c r="G11" s="4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15800</v>
      </c>
      <c r="H13" s="20">
        <f>H14</f>
        <v>15800</v>
      </c>
      <c r="I13" s="20">
        <f>I14</f>
        <v>14753</v>
      </c>
      <c r="J13" s="153">
        <f t="shared" si="0"/>
        <v>93.37341772151899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5">
        <v>15800</v>
      </c>
      <c r="H14" s="45">
        <v>15800</v>
      </c>
      <c r="I14" s="45">
        <v>14753</v>
      </c>
      <c r="J14" s="154">
        <f t="shared" si="0"/>
        <v>93.37341772151899</v>
      </c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51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89000</v>
      </c>
      <c r="H17" s="51">
        <f>SUM(H18:H27)</f>
        <v>89000</v>
      </c>
      <c r="I17" s="51">
        <f>SUM(I18:I27)</f>
        <v>77993</v>
      </c>
      <c r="J17" s="153">
        <f t="shared" si="0"/>
        <v>87.63258426966291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1400</v>
      </c>
      <c r="H18" s="45">
        <v>1400</v>
      </c>
      <c r="I18" s="45">
        <v>1210</v>
      </c>
      <c r="J18" s="154">
        <f t="shared" si="0"/>
        <v>86.42857142857143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8000</v>
      </c>
      <c r="H19" s="45">
        <v>8000</v>
      </c>
      <c r="I19" s="45">
        <v>6782</v>
      </c>
      <c r="J19" s="154">
        <f t="shared" si="0"/>
        <v>84.775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84">
        <v>3400</v>
      </c>
      <c r="H20" s="84">
        <v>3400</v>
      </c>
      <c r="I20" s="84">
        <v>2717</v>
      </c>
      <c r="J20" s="154">
        <f t="shared" si="0"/>
        <v>79.91176470588235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84">
        <v>1800</v>
      </c>
      <c r="H21" s="84">
        <v>1800</v>
      </c>
      <c r="I21" s="84">
        <v>1770</v>
      </c>
      <c r="J21" s="154">
        <f t="shared" si="0"/>
        <v>98.33333333333333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84">
        <v>900</v>
      </c>
      <c r="H22" s="84">
        <v>900</v>
      </c>
      <c r="I22" s="84">
        <v>537</v>
      </c>
      <c r="J22" s="154">
        <f t="shared" si="0"/>
        <v>59.66666666666667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84">
        <v>0</v>
      </c>
      <c r="H23" s="84">
        <v>0</v>
      </c>
      <c r="I23" s="84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84">
        <v>2500</v>
      </c>
      <c r="H24" s="84">
        <v>2500</v>
      </c>
      <c r="I24" s="84">
        <v>2492</v>
      </c>
      <c r="J24" s="154">
        <f t="shared" si="0"/>
        <v>99.68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84">
        <v>400</v>
      </c>
      <c r="H25" s="84">
        <v>400</v>
      </c>
      <c r="I25" s="84">
        <v>0</v>
      </c>
      <c r="J25" s="154">
        <f t="shared" si="0"/>
        <v>0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84">
        <f>44300+20000</f>
        <v>64300</v>
      </c>
      <c r="H26" s="84">
        <f>44300+20000</f>
        <v>64300</v>
      </c>
      <c r="I26" s="84">
        <f>55549+720</f>
        <v>56269</v>
      </c>
      <c r="J26" s="154">
        <f t="shared" si="0"/>
        <v>87.51010886469673</v>
      </c>
      <c r="K26" s="83"/>
    </row>
    <row r="27" spans="2:10" ht="12.75" customHeight="1">
      <c r="B27" s="14"/>
      <c r="C27" s="15"/>
      <c r="D27" s="15"/>
      <c r="E27" s="16">
        <v>613900</v>
      </c>
      <c r="F27" s="366" t="s">
        <v>680</v>
      </c>
      <c r="G27" s="84">
        <v>6300</v>
      </c>
      <c r="H27" s="84">
        <v>6300</v>
      </c>
      <c r="I27" s="84">
        <f>6936-720</f>
        <v>6216</v>
      </c>
      <c r="J27" s="154">
        <f t="shared" si="0"/>
        <v>98.66666666666667</v>
      </c>
    </row>
    <row r="28" spans="2:10" ht="12.75" customHeight="1">
      <c r="B28" s="14"/>
      <c r="C28" s="15"/>
      <c r="D28" s="15"/>
      <c r="E28" s="16"/>
      <c r="F28" s="15"/>
      <c r="G28" s="109"/>
      <c r="H28" s="109"/>
      <c r="I28" s="109"/>
      <c r="J28" s="154">
        <f t="shared" si="0"/>
      </c>
    </row>
    <row r="29" spans="2:10" s="1" customFormat="1" ht="12.75" customHeight="1">
      <c r="B29" s="17"/>
      <c r="C29" s="12"/>
      <c r="D29" s="12"/>
      <c r="E29" s="9">
        <v>614000</v>
      </c>
      <c r="F29" s="12" t="s">
        <v>208</v>
      </c>
      <c r="G29" s="109">
        <f>G30</f>
        <v>40000</v>
      </c>
      <c r="H29" s="109">
        <f>H30</f>
        <v>40000</v>
      </c>
      <c r="I29" s="109">
        <f>I30</f>
        <v>33928</v>
      </c>
      <c r="J29" s="153">
        <f t="shared" si="0"/>
        <v>84.82</v>
      </c>
    </row>
    <row r="30" spans="2:10" ht="12.75" customHeight="1">
      <c r="B30" s="14"/>
      <c r="C30" s="15"/>
      <c r="D30" s="15"/>
      <c r="E30" s="16">
        <v>614200</v>
      </c>
      <c r="F30" s="26" t="s">
        <v>119</v>
      </c>
      <c r="G30" s="84">
        <f>40000</f>
        <v>40000</v>
      </c>
      <c r="H30" s="84">
        <f>40000</f>
        <v>40000</v>
      </c>
      <c r="I30" s="84">
        <v>33928</v>
      </c>
      <c r="J30" s="154">
        <f t="shared" si="0"/>
        <v>84.82</v>
      </c>
    </row>
    <row r="31" spans="2:10" ht="12.75" customHeight="1">
      <c r="B31" s="14"/>
      <c r="C31" s="15"/>
      <c r="D31" s="15"/>
      <c r="E31" s="9"/>
      <c r="F31" s="12"/>
      <c r="G31" s="84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16"/>
      <c r="F32" s="26"/>
      <c r="G32" s="84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84"/>
      <c r="H33" s="84"/>
      <c r="I33" s="84"/>
      <c r="J33" s="154">
        <f t="shared" si="0"/>
      </c>
    </row>
    <row r="34" spans="2:10" ht="12.75" customHeight="1">
      <c r="B34" s="17"/>
      <c r="C34" s="12"/>
      <c r="D34" s="12"/>
      <c r="E34" s="9">
        <v>821000</v>
      </c>
      <c r="F34" s="12" t="s">
        <v>92</v>
      </c>
      <c r="G34" s="109">
        <f>SUM(G35:G37)</f>
        <v>3000</v>
      </c>
      <c r="H34" s="109">
        <f>SUM(H35:H37)</f>
        <v>3000</v>
      </c>
      <c r="I34" s="109">
        <f>SUM(I35:I37)</f>
        <v>0</v>
      </c>
      <c r="J34" s="153">
        <f t="shared" si="0"/>
        <v>0</v>
      </c>
    </row>
    <row r="35" spans="2:10" ht="12.75" customHeight="1">
      <c r="B35" s="14"/>
      <c r="C35" s="15"/>
      <c r="D35" s="15"/>
      <c r="E35" s="16">
        <v>821200</v>
      </c>
      <c r="F35" s="15" t="s">
        <v>93</v>
      </c>
      <c r="G35" s="118">
        <v>0</v>
      </c>
      <c r="H35" s="118">
        <v>0</v>
      </c>
      <c r="I35" s="118">
        <v>0</v>
      </c>
      <c r="J35" s="154">
        <f t="shared" si="0"/>
      </c>
    </row>
    <row r="36" spans="2:10" s="1" customFormat="1" ht="12.75" customHeight="1">
      <c r="B36" s="14"/>
      <c r="C36" s="15"/>
      <c r="D36" s="15"/>
      <c r="E36" s="16">
        <v>821300</v>
      </c>
      <c r="F36" s="15" t="s">
        <v>94</v>
      </c>
      <c r="G36" s="84">
        <v>3000</v>
      </c>
      <c r="H36" s="84">
        <v>3000</v>
      </c>
      <c r="I36" s="84">
        <v>0</v>
      </c>
      <c r="J36" s="154">
        <f t="shared" si="0"/>
        <v>0</v>
      </c>
    </row>
    <row r="37" spans="2:10" ht="12.75" customHeight="1">
      <c r="B37" s="14"/>
      <c r="C37" s="15"/>
      <c r="D37" s="15"/>
      <c r="E37" s="16"/>
      <c r="F37" s="26"/>
      <c r="G37" s="84"/>
      <c r="H37" s="84"/>
      <c r="I37" s="84"/>
      <c r="J37" s="154">
        <f t="shared" si="0"/>
      </c>
    </row>
    <row r="38" spans="2:10" ht="12.75" customHeight="1">
      <c r="B38" s="14"/>
      <c r="C38" s="15"/>
      <c r="D38" s="15"/>
      <c r="E38" s="16"/>
      <c r="F38" s="15"/>
      <c r="G38" s="45"/>
      <c r="H38" s="45"/>
      <c r="I38" s="45"/>
      <c r="J38" s="154">
        <f t="shared" si="0"/>
      </c>
    </row>
    <row r="39" spans="2:10" ht="12.75" customHeight="1">
      <c r="B39" s="17"/>
      <c r="C39" s="12"/>
      <c r="D39" s="12"/>
      <c r="E39" s="9"/>
      <c r="F39" s="12" t="s">
        <v>95</v>
      </c>
      <c r="G39" s="20">
        <v>10</v>
      </c>
      <c r="H39" s="20">
        <v>10</v>
      </c>
      <c r="I39" s="20">
        <v>9</v>
      </c>
      <c r="J39" s="154"/>
    </row>
    <row r="40" spans="2:10" ht="12.75" customHeight="1">
      <c r="B40" s="17"/>
      <c r="C40" s="12"/>
      <c r="D40" s="12"/>
      <c r="E40" s="9"/>
      <c r="F40" s="12" t="s">
        <v>116</v>
      </c>
      <c r="G40" s="20">
        <f>G7+G13+G17+G29+G34</f>
        <v>337800</v>
      </c>
      <c r="H40" s="20">
        <f>H7+H13+H17+H29+H34</f>
        <v>337800</v>
      </c>
      <c r="I40" s="20">
        <f>I7+I13+I17+I29+I34</f>
        <v>311005</v>
      </c>
      <c r="J40" s="153">
        <f t="shared" si="0"/>
        <v>92.06779159265838</v>
      </c>
    </row>
    <row r="41" spans="2:10" s="1" customFormat="1" ht="12.75" customHeight="1">
      <c r="B41" s="17"/>
      <c r="C41" s="12"/>
      <c r="D41" s="12"/>
      <c r="E41" s="9"/>
      <c r="F41" s="12" t="s">
        <v>96</v>
      </c>
      <c r="G41" s="20">
        <f aca="true" t="shared" si="1" ref="G41:I42">G40</f>
        <v>337800</v>
      </c>
      <c r="H41" s="20">
        <f t="shared" si="1"/>
        <v>337800</v>
      </c>
      <c r="I41" s="20">
        <f t="shared" si="1"/>
        <v>311005</v>
      </c>
      <c r="J41" s="153">
        <f t="shared" si="0"/>
        <v>92.06779159265838</v>
      </c>
    </row>
    <row r="42" spans="2:10" s="1" customFormat="1" ht="12.75" customHeight="1">
      <c r="B42" s="17"/>
      <c r="C42" s="12"/>
      <c r="D42" s="12"/>
      <c r="E42" s="9"/>
      <c r="F42" s="12" t="s">
        <v>97</v>
      </c>
      <c r="G42" s="20">
        <f t="shared" si="1"/>
        <v>337800</v>
      </c>
      <c r="H42" s="20">
        <f t="shared" si="1"/>
        <v>337800</v>
      </c>
      <c r="I42" s="20">
        <f t="shared" si="1"/>
        <v>311005</v>
      </c>
      <c r="J42" s="153">
        <f t="shared" si="0"/>
        <v>92.06779159265838</v>
      </c>
    </row>
    <row r="43" spans="2:10" s="1" customFormat="1" ht="12.75" customHeight="1" thickBot="1">
      <c r="B43" s="21"/>
      <c r="C43" s="22"/>
      <c r="D43" s="22"/>
      <c r="E43" s="23"/>
      <c r="F43" s="22"/>
      <c r="G43" s="36"/>
      <c r="H43" s="50"/>
      <c r="I43" s="173"/>
      <c r="J43" s="172"/>
    </row>
    <row r="44" spans="2:10" s="1" customFormat="1" ht="12.75" customHeight="1">
      <c r="B44" s="13"/>
      <c r="C44" s="13"/>
      <c r="D44" s="13"/>
      <c r="E44" s="24"/>
      <c r="F44" s="13"/>
      <c r="G44" s="13"/>
      <c r="H44" s="81"/>
      <c r="I44" s="89"/>
      <c r="J44" s="149"/>
    </row>
    <row r="45" spans="2:8" ht="12.75" customHeight="1">
      <c r="B45" s="83"/>
      <c r="H45" s="81"/>
    </row>
    <row r="46" ht="12.75">
      <c r="B46" s="83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B2:L52"/>
  <sheetViews>
    <sheetView workbookViewId="0" topLeftCell="A10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159</v>
      </c>
      <c r="C2" s="452"/>
      <c r="D2" s="452"/>
      <c r="E2" s="452"/>
      <c r="F2" s="452"/>
      <c r="G2" s="452"/>
      <c r="H2" s="452"/>
      <c r="I2" s="290"/>
      <c r="J2" s="291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160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479350</v>
      </c>
      <c r="H7" s="20">
        <f>SUM(H8:H11)</f>
        <v>479350</v>
      </c>
      <c r="I7" s="20">
        <f>SUM(I8:I11)</f>
        <v>475189</v>
      </c>
      <c r="J7" s="153">
        <f aca="true" t="shared" si="0" ref="J7:J44">IF(H7=0,"",I7/H7*100)</f>
        <v>99.13194951496818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391200+2600</f>
        <v>393800</v>
      </c>
      <c r="H8" s="46">
        <f>391200+2600</f>
        <v>393800</v>
      </c>
      <c r="I8" s="46">
        <v>392242</v>
      </c>
      <c r="J8" s="154">
        <f t="shared" si="0"/>
        <v>99.60436769933978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69900+2500+800+16*240</f>
        <v>77040</v>
      </c>
      <c r="H9" s="46">
        <f>69900+2500+800+16*240</f>
        <v>77040</v>
      </c>
      <c r="I9" s="46">
        <v>74443</v>
      </c>
      <c r="J9" s="154">
        <f t="shared" si="0"/>
        <v>96.62902388369679</v>
      </c>
    </row>
    <row r="10" spans="2:12" ht="12.75" customHeight="1">
      <c r="B10" s="14"/>
      <c r="C10" s="15"/>
      <c r="D10" s="15"/>
      <c r="E10" s="16">
        <v>611200</v>
      </c>
      <c r="F10" s="366" t="s">
        <v>683</v>
      </c>
      <c r="G10" s="84">
        <v>8510</v>
      </c>
      <c r="H10" s="84">
        <v>8510</v>
      </c>
      <c r="I10" s="84">
        <v>8504</v>
      </c>
      <c r="J10" s="154">
        <f t="shared" si="0"/>
        <v>99.9294947121034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42200</v>
      </c>
      <c r="H13" s="20">
        <f>H14</f>
        <v>42200</v>
      </c>
      <c r="I13" s="20">
        <f>I14</f>
        <v>41398</v>
      </c>
      <c r="J13" s="153">
        <f t="shared" si="0"/>
        <v>98.0995260663507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f>41900+300</f>
        <v>42200</v>
      </c>
      <c r="H14" s="46">
        <f>41900+300</f>
        <v>42200</v>
      </c>
      <c r="I14" s="46">
        <v>41398</v>
      </c>
      <c r="J14" s="154">
        <f t="shared" si="0"/>
        <v>98.0995260663507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122710</v>
      </c>
      <c r="H17" s="51">
        <f>SUM(H18:H27)</f>
        <v>122710</v>
      </c>
      <c r="I17" s="51">
        <f>SUM(I18:I27)</f>
        <v>87104</v>
      </c>
      <c r="J17" s="153">
        <f t="shared" si="0"/>
        <v>70.98361991687719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4000</v>
      </c>
      <c r="H18" s="46">
        <v>4000</v>
      </c>
      <c r="I18" s="46">
        <v>3702</v>
      </c>
      <c r="J18" s="154">
        <f t="shared" si="0"/>
        <v>92.55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26000</v>
      </c>
      <c r="H19" s="46">
        <v>26000</v>
      </c>
      <c r="I19" s="46">
        <v>22424</v>
      </c>
      <c r="J19" s="154">
        <f t="shared" si="0"/>
        <v>86.24615384615385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17000</v>
      </c>
      <c r="H20" s="46">
        <v>17000</v>
      </c>
      <c r="I20" s="46">
        <v>10592</v>
      </c>
      <c r="J20" s="154">
        <f t="shared" si="0"/>
        <v>62.305882352941175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6500</v>
      </c>
      <c r="H21" s="46">
        <f>6500+860</f>
        <v>7360</v>
      </c>
      <c r="I21" s="46">
        <v>7358</v>
      </c>
      <c r="J21" s="154">
        <f t="shared" si="0"/>
        <v>99.97282608695653</v>
      </c>
    </row>
    <row r="22" spans="2:11" ht="12.75" customHeight="1">
      <c r="B22" s="14"/>
      <c r="C22" s="15"/>
      <c r="D22" s="15"/>
      <c r="E22" s="16">
        <v>613500</v>
      </c>
      <c r="F22" s="15" t="s">
        <v>88</v>
      </c>
      <c r="G22" s="118">
        <v>4600</v>
      </c>
      <c r="H22" s="118">
        <v>4600</v>
      </c>
      <c r="I22" s="118">
        <v>3796</v>
      </c>
      <c r="J22" s="154">
        <f t="shared" si="0"/>
        <v>82.52173913043478</v>
      </c>
      <c r="K22" s="83"/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118">
        <v>5000</v>
      </c>
      <c r="H24" s="118">
        <f>5000+850</f>
        <v>5850</v>
      </c>
      <c r="I24" s="118">
        <v>5844</v>
      </c>
      <c r="J24" s="154">
        <f t="shared" si="0"/>
        <v>99.8974358974359</v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1900</v>
      </c>
      <c r="H25" s="118">
        <f>1900+50</f>
        <v>1950</v>
      </c>
      <c r="I25" s="118">
        <v>1946</v>
      </c>
      <c r="J25" s="154">
        <f t="shared" si="0"/>
        <v>99.7948717948718</v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118">
        <v>50000</v>
      </c>
      <c r="H26" s="118">
        <f>50000-1760</f>
        <v>48240</v>
      </c>
      <c r="I26" s="118">
        <v>23737</v>
      </c>
      <c r="J26" s="154">
        <f t="shared" si="0"/>
        <v>49.206053067993366</v>
      </c>
    </row>
    <row r="27" spans="2:10" ht="12.75" customHeight="1">
      <c r="B27" s="14"/>
      <c r="C27" s="15"/>
      <c r="D27" s="15"/>
      <c r="E27" s="16">
        <v>613900</v>
      </c>
      <c r="F27" s="366" t="s">
        <v>684</v>
      </c>
      <c r="G27" s="118">
        <v>7710</v>
      </c>
      <c r="H27" s="118">
        <v>7710</v>
      </c>
      <c r="I27" s="118">
        <v>7705</v>
      </c>
      <c r="J27" s="154">
        <f t="shared" si="0"/>
        <v>99.93514915693905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3000</v>
      </c>
      <c r="H36" s="109">
        <f>SUM(H37:H39)</f>
        <v>3000</v>
      </c>
      <c r="I36" s="109">
        <f>SUM(I37:I39)</f>
        <v>2997</v>
      </c>
      <c r="J36" s="153">
        <f t="shared" si="0"/>
        <v>99.9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3000</v>
      </c>
      <c r="H38" s="118">
        <v>3000</v>
      </c>
      <c r="I38" s="118">
        <v>2997</v>
      </c>
      <c r="J38" s="154">
        <f t="shared" si="0"/>
        <v>99.9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16</v>
      </c>
      <c r="H41" s="20">
        <v>16</v>
      </c>
      <c r="I41" s="20">
        <v>16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647260</v>
      </c>
      <c r="H42" s="20">
        <f>H7+H13+H17+H36</f>
        <v>647260</v>
      </c>
      <c r="I42" s="20">
        <f>I7+I13+I17+I36</f>
        <v>606688</v>
      </c>
      <c r="J42" s="153">
        <f t="shared" si="0"/>
        <v>93.73173068009764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647260</v>
      </c>
      <c r="H43" s="20">
        <f t="shared" si="1"/>
        <v>647260</v>
      </c>
      <c r="I43" s="20">
        <f t="shared" si="1"/>
        <v>606688</v>
      </c>
      <c r="J43" s="153">
        <f t="shared" si="0"/>
        <v>93.73173068009764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647260</v>
      </c>
      <c r="H44" s="20">
        <f t="shared" si="1"/>
        <v>647260</v>
      </c>
      <c r="I44" s="20">
        <f t="shared" si="1"/>
        <v>606688</v>
      </c>
      <c r="J44" s="153">
        <f t="shared" si="0"/>
        <v>93.73173068009764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2:L212"/>
  <sheetViews>
    <sheetView workbookViewId="0" topLeftCell="B1">
      <selection activeCell="E192" sqref="E192"/>
    </sheetView>
  </sheetViews>
  <sheetFormatPr defaultColWidth="9.140625" defaultRowHeight="12.75"/>
  <cols>
    <col min="1" max="1" width="0.42578125" style="0" hidden="1" customWidth="1"/>
    <col min="2" max="2" width="13.28125" style="57" customWidth="1"/>
    <col min="3" max="3" width="64.57421875" style="0" customWidth="1"/>
    <col min="4" max="5" width="15.28125" style="0" customWidth="1"/>
    <col min="6" max="6" width="8.57421875" style="0" customWidth="1"/>
    <col min="7" max="7" width="11.00390625" style="0" customWidth="1"/>
    <col min="8" max="8" width="15.7109375" style="0" customWidth="1"/>
    <col min="9" max="9" width="17.28125" style="0" customWidth="1"/>
    <col min="10" max="10" width="15.28125" style="0" customWidth="1"/>
    <col min="11" max="11" width="13.140625" style="0" bestFit="1" customWidth="1"/>
  </cols>
  <sheetData>
    <row r="2" spans="2:6" ht="18.75" thickBot="1">
      <c r="B2" s="438" t="s">
        <v>77</v>
      </c>
      <c r="C2" s="438"/>
      <c r="D2" s="438"/>
      <c r="E2" s="439"/>
      <c r="F2" s="439"/>
    </row>
    <row r="3" spans="2:7" ht="76.5" customHeight="1">
      <c r="B3" s="85" t="s">
        <v>190</v>
      </c>
      <c r="C3" s="86" t="s">
        <v>82</v>
      </c>
      <c r="D3" s="140" t="s">
        <v>544</v>
      </c>
      <c r="E3" s="140" t="s">
        <v>748</v>
      </c>
      <c r="F3" s="44" t="s">
        <v>322</v>
      </c>
      <c r="G3" s="288"/>
    </row>
    <row r="4" spans="2:12" ht="12.75" customHeight="1">
      <c r="B4" s="257">
        <v>1</v>
      </c>
      <c r="C4" s="258">
        <v>2</v>
      </c>
      <c r="D4" s="258">
        <v>3</v>
      </c>
      <c r="E4" s="321">
        <v>4</v>
      </c>
      <c r="F4" s="322">
        <v>5</v>
      </c>
      <c r="H4" s="323"/>
      <c r="I4" s="323"/>
      <c r="J4" s="323"/>
      <c r="K4" s="323"/>
      <c r="L4" s="323"/>
    </row>
    <row r="5" spans="2:12" s="54" customFormat="1" ht="17.25" customHeight="1">
      <c r="B5" s="375">
        <v>710000</v>
      </c>
      <c r="C5" s="376" t="s">
        <v>189</v>
      </c>
      <c r="D5" s="377">
        <f>D6+D14+D18+D26+D36+D45+D49</f>
        <v>34190490</v>
      </c>
      <c r="E5" s="377">
        <f>E6+E14+E18+E26+E36+E45+E49</f>
        <v>34947334</v>
      </c>
      <c r="F5" s="351">
        <f>IF(D5=0,"",E5/D5*100)</f>
        <v>102.2136096908819</v>
      </c>
      <c r="G5" s="225"/>
      <c r="H5" s="324"/>
      <c r="I5" s="325"/>
      <c r="J5" s="325"/>
      <c r="K5" s="325"/>
      <c r="L5" s="325"/>
    </row>
    <row r="6" spans="2:12" s="207" customFormat="1" ht="15" customHeight="1">
      <c r="B6" s="378">
        <v>711000</v>
      </c>
      <c r="C6" s="379" t="s">
        <v>194</v>
      </c>
      <c r="D6" s="380">
        <f>D7+D11</f>
        <v>2421450</v>
      </c>
      <c r="E6" s="380">
        <f>E7+E11</f>
        <v>2525727</v>
      </c>
      <c r="F6" s="352">
        <f>IF(D6=0,"",E6/D6*100)</f>
        <v>104.30638666914452</v>
      </c>
      <c r="G6" s="206"/>
      <c r="H6" s="326"/>
      <c r="I6" s="326"/>
      <c r="J6" s="327"/>
      <c r="K6" s="328"/>
      <c r="L6" s="328"/>
    </row>
    <row r="7" spans="2:12" s="207" customFormat="1" ht="15" customHeight="1">
      <c r="B7" s="208">
        <v>711100</v>
      </c>
      <c r="C7" s="209" t="s">
        <v>338</v>
      </c>
      <c r="D7" s="204">
        <f>SUM(D8:D10)</f>
        <v>3420</v>
      </c>
      <c r="E7" s="204">
        <f>SUM(E8:E10)</f>
        <v>3136</v>
      </c>
      <c r="F7" s="221">
        <f>IF(D7=0,"",E7/D7*100)</f>
        <v>91.69590643274854</v>
      </c>
      <c r="G7" s="206"/>
      <c r="H7" s="326"/>
      <c r="I7" s="328"/>
      <c r="J7" s="328"/>
      <c r="K7" s="328"/>
      <c r="L7" s="328"/>
    </row>
    <row r="8" spans="2:12" ht="15" customHeight="1">
      <c r="B8" s="203">
        <v>711111</v>
      </c>
      <c r="C8" s="329" t="s">
        <v>339</v>
      </c>
      <c r="D8" s="94">
        <v>3200</v>
      </c>
      <c r="E8" s="94">
        <v>2954</v>
      </c>
      <c r="F8" s="212">
        <f>IF(D8=0,"",E8/D8*100)</f>
        <v>92.3125</v>
      </c>
      <c r="G8" s="103"/>
      <c r="H8" s="330"/>
      <c r="I8" s="323"/>
      <c r="J8" s="323"/>
      <c r="K8" s="323"/>
      <c r="L8" s="323"/>
    </row>
    <row r="9" spans="2:12" ht="15" customHeight="1">
      <c r="B9" s="203">
        <v>711114</v>
      </c>
      <c r="C9" s="329" t="s">
        <v>630</v>
      </c>
      <c r="D9" s="94">
        <v>80</v>
      </c>
      <c r="E9" s="94">
        <v>62</v>
      </c>
      <c r="F9" s="212">
        <f>IF(D9=0,"",E9/D9*100)</f>
        <v>77.5</v>
      </c>
      <c r="G9" s="103"/>
      <c r="H9" s="330"/>
      <c r="I9" s="323"/>
      <c r="J9" s="323"/>
      <c r="K9" s="323"/>
      <c r="L9" s="323"/>
    </row>
    <row r="10" spans="2:9" ht="15" customHeight="1">
      <c r="B10" s="203">
        <v>711115</v>
      </c>
      <c r="C10" s="329" t="s">
        <v>340</v>
      </c>
      <c r="D10" s="268">
        <v>140</v>
      </c>
      <c r="E10" s="268">
        <v>120</v>
      </c>
      <c r="F10" s="212">
        <f aca="true" t="shared" si="0" ref="F10:F73">IF(D10=0,"",E10/D10*100)</f>
        <v>85.71428571428571</v>
      </c>
      <c r="G10" s="103"/>
      <c r="H10" s="330"/>
      <c r="I10" s="323"/>
    </row>
    <row r="11" spans="2:9" s="207" customFormat="1" ht="15" customHeight="1">
      <c r="B11" s="208">
        <v>711200</v>
      </c>
      <c r="C11" s="209" t="s">
        <v>343</v>
      </c>
      <c r="D11" s="204">
        <f>SUM(D12:D13)</f>
        <v>2418030</v>
      </c>
      <c r="E11" s="204">
        <f>SUM(E12:E13)</f>
        <v>2522591</v>
      </c>
      <c r="F11" s="221">
        <f t="shared" si="0"/>
        <v>104.32422261096843</v>
      </c>
      <c r="G11" s="206"/>
      <c r="H11" s="330"/>
      <c r="I11" s="323"/>
    </row>
    <row r="12" spans="2:9" ht="15" customHeight="1">
      <c r="B12" s="203">
        <v>711211</v>
      </c>
      <c r="C12" s="329" t="s">
        <v>341</v>
      </c>
      <c r="D12" s="268">
        <v>2312230</v>
      </c>
      <c r="E12" s="268">
        <v>2426836</v>
      </c>
      <c r="F12" s="212">
        <f t="shared" si="0"/>
        <v>104.9565138416161</v>
      </c>
      <c r="G12" s="103"/>
      <c r="H12" s="330"/>
      <c r="I12" s="323"/>
    </row>
    <row r="13" spans="2:9" ht="15" customHeight="1">
      <c r="B13" s="203">
        <v>711212</v>
      </c>
      <c r="C13" s="329" t="s">
        <v>342</v>
      </c>
      <c r="D13" s="268">
        <v>105800</v>
      </c>
      <c r="E13" s="268">
        <v>95755</v>
      </c>
      <c r="F13" s="212">
        <f t="shared" si="0"/>
        <v>90.50567107750473</v>
      </c>
      <c r="G13" s="103"/>
      <c r="H13" s="330"/>
      <c r="I13" s="323"/>
    </row>
    <row r="14" spans="2:8" s="207" customFormat="1" ht="15" customHeight="1">
      <c r="B14" s="378">
        <v>713000</v>
      </c>
      <c r="C14" s="381" t="s">
        <v>344</v>
      </c>
      <c r="D14" s="380">
        <f>D15</f>
        <v>3340</v>
      </c>
      <c r="E14" s="380">
        <f>E15</f>
        <v>20684</v>
      </c>
      <c r="F14" s="352">
        <f t="shared" si="0"/>
        <v>619.2814371257485</v>
      </c>
      <c r="G14" s="206"/>
      <c r="H14" s="210"/>
    </row>
    <row r="15" spans="2:7" s="207" customFormat="1" ht="15" customHeight="1">
      <c r="B15" s="208">
        <v>713100</v>
      </c>
      <c r="C15" s="223" t="s">
        <v>449</v>
      </c>
      <c r="D15" s="224">
        <f>SUM(D16:D17)</f>
        <v>3340</v>
      </c>
      <c r="E15" s="224">
        <f>SUM(E16:E17)</f>
        <v>20684</v>
      </c>
      <c r="F15" s="221">
        <f t="shared" si="0"/>
        <v>619.2814371257485</v>
      </c>
      <c r="G15" s="206"/>
    </row>
    <row r="16" spans="2:7" ht="15" customHeight="1">
      <c r="B16" s="203">
        <v>713111</v>
      </c>
      <c r="C16" s="329" t="s">
        <v>345</v>
      </c>
      <c r="D16" s="94">
        <v>3150</v>
      </c>
      <c r="E16" s="94">
        <v>2923</v>
      </c>
      <c r="F16" s="212">
        <f t="shared" si="0"/>
        <v>92.7936507936508</v>
      </c>
      <c r="G16" s="103"/>
    </row>
    <row r="17" spans="2:7" ht="15" customHeight="1">
      <c r="B17" s="203">
        <v>713113</v>
      </c>
      <c r="C17" s="329" t="s">
        <v>346</v>
      </c>
      <c r="D17" s="94">
        <v>190</v>
      </c>
      <c r="E17" s="94">
        <v>17761</v>
      </c>
      <c r="F17" s="212">
        <f t="shared" si="0"/>
        <v>9347.894736842105</v>
      </c>
      <c r="G17" s="103"/>
    </row>
    <row r="18" spans="2:8" s="207" customFormat="1" ht="15" customHeight="1">
      <c r="B18" s="378">
        <v>714000</v>
      </c>
      <c r="C18" s="381" t="s">
        <v>195</v>
      </c>
      <c r="D18" s="380">
        <f>D19</f>
        <v>277530</v>
      </c>
      <c r="E18" s="380">
        <f>E19</f>
        <v>281088</v>
      </c>
      <c r="F18" s="352">
        <f t="shared" si="0"/>
        <v>101.28202356502001</v>
      </c>
      <c r="G18" s="206"/>
      <c r="H18" s="206"/>
    </row>
    <row r="19" spans="2:7" s="207" customFormat="1" ht="15" customHeight="1">
      <c r="B19" s="208">
        <v>714100</v>
      </c>
      <c r="C19" s="223" t="s">
        <v>448</v>
      </c>
      <c r="D19" s="224">
        <f>SUM(D20:D25)</f>
        <v>277530</v>
      </c>
      <c r="E19" s="224">
        <f>SUM(E20:E25)</f>
        <v>281088</v>
      </c>
      <c r="F19" s="221">
        <f t="shared" si="0"/>
        <v>101.28202356502001</v>
      </c>
      <c r="G19" s="206"/>
    </row>
    <row r="20" spans="2:8" ht="15" customHeight="1">
      <c r="B20" s="203">
        <v>714111</v>
      </c>
      <c r="C20" s="329" t="s">
        <v>347</v>
      </c>
      <c r="D20" s="94">
        <v>42860</v>
      </c>
      <c r="E20" s="94">
        <v>40671</v>
      </c>
      <c r="F20" s="212">
        <f t="shared" si="0"/>
        <v>94.89267382174522</v>
      </c>
      <c r="G20" s="103"/>
      <c r="H20" s="103"/>
    </row>
    <row r="21" spans="2:7" ht="15" customHeight="1">
      <c r="B21" s="203">
        <v>714112</v>
      </c>
      <c r="C21" s="329" t="s">
        <v>348</v>
      </c>
      <c r="D21" s="268">
        <v>6430</v>
      </c>
      <c r="E21" s="268">
        <v>5688</v>
      </c>
      <c r="F21" s="212">
        <f t="shared" si="0"/>
        <v>88.46034214618975</v>
      </c>
      <c r="G21" s="103"/>
    </row>
    <row r="22" spans="2:7" ht="15" customHeight="1">
      <c r="B22" s="203">
        <v>714113</v>
      </c>
      <c r="C22" s="329" t="s">
        <v>349</v>
      </c>
      <c r="D22" s="94">
        <v>50</v>
      </c>
      <c r="E22" s="94">
        <v>0</v>
      </c>
      <c r="F22" s="212">
        <f t="shared" si="0"/>
        <v>0</v>
      </c>
      <c r="G22" s="103"/>
    </row>
    <row r="23" spans="2:7" ht="15" customHeight="1">
      <c r="B23" s="203">
        <v>714121</v>
      </c>
      <c r="C23" s="329" t="s">
        <v>350</v>
      </c>
      <c r="D23" s="268">
        <v>15300</v>
      </c>
      <c r="E23" s="268">
        <v>16546</v>
      </c>
      <c r="F23" s="212">
        <f t="shared" si="0"/>
        <v>108.14379084967321</v>
      </c>
      <c r="G23" s="103"/>
    </row>
    <row r="24" spans="2:7" ht="15" customHeight="1">
      <c r="B24" s="203">
        <v>714131</v>
      </c>
      <c r="C24" s="329" t="s">
        <v>351</v>
      </c>
      <c r="D24" s="268">
        <v>116440</v>
      </c>
      <c r="E24" s="268">
        <v>121374</v>
      </c>
      <c r="F24" s="212">
        <f t="shared" si="0"/>
        <v>104.23737547234629</v>
      </c>
      <c r="G24" s="103"/>
    </row>
    <row r="25" spans="2:7" ht="15" customHeight="1">
      <c r="B25" s="203">
        <v>714132</v>
      </c>
      <c r="C25" s="329" t="s">
        <v>352</v>
      </c>
      <c r="D25" s="94">
        <v>96450</v>
      </c>
      <c r="E25" s="94">
        <v>96809</v>
      </c>
      <c r="F25" s="212">
        <f t="shared" si="0"/>
        <v>100.37221358216692</v>
      </c>
      <c r="G25" s="103"/>
    </row>
    <row r="26" spans="2:8" s="207" customFormat="1" ht="25.5" customHeight="1">
      <c r="B26" s="378">
        <v>715000</v>
      </c>
      <c r="C26" s="379" t="s">
        <v>353</v>
      </c>
      <c r="D26" s="380">
        <f>D27+D32+D34</f>
        <v>5090</v>
      </c>
      <c r="E26" s="380">
        <f>E27+E32+E34</f>
        <v>4993</v>
      </c>
      <c r="F26" s="352">
        <f t="shared" si="0"/>
        <v>98.09430255402751</v>
      </c>
      <c r="G26" s="206"/>
      <c r="H26" s="210"/>
    </row>
    <row r="27" spans="2:7" s="207" customFormat="1" ht="26.25" customHeight="1">
      <c r="B27" s="208">
        <v>715100</v>
      </c>
      <c r="C27" s="331" t="s">
        <v>357</v>
      </c>
      <c r="D27" s="204">
        <f>SUM(D28:D31)</f>
        <v>1480</v>
      </c>
      <c r="E27" s="204">
        <f>SUM(E28:E31)</f>
        <v>1484</v>
      </c>
      <c r="F27" s="221">
        <f t="shared" si="0"/>
        <v>100.27027027027027</v>
      </c>
      <c r="G27" s="206"/>
    </row>
    <row r="28" spans="2:7" ht="15" customHeight="1">
      <c r="B28" s="203">
        <v>715131</v>
      </c>
      <c r="C28" s="329" t="s">
        <v>354</v>
      </c>
      <c r="D28" s="94">
        <v>180</v>
      </c>
      <c r="E28" s="94">
        <v>167</v>
      </c>
      <c r="F28" s="212">
        <f t="shared" si="0"/>
        <v>92.77777777777779</v>
      </c>
      <c r="G28" s="103"/>
    </row>
    <row r="29" spans="2:7" ht="15" customHeight="1">
      <c r="B29" s="203">
        <v>715132</v>
      </c>
      <c r="C29" s="329" t="s">
        <v>631</v>
      </c>
      <c r="D29" s="94">
        <v>50</v>
      </c>
      <c r="E29" s="94">
        <v>0</v>
      </c>
      <c r="F29" s="212">
        <f t="shared" si="0"/>
        <v>0</v>
      </c>
      <c r="G29" s="103"/>
    </row>
    <row r="30" spans="2:7" ht="15" customHeight="1">
      <c r="B30" s="203">
        <v>715137</v>
      </c>
      <c r="C30" s="329" t="s">
        <v>355</v>
      </c>
      <c r="D30" s="94">
        <v>50</v>
      </c>
      <c r="E30" s="94">
        <v>0</v>
      </c>
      <c r="F30" s="212">
        <f t="shared" si="0"/>
        <v>0</v>
      </c>
      <c r="G30" s="103"/>
    </row>
    <row r="31" spans="2:7" ht="15" customHeight="1">
      <c r="B31" s="203">
        <v>715141</v>
      </c>
      <c r="C31" s="329" t="s">
        <v>356</v>
      </c>
      <c r="D31" s="94">
        <v>1200</v>
      </c>
      <c r="E31" s="94">
        <v>1317</v>
      </c>
      <c r="F31" s="212">
        <f t="shared" si="0"/>
        <v>109.74999999999999</v>
      </c>
      <c r="G31" s="103"/>
    </row>
    <row r="32" spans="2:7" s="207" customFormat="1" ht="15" customHeight="1">
      <c r="B32" s="208">
        <v>715200</v>
      </c>
      <c r="C32" s="332" t="s">
        <v>358</v>
      </c>
      <c r="D32" s="204">
        <f>D33</f>
        <v>2010</v>
      </c>
      <c r="E32" s="204">
        <f>E33</f>
        <v>2089</v>
      </c>
      <c r="F32" s="221">
        <f t="shared" si="0"/>
        <v>103.93034825870646</v>
      </c>
      <c r="G32" s="206"/>
    </row>
    <row r="33" spans="2:10" ht="15" customHeight="1">
      <c r="B33" s="203">
        <v>715211</v>
      </c>
      <c r="C33" s="329" t="s">
        <v>359</v>
      </c>
      <c r="D33" s="94">
        <v>2010</v>
      </c>
      <c r="E33" s="94">
        <v>2089</v>
      </c>
      <c r="F33" s="212">
        <f t="shared" si="0"/>
        <v>103.93034825870646</v>
      </c>
      <c r="G33" s="103"/>
      <c r="H33" s="323"/>
      <c r="I33" s="323"/>
      <c r="J33" s="323"/>
    </row>
    <row r="34" spans="2:10" s="207" customFormat="1" ht="15" customHeight="1">
      <c r="B34" s="208">
        <v>715900</v>
      </c>
      <c r="C34" s="332" t="s">
        <v>360</v>
      </c>
      <c r="D34" s="204">
        <f>D35</f>
        <v>1600</v>
      </c>
      <c r="E34" s="204">
        <f>E35</f>
        <v>1420</v>
      </c>
      <c r="F34" s="221">
        <f t="shared" si="0"/>
        <v>88.75</v>
      </c>
      <c r="G34" s="206"/>
      <c r="H34" s="328"/>
      <c r="I34" s="328"/>
      <c r="J34" s="328"/>
    </row>
    <row r="35" spans="2:10" ht="27" customHeight="1">
      <c r="B35" s="203">
        <v>715914</v>
      </c>
      <c r="C35" s="333" t="s">
        <v>361</v>
      </c>
      <c r="D35" s="268">
        <v>1600</v>
      </c>
      <c r="E35" s="268">
        <v>1420</v>
      </c>
      <c r="F35" s="212">
        <f t="shared" si="0"/>
        <v>88.75</v>
      </c>
      <c r="G35" s="103"/>
      <c r="H35" s="323"/>
      <c r="I35" s="323"/>
      <c r="J35" s="323"/>
    </row>
    <row r="36" spans="2:11" s="207" customFormat="1" ht="15" customHeight="1">
      <c r="B36" s="378">
        <v>716000</v>
      </c>
      <c r="C36" s="381" t="s">
        <v>196</v>
      </c>
      <c r="D36" s="380">
        <f>D37</f>
        <v>2535470</v>
      </c>
      <c r="E36" s="380">
        <f>E37</f>
        <v>2741015</v>
      </c>
      <c r="F36" s="352">
        <f t="shared" si="0"/>
        <v>108.1067809912955</v>
      </c>
      <c r="G36" s="206"/>
      <c r="H36" s="334"/>
      <c r="I36" s="335"/>
      <c r="J36" s="336"/>
      <c r="K36" s="337"/>
    </row>
    <row r="37" spans="2:11" s="207" customFormat="1" ht="15" customHeight="1">
      <c r="B37" s="208">
        <v>716100</v>
      </c>
      <c r="C37" s="332" t="s">
        <v>362</v>
      </c>
      <c r="D37" s="204">
        <f>SUM(D38:D44)</f>
        <v>2535470</v>
      </c>
      <c r="E37" s="204">
        <f>SUM(E38:E44)</f>
        <v>2741015</v>
      </c>
      <c r="F37" s="221">
        <f t="shared" si="0"/>
        <v>108.1067809912955</v>
      </c>
      <c r="G37" s="206"/>
      <c r="H37" s="334"/>
      <c r="I37" s="335"/>
      <c r="J37" s="335"/>
      <c r="K37" s="338"/>
    </row>
    <row r="38" spans="2:11" ht="15" customHeight="1">
      <c r="B38" s="203">
        <v>716111</v>
      </c>
      <c r="C38" s="329" t="s">
        <v>364</v>
      </c>
      <c r="D38" s="268">
        <v>1538780</v>
      </c>
      <c r="E38" s="268">
        <v>1619684</v>
      </c>
      <c r="F38" s="212">
        <f t="shared" si="0"/>
        <v>105.25767166196599</v>
      </c>
      <c r="G38" s="103"/>
      <c r="H38" s="269"/>
      <c r="I38" s="335"/>
      <c r="J38" s="335"/>
      <c r="K38" s="338"/>
    </row>
    <row r="39" spans="2:11" ht="15" customHeight="1">
      <c r="B39" s="203">
        <v>716112</v>
      </c>
      <c r="C39" s="329" t="s">
        <v>365</v>
      </c>
      <c r="D39" s="268">
        <v>62370</v>
      </c>
      <c r="E39" s="268">
        <v>87815</v>
      </c>
      <c r="F39" s="212">
        <f t="shared" si="0"/>
        <v>140.79685746352413</v>
      </c>
      <c r="G39" s="103"/>
      <c r="H39" s="269"/>
      <c r="I39" s="335"/>
      <c r="J39" s="335"/>
      <c r="K39" s="338"/>
    </row>
    <row r="40" spans="2:11" ht="15" customHeight="1">
      <c r="B40" s="203">
        <v>716113</v>
      </c>
      <c r="C40" s="329" t="s">
        <v>366</v>
      </c>
      <c r="D40" s="268">
        <v>302890</v>
      </c>
      <c r="E40" s="268">
        <v>332412</v>
      </c>
      <c r="F40" s="212">
        <f t="shared" si="0"/>
        <v>109.74677275578593</v>
      </c>
      <c r="G40" s="103"/>
      <c r="H40" s="269"/>
      <c r="I40" s="335"/>
      <c r="J40" s="335"/>
      <c r="K40" s="338"/>
    </row>
    <row r="41" spans="2:10" ht="15" customHeight="1">
      <c r="B41" s="203">
        <v>716114</v>
      </c>
      <c r="C41" s="329" t="s">
        <v>367</v>
      </c>
      <c r="D41" s="268">
        <v>50</v>
      </c>
      <c r="E41" s="268">
        <v>0</v>
      </c>
      <c r="F41" s="212">
        <f t="shared" si="0"/>
        <v>0</v>
      </c>
      <c r="G41" s="103"/>
      <c r="H41" s="269"/>
      <c r="I41" s="335"/>
      <c r="J41" s="323"/>
    </row>
    <row r="42" spans="2:9" ht="25.5" customHeight="1">
      <c r="B42" s="203">
        <v>716115</v>
      </c>
      <c r="C42" s="333" t="s">
        <v>368</v>
      </c>
      <c r="D42" s="268">
        <v>245470</v>
      </c>
      <c r="E42" s="268">
        <v>268557</v>
      </c>
      <c r="F42" s="212">
        <f t="shared" si="0"/>
        <v>109.40522263413044</v>
      </c>
      <c r="G42" s="103"/>
      <c r="H42" s="269"/>
      <c r="I42" s="335"/>
    </row>
    <row r="43" spans="2:9" ht="15" customHeight="1">
      <c r="B43" s="203">
        <v>716116</v>
      </c>
      <c r="C43" s="329" t="s">
        <v>369</v>
      </c>
      <c r="D43" s="268">
        <v>240480</v>
      </c>
      <c r="E43" s="268">
        <v>285018</v>
      </c>
      <c r="F43" s="212">
        <f t="shared" si="0"/>
        <v>118.52045908183632</v>
      </c>
      <c r="G43" s="103"/>
      <c r="H43" s="269"/>
      <c r="I43" s="335"/>
    </row>
    <row r="44" spans="2:9" ht="15" customHeight="1">
      <c r="B44" s="203">
        <v>716117</v>
      </c>
      <c r="C44" s="329" t="s">
        <v>363</v>
      </c>
      <c r="D44" s="268">
        <v>145430</v>
      </c>
      <c r="E44" s="268">
        <v>147529</v>
      </c>
      <c r="F44" s="212">
        <f t="shared" si="0"/>
        <v>101.44330605789726</v>
      </c>
      <c r="G44" s="103"/>
      <c r="H44" s="269"/>
      <c r="I44" s="335"/>
    </row>
    <row r="45" spans="2:9" s="207" customFormat="1" ht="15" customHeight="1">
      <c r="B45" s="378">
        <v>717000</v>
      </c>
      <c r="C45" s="381" t="s">
        <v>197</v>
      </c>
      <c r="D45" s="380">
        <f>D46</f>
        <v>28947500</v>
      </c>
      <c r="E45" s="380">
        <f>E46</f>
        <v>29373737</v>
      </c>
      <c r="F45" s="352">
        <f t="shared" si="0"/>
        <v>101.47244839796184</v>
      </c>
      <c r="G45" s="206"/>
      <c r="H45" s="334"/>
      <c r="I45" s="334"/>
    </row>
    <row r="46" spans="2:9" s="207" customFormat="1" ht="15" customHeight="1">
      <c r="B46" s="208">
        <v>717100</v>
      </c>
      <c r="C46" s="332" t="s">
        <v>370</v>
      </c>
      <c r="D46" s="204">
        <f>SUM(D47:D48)</f>
        <v>28947500</v>
      </c>
      <c r="E46" s="204">
        <f>SUM(E47:E48)</f>
        <v>29373737</v>
      </c>
      <c r="F46" s="221">
        <f t="shared" si="0"/>
        <v>101.47244839796184</v>
      </c>
      <c r="G46" s="206"/>
      <c r="H46" s="334"/>
      <c r="I46" s="334"/>
    </row>
    <row r="47" spans="2:9" ht="15" customHeight="1">
      <c r="B47" s="203">
        <v>717121</v>
      </c>
      <c r="C47" s="329" t="s">
        <v>371</v>
      </c>
      <c r="D47" s="268">
        <v>28244850</v>
      </c>
      <c r="E47" s="268">
        <v>28660742</v>
      </c>
      <c r="F47" s="212">
        <f t="shared" si="0"/>
        <v>101.4724525001903</v>
      </c>
      <c r="G47" s="103"/>
      <c r="H47" s="334"/>
      <c r="I47" s="334"/>
    </row>
    <row r="48" spans="2:9" ht="15" customHeight="1">
      <c r="B48" s="203">
        <v>717131</v>
      </c>
      <c r="C48" s="329" t="s">
        <v>372</v>
      </c>
      <c r="D48" s="268">
        <v>702650</v>
      </c>
      <c r="E48" s="268">
        <v>712995</v>
      </c>
      <c r="F48" s="212">
        <f t="shared" si="0"/>
        <v>101.47228349818545</v>
      </c>
      <c r="G48" s="103"/>
      <c r="H48" s="334"/>
      <c r="I48" s="334"/>
    </row>
    <row r="49" spans="2:9" s="207" customFormat="1" ht="15" customHeight="1">
      <c r="B49" s="378">
        <v>719000</v>
      </c>
      <c r="C49" s="381" t="s">
        <v>198</v>
      </c>
      <c r="D49" s="380">
        <f>D50</f>
        <v>110</v>
      </c>
      <c r="E49" s="380">
        <f>E50</f>
        <v>90</v>
      </c>
      <c r="F49" s="352">
        <f t="shared" si="0"/>
        <v>81.81818181818183</v>
      </c>
      <c r="G49" s="206"/>
      <c r="H49" s="328"/>
      <c r="I49" s="328"/>
    </row>
    <row r="50" spans="2:9" s="207" customFormat="1" ht="15" customHeight="1">
      <c r="B50" s="208">
        <v>719100</v>
      </c>
      <c r="C50" s="332" t="s">
        <v>373</v>
      </c>
      <c r="D50" s="204">
        <f>SUM(D51:D53)</f>
        <v>110</v>
      </c>
      <c r="E50" s="204">
        <f>SUM(E51:E53)</f>
        <v>90</v>
      </c>
      <c r="F50" s="221">
        <f t="shared" si="0"/>
        <v>81.81818181818183</v>
      </c>
      <c r="G50" s="206"/>
      <c r="H50" s="328"/>
      <c r="I50" s="328"/>
    </row>
    <row r="51" spans="1:9" ht="15" customHeight="1" thickBot="1">
      <c r="A51" s="286"/>
      <c r="B51" s="203">
        <v>719111</v>
      </c>
      <c r="C51" s="329" t="s">
        <v>373</v>
      </c>
      <c r="D51" s="94">
        <v>20</v>
      </c>
      <c r="E51" s="94">
        <v>18</v>
      </c>
      <c r="F51" s="212">
        <f t="shared" si="0"/>
        <v>90</v>
      </c>
      <c r="G51" s="103"/>
      <c r="H51" s="323"/>
      <c r="I51" s="323"/>
    </row>
    <row r="52" spans="2:9" ht="12.75">
      <c r="B52" s="343">
        <v>719114</v>
      </c>
      <c r="C52" s="344" t="s">
        <v>374</v>
      </c>
      <c r="D52" s="345">
        <v>40</v>
      </c>
      <c r="E52" s="345">
        <v>27</v>
      </c>
      <c r="F52" s="353">
        <f t="shared" si="0"/>
        <v>67.5</v>
      </c>
      <c r="H52" s="323"/>
      <c r="I52" s="323"/>
    </row>
    <row r="53" spans="2:9" ht="25.5">
      <c r="B53" s="203">
        <v>719115</v>
      </c>
      <c r="C53" s="333" t="s">
        <v>375</v>
      </c>
      <c r="D53" s="94">
        <v>50</v>
      </c>
      <c r="E53" s="94">
        <v>45</v>
      </c>
      <c r="F53" s="215">
        <f t="shared" si="0"/>
        <v>90</v>
      </c>
      <c r="G53" s="180"/>
      <c r="H53" s="323"/>
      <c r="I53" s="323"/>
    </row>
    <row r="54" spans="2:9" ht="12.75">
      <c r="B54" s="203"/>
      <c r="C54" s="30"/>
      <c r="D54" s="94"/>
      <c r="E54" s="94"/>
      <c r="F54" s="215">
        <f t="shared" si="0"/>
      </c>
      <c r="G54" s="180"/>
      <c r="H54" s="323"/>
      <c r="I54" s="323"/>
    </row>
    <row r="55" spans="2:7" ht="15">
      <c r="B55" s="375">
        <v>720000</v>
      </c>
      <c r="C55" s="376" t="s">
        <v>193</v>
      </c>
      <c r="D55" s="377">
        <f>D56+D69+D136</f>
        <v>2987650</v>
      </c>
      <c r="E55" s="377">
        <f>E56+E69+E136</f>
        <v>2909586</v>
      </c>
      <c r="F55" s="351">
        <f t="shared" si="0"/>
        <v>97.38711027061403</v>
      </c>
      <c r="G55" s="181"/>
    </row>
    <row r="56" spans="2:6" ht="25.5">
      <c r="B56" s="378">
        <v>721000</v>
      </c>
      <c r="C56" s="382" t="s">
        <v>216</v>
      </c>
      <c r="D56" s="380">
        <f>D57+D60+D65+D67</f>
        <v>70120</v>
      </c>
      <c r="E56" s="380">
        <f>E57+E60+E65+E67</f>
        <v>98972</v>
      </c>
      <c r="F56" s="352">
        <f t="shared" si="0"/>
        <v>141.14660581859667</v>
      </c>
    </row>
    <row r="57" spans="2:6" ht="12.75">
      <c r="B57" s="208">
        <v>721100</v>
      </c>
      <c r="C57" s="332" t="s">
        <v>376</v>
      </c>
      <c r="D57" s="204">
        <f>SUM(D58:D59)</f>
        <v>56540</v>
      </c>
      <c r="E57" s="204">
        <f>SUM(E58:E59)</f>
        <v>81535</v>
      </c>
      <c r="F57" s="205">
        <f t="shared" si="0"/>
        <v>144.2076406084188</v>
      </c>
    </row>
    <row r="58" spans="2:6" ht="12.75">
      <c r="B58" s="203">
        <v>721112</v>
      </c>
      <c r="C58" s="329" t="s">
        <v>377</v>
      </c>
      <c r="D58" s="94">
        <v>2430</v>
      </c>
      <c r="E58" s="94">
        <v>2406</v>
      </c>
      <c r="F58" s="215">
        <f t="shared" si="0"/>
        <v>99.01234567901234</v>
      </c>
    </row>
    <row r="59" spans="2:9" ht="12.75">
      <c r="B59" s="203">
        <v>721121</v>
      </c>
      <c r="C59" s="329" t="s">
        <v>703</v>
      </c>
      <c r="D59" s="268">
        <v>54110</v>
      </c>
      <c r="E59" s="268">
        <v>79129</v>
      </c>
      <c r="F59" s="372">
        <f t="shared" si="0"/>
        <v>146.2372944002957</v>
      </c>
      <c r="I59" s="72"/>
    </row>
    <row r="60" spans="2:6" ht="12.75">
      <c r="B60" s="217">
        <v>721200</v>
      </c>
      <c r="C60" s="332" t="s">
        <v>378</v>
      </c>
      <c r="D60" s="93">
        <f>SUM(D61:D64)</f>
        <v>13300</v>
      </c>
      <c r="E60" s="93">
        <f>SUM(E61:E64)</f>
        <v>17124</v>
      </c>
      <c r="F60" s="205">
        <f t="shared" si="0"/>
        <v>128.75187969924812</v>
      </c>
    </row>
    <row r="61" spans="2:6" ht="12.75">
      <c r="B61" s="218">
        <v>721211</v>
      </c>
      <c r="C61" s="329" t="s">
        <v>379</v>
      </c>
      <c r="D61" s="216">
        <v>6260</v>
      </c>
      <c r="E61" s="216">
        <v>6193</v>
      </c>
      <c r="F61" s="215">
        <f t="shared" si="0"/>
        <v>98.9297124600639</v>
      </c>
    </row>
    <row r="62" spans="2:6" ht="12.75">
      <c r="B62" s="218">
        <v>721225</v>
      </c>
      <c r="C62" s="329" t="s">
        <v>688</v>
      </c>
      <c r="D62" s="211">
        <v>7010</v>
      </c>
      <c r="E62" s="211">
        <v>7005</v>
      </c>
      <c r="F62" s="215">
        <f t="shared" si="0"/>
        <v>99.92867332382312</v>
      </c>
    </row>
    <row r="63" spans="2:6" ht="12.75">
      <c r="B63" s="218">
        <v>721227</v>
      </c>
      <c r="C63" s="329" t="s">
        <v>749</v>
      </c>
      <c r="D63" s="211">
        <v>0</v>
      </c>
      <c r="E63" s="211">
        <v>3906</v>
      </c>
      <c r="F63" s="215">
        <f t="shared" si="0"/>
      </c>
    </row>
    <row r="64" spans="2:6" ht="12.75">
      <c r="B64" s="218">
        <v>721233</v>
      </c>
      <c r="C64" s="329" t="s">
        <v>689</v>
      </c>
      <c r="D64" s="94">
        <v>30</v>
      </c>
      <c r="E64" s="94">
        <v>20</v>
      </c>
      <c r="F64" s="215">
        <f t="shared" si="0"/>
        <v>66.66666666666666</v>
      </c>
    </row>
    <row r="65" spans="2:6" ht="12.75">
      <c r="B65" s="217">
        <v>721300</v>
      </c>
      <c r="C65" s="332" t="s">
        <v>380</v>
      </c>
      <c r="D65" s="93">
        <f>SUM(D66:D66)</f>
        <v>30</v>
      </c>
      <c r="E65" s="93">
        <f>SUM(E66:E66)</f>
        <v>40</v>
      </c>
      <c r="F65" s="205">
        <f t="shared" si="0"/>
        <v>133.33333333333331</v>
      </c>
    </row>
    <row r="66" spans="2:6" ht="12.75">
      <c r="B66" s="218">
        <v>721312</v>
      </c>
      <c r="C66" s="329" t="s">
        <v>381</v>
      </c>
      <c r="D66" s="94">
        <v>30</v>
      </c>
      <c r="E66" s="94">
        <v>40</v>
      </c>
      <c r="F66" s="215">
        <f t="shared" si="0"/>
        <v>133.33333333333331</v>
      </c>
    </row>
    <row r="67" spans="2:6" ht="12.75">
      <c r="B67" s="217">
        <v>721500</v>
      </c>
      <c r="C67" s="332" t="s">
        <v>382</v>
      </c>
      <c r="D67" s="93">
        <f>D68</f>
        <v>250</v>
      </c>
      <c r="E67" s="93">
        <f>E68</f>
        <v>273</v>
      </c>
      <c r="F67" s="205">
        <f t="shared" si="0"/>
        <v>109.2</v>
      </c>
    </row>
    <row r="68" spans="2:6" ht="12.75">
      <c r="B68" s="218">
        <v>721511</v>
      </c>
      <c r="C68" s="329" t="s">
        <v>382</v>
      </c>
      <c r="D68" s="94">
        <v>250</v>
      </c>
      <c r="E68" s="94">
        <v>273</v>
      </c>
      <c r="F68" s="215">
        <f t="shared" si="0"/>
        <v>109.2</v>
      </c>
    </row>
    <row r="69" spans="2:6" ht="12.75">
      <c r="B69" s="378">
        <v>722000</v>
      </c>
      <c r="C69" s="379" t="s">
        <v>450</v>
      </c>
      <c r="D69" s="383">
        <f>D70+D72+D74+D89+D125+D132</f>
        <v>2567730</v>
      </c>
      <c r="E69" s="383">
        <f>E70+E72+E74+E89+E125+E132</f>
        <v>2435909</v>
      </c>
      <c r="F69" s="352">
        <f t="shared" si="0"/>
        <v>94.86624372500224</v>
      </c>
    </row>
    <row r="70" spans="2:6" ht="12.75">
      <c r="B70" s="208">
        <v>722100</v>
      </c>
      <c r="C70" s="227" t="s">
        <v>383</v>
      </c>
      <c r="D70" s="224">
        <f>D71</f>
        <v>135300</v>
      </c>
      <c r="E70" s="224">
        <f>E71</f>
        <v>132403</v>
      </c>
      <c r="F70" s="205">
        <f t="shared" si="0"/>
        <v>97.85883222468588</v>
      </c>
    </row>
    <row r="71" spans="2:6" ht="12.75">
      <c r="B71" s="213">
        <v>722121</v>
      </c>
      <c r="C71" s="339" t="s">
        <v>384</v>
      </c>
      <c r="D71" s="211">
        <v>135300</v>
      </c>
      <c r="E71" s="211">
        <v>132403</v>
      </c>
      <c r="F71" s="215">
        <f t="shared" si="0"/>
        <v>97.85883222468588</v>
      </c>
    </row>
    <row r="72" spans="2:6" ht="12.75">
      <c r="B72" s="208">
        <v>722200</v>
      </c>
      <c r="C72" s="227" t="s">
        <v>385</v>
      </c>
      <c r="D72" s="224">
        <f>D73</f>
        <v>402700</v>
      </c>
      <c r="E72" s="224">
        <f>E73</f>
        <v>398544</v>
      </c>
      <c r="F72" s="205">
        <f t="shared" si="0"/>
        <v>98.96796622796126</v>
      </c>
    </row>
    <row r="73" spans="2:6" ht="12.75">
      <c r="B73" s="213">
        <v>722221</v>
      </c>
      <c r="C73" s="339" t="s">
        <v>386</v>
      </c>
      <c r="D73" s="211">
        <v>402700</v>
      </c>
      <c r="E73" s="211">
        <v>398544</v>
      </c>
      <c r="F73" s="215">
        <f t="shared" si="0"/>
        <v>98.96796622796126</v>
      </c>
    </row>
    <row r="74" spans="2:6" ht="12.75">
      <c r="B74" s="208">
        <v>722400</v>
      </c>
      <c r="C74" s="227" t="s">
        <v>387</v>
      </c>
      <c r="D74" s="224">
        <f>D75+D80+D84</f>
        <v>851270</v>
      </c>
      <c r="E74" s="224">
        <f>E75+E80+E84</f>
        <v>820499</v>
      </c>
      <c r="F74" s="205">
        <f aca="true" t="shared" si="1" ref="F74:F139">IF(D74=0,"",E74/D74*100)</f>
        <v>96.38528316515324</v>
      </c>
    </row>
    <row r="75" spans="2:6" ht="12.75">
      <c r="B75" s="228">
        <v>722420</v>
      </c>
      <c r="C75" s="340" t="s">
        <v>388</v>
      </c>
      <c r="D75" s="214">
        <f>D76+D78+D79</f>
        <v>676230</v>
      </c>
      <c r="E75" s="214">
        <f>E76+E78+E79</f>
        <v>645623</v>
      </c>
      <c r="F75" s="205">
        <f t="shared" si="1"/>
        <v>95.47387723111959</v>
      </c>
    </row>
    <row r="76" spans="2:6" ht="12.75">
      <c r="B76" s="213">
        <v>722422</v>
      </c>
      <c r="C76" s="339" t="s">
        <v>483</v>
      </c>
      <c r="D76" s="211">
        <f>D77</f>
        <v>670540</v>
      </c>
      <c r="E76" s="211">
        <f>E77</f>
        <v>640252</v>
      </c>
      <c r="F76" s="215">
        <f t="shared" si="1"/>
        <v>95.48304351716527</v>
      </c>
    </row>
    <row r="77" spans="2:6" ht="25.5">
      <c r="B77" s="213"/>
      <c r="C77" s="341" t="s">
        <v>632</v>
      </c>
      <c r="D77" s="211">
        <f>800000-D59-D83</f>
        <v>670540</v>
      </c>
      <c r="E77" s="211">
        <v>640252</v>
      </c>
      <c r="F77" s="215">
        <f t="shared" si="1"/>
        <v>95.48304351716527</v>
      </c>
    </row>
    <row r="78" spans="2:6" ht="12.75">
      <c r="B78" s="213">
        <v>722424</v>
      </c>
      <c r="C78" s="339" t="s">
        <v>391</v>
      </c>
      <c r="D78" s="211">
        <v>3890</v>
      </c>
      <c r="E78" s="211">
        <v>3871</v>
      </c>
      <c r="F78" s="215">
        <f t="shared" si="1"/>
        <v>99.51156812339332</v>
      </c>
    </row>
    <row r="79" spans="2:6" ht="12.75">
      <c r="B79" s="213">
        <v>722429</v>
      </c>
      <c r="C79" s="339" t="s">
        <v>389</v>
      </c>
      <c r="D79" s="211">
        <v>1800</v>
      </c>
      <c r="E79" s="211">
        <v>1500</v>
      </c>
      <c r="F79" s="215">
        <f t="shared" si="1"/>
        <v>83.33333333333334</v>
      </c>
    </row>
    <row r="80" spans="2:6" ht="12.75">
      <c r="B80" s="226">
        <v>722450</v>
      </c>
      <c r="C80" s="340" t="s">
        <v>390</v>
      </c>
      <c r="D80" s="222">
        <f>SUM(D81:D83)</f>
        <v>83580</v>
      </c>
      <c r="E80" s="222">
        <f>SUM(E81:E83)</f>
        <v>82640</v>
      </c>
      <c r="F80" s="205">
        <f t="shared" si="1"/>
        <v>98.8753290260828</v>
      </c>
    </row>
    <row r="81" spans="2:6" ht="12.75">
      <c r="B81" s="213">
        <v>722451</v>
      </c>
      <c r="C81" s="339" t="s">
        <v>392</v>
      </c>
      <c r="D81" s="211">
        <v>6560</v>
      </c>
      <c r="E81" s="211">
        <v>5625</v>
      </c>
      <c r="F81" s="215">
        <f t="shared" si="1"/>
        <v>85.7469512195122</v>
      </c>
    </row>
    <row r="82" spans="2:6" ht="12.75">
      <c r="B82" s="213">
        <v>722454</v>
      </c>
      <c r="C82" s="339" t="s">
        <v>393</v>
      </c>
      <c r="D82" s="211">
        <v>1670</v>
      </c>
      <c r="E82" s="211">
        <v>1671</v>
      </c>
      <c r="F82" s="215">
        <f t="shared" si="1"/>
        <v>100.05988023952095</v>
      </c>
    </row>
    <row r="83" spans="2:9" ht="25.5">
      <c r="B83" s="213">
        <v>722455</v>
      </c>
      <c r="C83" s="341" t="s">
        <v>702</v>
      </c>
      <c r="D83" s="211">
        <v>75350</v>
      </c>
      <c r="E83" s="211">
        <v>75344</v>
      </c>
      <c r="F83" s="215">
        <f>IF(D83=0,"",E83/D83*100)</f>
        <v>99.99203715992037</v>
      </c>
      <c r="I83" s="72"/>
    </row>
    <row r="84" spans="2:6" ht="25.5">
      <c r="B84" s="226">
        <v>722470</v>
      </c>
      <c r="C84" s="342" t="s">
        <v>451</v>
      </c>
      <c r="D84" s="222">
        <f>D85+D87+D88</f>
        <v>91460</v>
      </c>
      <c r="E84" s="222">
        <f>E85+E87+E88</f>
        <v>92236</v>
      </c>
      <c r="F84" s="205">
        <f t="shared" si="1"/>
        <v>100.84845834244479</v>
      </c>
    </row>
    <row r="85" spans="2:10" ht="12.75">
      <c r="B85" s="213">
        <v>722471</v>
      </c>
      <c r="C85" s="339" t="s">
        <v>394</v>
      </c>
      <c r="D85" s="211">
        <f>D86</f>
        <v>78300</v>
      </c>
      <c r="E85" s="211">
        <f>E86</f>
        <v>75099</v>
      </c>
      <c r="F85" s="215">
        <f t="shared" si="1"/>
        <v>95.91187739463601</v>
      </c>
      <c r="I85" s="72"/>
      <c r="J85" s="103"/>
    </row>
    <row r="86" spans="2:6" ht="25.5">
      <c r="B86" s="213"/>
      <c r="C86" s="341" t="s">
        <v>632</v>
      </c>
      <c r="D86" s="211">
        <v>78300</v>
      </c>
      <c r="E86" s="211">
        <v>75099</v>
      </c>
      <c r="F86" s="215">
        <f t="shared" si="1"/>
        <v>95.91187739463601</v>
      </c>
    </row>
    <row r="87" spans="2:6" ht="25.5">
      <c r="B87" s="213">
        <v>722472</v>
      </c>
      <c r="C87" s="341" t="s">
        <v>395</v>
      </c>
      <c r="D87" s="211">
        <v>13160</v>
      </c>
      <c r="E87" s="211">
        <v>17137</v>
      </c>
      <c r="F87" s="215">
        <f t="shared" si="1"/>
        <v>130.22036474164133</v>
      </c>
    </row>
    <row r="88" spans="2:6" ht="25.5">
      <c r="B88" s="213">
        <v>722479</v>
      </c>
      <c r="C88" s="341" t="s">
        <v>633</v>
      </c>
      <c r="D88" s="211">
        <v>0</v>
      </c>
      <c r="E88" s="211">
        <v>0</v>
      </c>
      <c r="F88" s="215">
        <f t="shared" si="1"/>
      </c>
    </row>
    <row r="89" spans="2:6" ht="25.5">
      <c r="B89" s="208">
        <v>722500</v>
      </c>
      <c r="C89" s="75" t="s">
        <v>396</v>
      </c>
      <c r="D89" s="229">
        <f>D90+D94+D104+D109+D111+D118</f>
        <v>771420</v>
      </c>
      <c r="E89" s="229">
        <f>E90+E94+E104+E109+E111+E118</f>
        <v>675398</v>
      </c>
      <c r="F89" s="205">
        <f t="shared" si="1"/>
        <v>87.5525653988748</v>
      </c>
    </row>
    <row r="90" spans="2:6" ht="25.5">
      <c r="B90" s="226">
        <v>722510</v>
      </c>
      <c r="C90" s="230" t="s">
        <v>452</v>
      </c>
      <c r="D90" s="222">
        <f>SUM(D91:D93)</f>
        <v>3670</v>
      </c>
      <c r="E90" s="222">
        <f>SUM(E91:E93)</f>
        <v>3686</v>
      </c>
      <c r="F90" s="205">
        <f t="shared" si="1"/>
        <v>100.43596730245233</v>
      </c>
    </row>
    <row r="91" spans="2:6" ht="25.5">
      <c r="B91" s="203">
        <v>722514</v>
      </c>
      <c r="C91" s="115" t="s">
        <v>411</v>
      </c>
      <c r="D91" s="179">
        <v>1770</v>
      </c>
      <c r="E91" s="179">
        <v>1744</v>
      </c>
      <c r="F91" s="215">
        <f t="shared" si="1"/>
        <v>98.53107344632768</v>
      </c>
    </row>
    <row r="92" spans="2:6" ht="12.75">
      <c r="B92" s="203">
        <v>722515</v>
      </c>
      <c r="C92" s="116" t="s">
        <v>397</v>
      </c>
      <c r="D92" s="179">
        <v>1850</v>
      </c>
      <c r="E92" s="179">
        <v>1942</v>
      </c>
      <c r="F92" s="215">
        <f t="shared" si="1"/>
        <v>104.97297297297297</v>
      </c>
    </row>
    <row r="93" spans="2:6" ht="12.75">
      <c r="B93" s="203">
        <v>722516</v>
      </c>
      <c r="C93" s="116" t="s">
        <v>398</v>
      </c>
      <c r="D93" s="179">
        <v>50</v>
      </c>
      <c r="E93" s="179">
        <v>0</v>
      </c>
      <c r="F93" s="215">
        <f t="shared" si="1"/>
        <v>0</v>
      </c>
    </row>
    <row r="94" spans="2:6" ht="12.75">
      <c r="B94" s="226">
        <v>722520</v>
      </c>
      <c r="C94" s="231" t="s">
        <v>399</v>
      </c>
      <c r="D94" s="222">
        <f>D95+D97+D98+D99+D100+D101+D102+D103</f>
        <v>295450</v>
      </c>
      <c r="E94" s="222">
        <f>E95+E97+E98+E99+E100+E101+E102+E103</f>
        <v>297797</v>
      </c>
      <c r="F94" s="205">
        <f t="shared" si="1"/>
        <v>100.79438145202234</v>
      </c>
    </row>
    <row r="95" spans="2:6" ht="25.5">
      <c r="B95" s="203">
        <v>722521</v>
      </c>
      <c r="C95" s="115" t="s">
        <v>412</v>
      </c>
      <c r="D95" s="179">
        <f>D96</f>
        <v>187880</v>
      </c>
      <c r="E95" s="179">
        <f>E96</f>
        <v>185274</v>
      </c>
      <c r="F95" s="215">
        <f t="shared" si="1"/>
        <v>98.61294443261657</v>
      </c>
    </row>
    <row r="96" spans="2:6" ht="12.75">
      <c r="B96" s="213"/>
      <c r="C96" s="341" t="s">
        <v>634</v>
      </c>
      <c r="D96" s="179">
        <v>187880</v>
      </c>
      <c r="E96" s="179">
        <v>185274</v>
      </c>
      <c r="F96" s="215">
        <f t="shared" si="1"/>
        <v>98.61294443261657</v>
      </c>
    </row>
    <row r="97" spans="2:6" ht="25.5">
      <c r="B97" s="343">
        <v>722522</v>
      </c>
      <c r="C97" s="346" t="s">
        <v>413</v>
      </c>
      <c r="D97" s="347">
        <v>31200</v>
      </c>
      <c r="E97" s="347">
        <v>30695</v>
      </c>
      <c r="F97" s="354">
        <f t="shared" si="1"/>
        <v>98.38141025641025</v>
      </c>
    </row>
    <row r="98" spans="2:6" ht="25.5">
      <c r="B98" s="203">
        <v>722523</v>
      </c>
      <c r="C98" s="115" t="s">
        <v>414</v>
      </c>
      <c r="D98" s="179">
        <v>5000</v>
      </c>
      <c r="E98" s="179">
        <v>4990</v>
      </c>
      <c r="F98" s="212">
        <f t="shared" si="1"/>
        <v>99.8</v>
      </c>
    </row>
    <row r="99" spans="2:6" ht="25.5">
      <c r="B99" s="203">
        <v>722524</v>
      </c>
      <c r="C99" s="115" t="s">
        <v>415</v>
      </c>
      <c r="D99" s="179">
        <v>500</v>
      </c>
      <c r="E99" s="179">
        <v>497</v>
      </c>
      <c r="F99" s="212">
        <f t="shared" si="1"/>
        <v>99.4</v>
      </c>
    </row>
    <row r="100" spans="2:6" ht="25.5">
      <c r="B100" s="203">
        <v>722525</v>
      </c>
      <c r="C100" s="115" t="s">
        <v>416</v>
      </c>
      <c r="D100" s="179">
        <v>100</v>
      </c>
      <c r="E100" s="179">
        <v>94</v>
      </c>
      <c r="F100" s="212">
        <f t="shared" si="1"/>
        <v>94</v>
      </c>
    </row>
    <row r="101" spans="2:6" ht="12.75">
      <c r="B101" s="203">
        <v>722527</v>
      </c>
      <c r="C101" s="116" t="s">
        <v>635</v>
      </c>
      <c r="D101" s="179">
        <v>6200</v>
      </c>
      <c r="E101" s="179">
        <v>6075</v>
      </c>
      <c r="F101" s="373">
        <f t="shared" si="1"/>
        <v>97.98387096774194</v>
      </c>
    </row>
    <row r="102" spans="2:6" ht="12.75">
      <c r="B102" s="203">
        <v>722528</v>
      </c>
      <c r="C102" s="116" t="s">
        <v>400</v>
      </c>
      <c r="D102" s="179">
        <v>870</v>
      </c>
      <c r="E102" s="179">
        <v>966</v>
      </c>
      <c r="F102" s="212">
        <f t="shared" si="1"/>
        <v>111.03448275862068</v>
      </c>
    </row>
    <row r="103" spans="2:6" ht="12.75">
      <c r="B103" s="203">
        <v>722529</v>
      </c>
      <c r="C103" s="116" t="s">
        <v>401</v>
      </c>
      <c r="D103" s="179">
        <v>63700</v>
      </c>
      <c r="E103" s="179">
        <v>69206</v>
      </c>
      <c r="F103" s="212">
        <f t="shared" si="1"/>
        <v>108.64364207221351</v>
      </c>
    </row>
    <row r="104" spans="2:6" ht="12.75">
      <c r="B104" s="226">
        <v>722530</v>
      </c>
      <c r="C104" s="231" t="s">
        <v>402</v>
      </c>
      <c r="D104" s="222">
        <f>SUM(D105:D108)</f>
        <v>332080</v>
      </c>
      <c r="E104" s="222">
        <f>SUM(E105:E108)</f>
        <v>324699</v>
      </c>
      <c r="F104" s="221">
        <f t="shared" si="1"/>
        <v>97.77734280896169</v>
      </c>
    </row>
    <row r="105" spans="2:6" ht="12.75">
      <c r="B105" s="203">
        <v>722531</v>
      </c>
      <c r="C105" s="116" t="s">
        <v>403</v>
      </c>
      <c r="D105" s="179">
        <v>93100</v>
      </c>
      <c r="E105" s="179">
        <v>88213</v>
      </c>
      <c r="F105" s="212">
        <f t="shared" si="1"/>
        <v>94.75080558539204</v>
      </c>
    </row>
    <row r="106" spans="2:6" ht="12.75">
      <c r="B106" s="203">
        <v>722532</v>
      </c>
      <c r="C106" s="116" t="s">
        <v>404</v>
      </c>
      <c r="D106" s="179">
        <v>238800</v>
      </c>
      <c r="E106" s="179">
        <v>236339</v>
      </c>
      <c r="F106" s="212">
        <f t="shared" si="1"/>
        <v>98.96943048576215</v>
      </c>
    </row>
    <row r="107" spans="2:6" ht="12.75">
      <c r="B107" s="203">
        <v>722538</v>
      </c>
      <c r="C107" s="116" t="s">
        <v>405</v>
      </c>
      <c r="D107" s="179">
        <v>170</v>
      </c>
      <c r="E107" s="179">
        <v>144</v>
      </c>
      <c r="F107" s="212">
        <f t="shared" si="1"/>
        <v>84.70588235294117</v>
      </c>
    </row>
    <row r="108" spans="2:6" ht="12.75">
      <c r="B108" s="203">
        <v>722539</v>
      </c>
      <c r="C108" s="116" t="s">
        <v>690</v>
      </c>
      <c r="D108" s="179">
        <v>10</v>
      </c>
      <c r="E108" s="179">
        <v>3</v>
      </c>
      <c r="F108" s="212">
        <f t="shared" si="1"/>
        <v>30</v>
      </c>
    </row>
    <row r="109" spans="2:6" ht="12.75">
      <c r="B109" s="226">
        <v>722540</v>
      </c>
      <c r="C109" s="231" t="s">
        <v>406</v>
      </c>
      <c r="D109" s="222">
        <f>D110</f>
        <v>310</v>
      </c>
      <c r="E109" s="222">
        <f>E110</f>
        <v>361</v>
      </c>
      <c r="F109" s="221">
        <f t="shared" si="1"/>
        <v>116.45161290322581</v>
      </c>
    </row>
    <row r="110" spans="2:6" ht="12.75">
      <c r="B110" s="203">
        <v>722541</v>
      </c>
      <c r="C110" s="116" t="s">
        <v>407</v>
      </c>
      <c r="D110" s="179">
        <v>310</v>
      </c>
      <c r="E110" s="179">
        <v>361</v>
      </c>
      <c r="F110" s="212">
        <f t="shared" si="1"/>
        <v>116.45161290322581</v>
      </c>
    </row>
    <row r="111" spans="2:8" ht="12.75">
      <c r="B111" s="226">
        <v>722550</v>
      </c>
      <c r="C111" s="231" t="s">
        <v>408</v>
      </c>
      <c r="D111" s="222">
        <f>D112+D114+D116</f>
        <v>100000</v>
      </c>
      <c r="E111" s="222">
        <f>E112+E114+E116</f>
        <v>15000</v>
      </c>
      <c r="F111" s="221">
        <f t="shared" si="1"/>
        <v>15</v>
      </c>
      <c r="H111" s="103"/>
    </row>
    <row r="112" spans="2:6" ht="12.75">
      <c r="B112" s="203">
        <v>722551</v>
      </c>
      <c r="C112" s="116" t="s">
        <v>409</v>
      </c>
      <c r="D112" s="179">
        <f>D113</f>
        <v>12090</v>
      </c>
      <c r="E112" s="179">
        <f>E113</f>
        <v>10850</v>
      </c>
      <c r="F112" s="212">
        <f t="shared" si="1"/>
        <v>89.74358974358975</v>
      </c>
    </row>
    <row r="113" spans="2:9" ht="12.75">
      <c r="B113" s="213"/>
      <c r="C113" s="341" t="s">
        <v>634</v>
      </c>
      <c r="D113" s="179">
        <v>12090</v>
      </c>
      <c r="E113" s="179">
        <v>10850</v>
      </c>
      <c r="F113" s="212">
        <f t="shared" si="1"/>
        <v>89.74358974358975</v>
      </c>
      <c r="I113" s="72"/>
    </row>
    <row r="114" spans="2:6" ht="25.5">
      <c r="B114" s="203">
        <v>722555</v>
      </c>
      <c r="C114" s="115" t="s">
        <v>417</v>
      </c>
      <c r="D114" s="179">
        <f>D115</f>
        <v>87910</v>
      </c>
      <c r="E114" s="179">
        <f>E115</f>
        <v>4150</v>
      </c>
      <c r="F114" s="212">
        <f t="shared" si="1"/>
        <v>4.72073711750654</v>
      </c>
    </row>
    <row r="115" spans="2:9" ht="12.75">
      <c r="B115" s="213"/>
      <c r="C115" s="341" t="s">
        <v>634</v>
      </c>
      <c r="D115" s="179">
        <v>87910</v>
      </c>
      <c r="E115" s="179">
        <v>4150</v>
      </c>
      <c r="F115" s="212">
        <f t="shared" si="1"/>
        <v>4.72073711750654</v>
      </c>
      <c r="I115" s="72"/>
    </row>
    <row r="116" spans="2:6" ht="25.5">
      <c r="B116" s="203">
        <v>722556</v>
      </c>
      <c r="C116" s="115" t="s">
        <v>418</v>
      </c>
      <c r="D116" s="179">
        <f>D117</f>
        <v>0</v>
      </c>
      <c r="E116" s="179">
        <f>E117</f>
        <v>0</v>
      </c>
      <c r="F116" s="212">
        <f t="shared" si="1"/>
      </c>
    </row>
    <row r="117" spans="2:9" ht="12.75">
      <c r="B117" s="213"/>
      <c r="C117" s="341" t="s">
        <v>634</v>
      </c>
      <c r="D117" s="179">
        <v>0</v>
      </c>
      <c r="E117" s="179">
        <v>0</v>
      </c>
      <c r="F117" s="212">
        <f t="shared" si="1"/>
      </c>
      <c r="I117" s="72"/>
    </row>
    <row r="118" spans="2:6" ht="12.75">
      <c r="B118" s="226">
        <v>722580</v>
      </c>
      <c r="C118" s="231" t="s">
        <v>419</v>
      </c>
      <c r="D118" s="222">
        <f>D119+D121+D122+D123+D124</f>
        <v>39910</v>
      </c>
      <c r="E118" s="222">
        <f>E119+E121+E122+E123+E124</f>
        <v>33855</v>
      </c>
      <c r="F118" s="221">
        <f t="shared" si="1"/>
        <v>84.82836381859184</v>
      </c>
    </row>
    <row r="119" spans="2:6" ht="25.5">
      <c r="B119" s="203">
        <v>722581</v>
      </c>
      <c r="C119" s="115" t="s">
        <v>420</v>
      </c>
      <c r="D119" s="179">
        <f>D120</f>
        <v>33370</v>
      </c>
      <c r="E119" s="179">
        <f>E120</f>
        <v>26769</v>
      </c>
      <c r="F119" s="212">
        <f t="shared" si="1"/>
        <v>80.21875936469883</v>
      </c>
    </row>
    <row r="120" spans="2:6" ht="12.75">
      <c r="B120" s="213"/>
      <c r="C120" s="341" t="s">
        <v>636</v>
      </c>
      <c r="D120" s="179">
        <v>33370</v>
      </c>
      <c r="E120" s="179">
        <v>26769</v>
      </c>
      <c r="F120" s="212">
        <f t="shared" si="1"/>
        <v>80.21875936469883</v>
      </c>
    </row>
    <row r="121" spans="2:6" ht="38.25">
      <c r="B121" s="203">
        <v>722582</v>
      </c>
      <c r="C121" s="115" t="s">
        <v>421</v>
      </c>
      <c r="D121" s="179">
        <v>3130</v>
      </c>
      <c r="E121" s="179">
        <v>3318</v>
      </c>
      <c r="F121" s="212">
        <f t="shared" si="1"/>
        <v>106.00638977635784</v>
      </c>
    </row>
    <row r="122" spans="2:6" ht="25.5">
      <c r="B122" s="203">
        <v>722583</v>
      </c>
      <c r="C122" s="115" t="s">
        <v>422</v>
      </c>
      <c r="D122" s="179">
        <v>1690</v>
      </c>
      <c r="E122" s="179">
        <v>1652</v>
      </c>
      <c r="F122" s="212">
        <f t="shared" si="1"/>
        <v>97.75147928994082</v>
      </c>
    </row>
    <row r="123" spans="2:6" ht="25.5">
      <c r="B123" s="203">
        <v>722584</v>
      </c>
      <c r="C123" s="115" t="s">
        <v>423</v>
      </c>
      <c r="D123" s="179">
        <v>1280</v>
      </c>
      <c r="E123" s="179">
        <v>1469</v>
      </c>
      <c r="F123" s="212">
        <f t="shared" si="1"/>
        <v>114.765625</v>
      </c>
    </row>
    <row r="124" spans="2:6" ht="25.5">
      <c r="B124" s="203">
        <v>722585</v>
      </c>
      <c r="C124" s="115" t="s">
        <v>424</v>
      </c>
      <c r="D124" s="179">
        <v>440</v>
      </c>
      <c r="E124" s="179">
        <v>647</v>
      </c>
      <c r="F124" s="212">
        <f t="shared" si="1"/>
        <v>147.04545454545453</v>
      </c>
    </row>
    <row r="125" spans="2:6" ht="12.75">
      <c r="B125" s="208">
        <v>722600</v>
      </c>
      <c r="C125" s="75" t="s">
        <v>410</v>
      </c>
      <c r="D125" s="229">
        <f>SUM(D126:D131)</f>
        <v>406000</v>
      </c>
      <c r="E125" s="229">
        <f>SUM(E126:E131)</f>
        <v>407851</v>
      </c>
      <c r="F125" s="221">
        <f t="shared" si="1"/>
        <v>100.45591133004925</v>
      </c>
    </row>
    <row r="126" spans="2:6" ht="12.75">
      <c r="B126" s="213">
        <v>722611</v>
      </c>
      <c r="C126" s="116" t="s">
        <v>425</v>
      </c>
      <c r="D126" s="179">
        <v>168810</v>
      </c>
      <c r="E126" s="179">
        <v>162997</v>
      </c>
      <c r="F126" s="212">
        <f t="shared" si="1"/>
        <v>96.55648362063859</v>
      </c>
    </row>
    <row r="127" spans="2:6" ht="12.75">
      <c r="B127" s="213">
        <v>722612</v>
      </c>
      <c r="C127" s="116" t="s">
        <v>426</v>
      </c>
      <c r="D127" s="179">
        <v>45290</v>
      </c>
      <c r="E127" s="179">
        <v>44715</v>
      </c>
      <c r="F127" s="212">
        <f t="shared" si="1"/>
        <v>98.730404062707</v>
      </c>
    </row>
    <row r="128" spans="2:6" ht="12.75">
      <c r="B128" s="213">
        <v>722613</v>
      </c>
      <c r="C128" s="116" t="s">
        <v>427</v>
      </c>
      <c r="D128" s="179">
        <v>5980</v>
      </c>
      <c r="E128" s="179">
        <v>7580</v>
      </c>
      <c r="F128" s="212">
        <f t="shared" si="1"/>
        <v>126.75585284280938</v>
      </c>
    </row>
    <row r="129" spans="2:6" ht="12.75">
      <c r="B129" s="213">
        <v>722621</v>
      </c>
      <c r="C129" s="116" t="s">
        <v>428</v>
      </c>
      <c r="D129" s="179">
        <v>138370</v>
      </c>
      <c r="E129" s="179">
        <v>139286</v>
      </c>
      <c r="F129" s="212">
        <f t="shared" si="1"/>
        <v>100.66199320661993</v>
      </c>
    </row>
    <row r="130" spans="2:6" ht="12.75">
      <c r="B130" s="213">
        <v>722631</v>
      </c>
      <c r="C130" s="116" t="s">
        <v>429</v>
      </c>
      <c r="D130" s="179">
        <v>47500</v>
      </c>
      <c r="E130" s="179">
        <v>53237</v>
      </c>
      <c r="F130" s="212">
        <f t="shared" si="1"/>
        <v>112.07789473684211</v>
      </c>
    </row>
    <row r="131" spans="2:6" ht="12.75">
      <c r="B131" s="213">
        <v>722632</v>
      </c>
      <c r="C131" s="116" t="s">
        <v>691</v>
      </c>
      <c r="D131" s="179">
        <v>50</v>
      </c>
      <c r="E131" s="179">
        <v>36</v>
      </c>
      <c r="F131" s="212">
        <f t="shared" si="1"/>
        <v>72</v>
      </c>
    </row>
    <row r="132" spans="2:6" ht="12.75">
      <c r="B132" s="226">
        <v>722700</v>
      </c>
      <c r="C132" s="75" t="s">
        <v>430</v>
      </c>
      <c r="D132" s="229">
        <f>SUM(D133:D135)</f>
        <v>1040</v>
      </c>
      <c r="E132" s="229">
        <f>SUM(E133:E135)</f>
        <v>1214</v>
      </c>
      <c r="F132" s="212">
        <f t="shared" si="1"/>
        <v>116.73076923076924</v>
      </c>
    </row>
    <row r="133" spans="2:6" ht="12.75">
      <c r="B133" s="213">
        <v>722719</v>
      </c>
      <c r="C133" s="116" t="s">
        <v>637</v>
      </c>
      <c r="D133" s="179">
        <v>50</v>
      </c>
      <c r="E133" s="179">
        <v>0</v>
      </c>
      <c r="F133" s="212">
        <f t="shared" si="1"/>
        <v>0</v>
      </c>
    </row>
    <row r="134" spans="2:6" ht="12.75">
      <c r="B134" s="213">
        <v>722732</v>
      </c>
      <c r="C134" s="116" t="s">
        <v>431</v>
      </c>
      <c r="D134" s="179">
        <v>280</v>
      </c>
      <c r="E134" s="179">
        <v>336</v>
      </c>
      <c r="F134" s="212">
        <f t="shared" si="1"/>
        <v>120</v>
      </c>
    </row>
    <row r="135" spans="2:6" ht="12.75">
      <c r="B135" s="213">
        <v>722791</v>
      </c>
      <c r="C135" s="116" t="s">
        <v>432</v>
      </c>
      <c r="D135" s="179">
        <v>710</v>
      </c>
      <c r="E135" s="179">
        <v>878</v>
      </c>
      <c r="F135" s="212">
        <f t="shared" si="1"/>
        <v>123.6619718309859</v>
      </c>
    </row>
    <row r="136" spans="2:6" ht="12.75">
      <c r="B136" s="378">
        <v>723000</v>
      </c>
      <c r="C136" s="379" t="s">
        <v>199</v>
      </c>
      <c r="D136" s="380">
        <f>D137</f>
        <v>349800</v>
      </c>
      <c r="E136" s="380">
        <f>E137</f>
        <v>374705</v>
      </c>
      <c r="F136" s="352">
        <f t="shared" si="1"/>
        <v>107.11978273299027</v>
      </c>
    </row>
    <row r="137" spans="2:6" ht="12.75">
      <c r="B137" s="217">
        <v>723100</v>
      </c>
      <c r="C137" s="230" t="s">
        <v>433</v>
      </c>
      <c r="D137" s="222">
        <f>SUM(D138:D141)</f>
        <v>349800</v>
      </c>
      <c r="E137" s="222">
        <f>SUM(E138:E141)</f>
        <v>374705</v>
      </c>
      <c r="F137" s="212">
        <f t="shared" si="1"/>
        <v>107.11978273299027</v>
      </c>
    </row>
    <row r="138" spans="2:6" ht="12.75">
      <c r="B138" s="213">
        <v>723121</v>
      </c>
      <c r="C138" s="30" t="s">
        <v>434</v>
      </c>
      <c r="D138" s="216">
        <v>270</v>
      </c>
      <c r="E138" s="216">
        <v>245</v>
      </c>
      <c r="F138" s="212">
        <f t="shared" si="1"/>
        <v>90.74074074074075</v>
      </c>
    </row>
    <row r="139" spans="2:6" ht="12.75">
      <c r="B139" s="213">
        <v>723122</v>
      </c>
      <c r="C139" s="30" t="s">
        <v>435</v>
      </c>
      <c r="D139" s="211">
        <v>50</v>
      </c>
      <c r="E139" s="211">
        <v>0</v>
      </c>
      <c r="F139" s="212">
        <f t="shared" si="1"/>
        <v>0</v>
      </c>
    </row>
    <row r="140" spans="2:6" ht="25.5">
      <c r="B140" s="213">
        <v>723123</v>
      </c>
      <c r="C140" s="73" t="s">
        <v>437</v>
      </c>
      <c r="D140" s="216">
        <v>343700</v>
      </c>
      <c r="E140" s="216">
        <v>368105</v>
      </c>
      <c r="F140" s="212">
        <f aca="true" t="shared" si="2" ref="F140:F192">IF(D140=0,"",E140/D140*100)</f>
        <v>107.10066918824556</v>
      </c>
    </row>
    <row r="141" spans="2:6" ht="12.75">
      <c r="B141" s="348">
        <v>723129</v>
      </c>
      <c r="C141" s="349" t="s">
        <v>436</v>
      </c>
      <c r="D141" s="350">
        <v>5780</v>
      </c>
      <c r="E141" s="350">
        <v>6355</v>
      </c>
      <c r="F141" s="353">
        <f t="shared" si="2"/>
        <v>109.94809688581316</v>
      </c>
    </row>
    <row r="142" spans="2:6" ht="12.75">
      <c r="B142" s="213"/>
      <c r="C142" s="202"/>
      <c r="D142" s="216"/>
      <c r="E142" s="216"/>
      <c r="F142" s="215">
        <f t="shared" si="2"/>
      </c>
    </row>
    <row r="143" spans="2:8" ht="15">
      <c r="B143" s="440" t="s">
        <v>481</v>
      </c>
      <c r="C143" s="441"/>
      <c r="D143" s="234">
        <f>D5+D55</f>
        <v>37178140</v>
      </c>
      <c r="E143" s="234">
        <f>E5+E55</f>
        <v>37856920</v>
      </c>
      <c r="F143" s="355">
        <f t="shared" si="2"/>
        <v>101.82575029304854</v>
      </c>
      <c r="H143" s="103"/>
    </row>
    <row r="144" spans="2:6" ht="12.75">
      <c r="B144" s="76"/>
      <c r="C144" s="74"/>
      <c r="D144" s="94"/>
      <c r="E144" s="94"/>
      <c r="F144" s="215">
        <f t="shared" si="2"/>
      </c>
    </row>
    <row r="145" spans="2:8" ht="15">
      <c r="B145" s="375">
        <v>730000</v>
      </c>
      <c r="C145" s="384" t="s">
        <v>540</v>
      </c>
      <c r="D145" s="377">
        <f>D146+D153+D166</f>
        <v>1997450</v>
      </c>
      <c r="E145" s="377">
        <f>E146+E153+E166</f>
        <v>2015188</v>
      </c>
      <c r="F145" s="351">
        <f t="shared" si="2"/>
        <v>100.88803224110741</v>
      </c>
      <c r="H145" s="103"/>
    </row>
    <row r="146" spans="2:6" ht="25.5">
      <c r="B146" s="385">
        <v>731000</v>
      </c>
      <c r="C146" s="386" t="s">
        <v>519</v>
      </c>
      <c r="D146" s="387">
        <f>D147</f>
        <v>174830</v>
      </c>
      <c r="E146" s="387">
        <f>E147</f>
        <v>136423</v>
      </c>
      <c r="F146" s="352">
        <f t="shared" si="2"/>
        <v>78.0318023222559</v>
      </c>
    </row>
    <row r="147" spans="2:6" ht="12.75">
      <c r="B147" s="226">
        <v>731100</v>
      </c>
      <c r="C147" s="340" t="s">
        <v>520</v>
      </c>
      <c r="D147" s="222">
        <f>D148+D150</f>
        <v>174830</v>
      </c>
      <c r="E147" s="222">
        <f>E148+E150</f>
        <v>136423</v>
      </c>
      <c r="F147" s="205">
        <f t="shared" si="2"/>
        <v>78.0318023222559</v>
      </c>
    </row>
    <row r="148" spans="2:6" ht="12.75">
      <c r="B148" s="213">
        <v>731111</v>
      </c>
      <c r="C148" s="329" t="s">
        <v>736</v>
      </c>
      <c r="D148" s="216">
        <f>D149</f>
        <v>20000</v>
      </c>
      <c r="E148" s="216">
        <f>E149</f>
        <v>16000</v>
      </c>
      <c r="F148" s="215">
        <f>IF(D148=0,"",E148/D148*100)</f>
        <v>80</v>
      </c>
    </row>
    <row r="149" spans="2:6" ht="12.75">
      <c r="B149" s="213"/>
      <c r="C149" s="341" t="s">
        <v>734</v>
      </c>
      <c r="D149" s="211">
        <v>20000</v>
      </c>
      <c r="E149" s="211">
        <v>16000</v>
      </c>
      <c r="F149" s="215">
        <f>IF(D149=0,"",E149/D149*100)</f>
        <v>80</v>
      </c>
    </row>
    <row r="150" spans="2:6" ht="12.75">
      <c r="B150" s="213">
        <v>731121</v>
      </c>
      <c r="C150" s="329" t="s">
        <v>521</v>
      </c>
      <c r="D150" s="216">
        <f>SUM(D151:D152)</f>
        <v>154830</v>
      </c>
      <c r="E150" s="216">
        <f>SUM(E151:E152)</f>
        <v>120423</v>
      </c>
      <c r="F150" s="215">
        <f t="shared" si="2"/>
        <v>77.77756248788994</v>
      </c>
    </row>
    <row r="151" spans="2:6" ht="12.75">
      <c r="B151" s="213"/>
      <c r="C151" s="341" t="s">
        <v>638</v>
      </c>
      <c r="D151" s="211">
        <v>17860</v>
      </c>
      <c r="E151" s="211">
        <v>6174</v>
      </c>
      <c r="F151" s="215">
        <f t="shared" si="2"/>
        <v>34.568868980963046</v>
      </c>
    </row>
    <row r="152" spans="2:6" ht="12.75">
      <c r="B152" s="213"/>
      <c r="C152" s="341" t="s">
        <v>639</v>
      </c>
      <c r="D152" s="211">
        <v>136970</v>
      </c>
      <c r="E152" s="211">
        <v>114249</v>
      </c>
      <c r="F152" s="215">
        <f t="shared" si="2"/>
        <v>83.41169599182304</v>
      </c>
    </row>
    <row r="153" spans="2:8" ht="12.75">
      <c r="B153" s="388">
        <v>732000</v>
      </c>
      <c r="C153" s="386" t="s">
        <v>522</v>
      </c>
      <c r="D153" s="387">
        <f>D154</f>
        <v>1552180</v>
      </c>
      <c r="E153" s="387">
        <f>E154</f>
        <v>1608330</v>
      </c>
      <c r="F153" s="352">
        <f t="shared" si="2"/>
        <v>103.61749281655479</v>
      </c>
      <c r="H153" s="103"/>
    </row>
    <row r="154" spans="2:6" ht="12.75">
      <c r="B154" s="226">
        <v>732100</v>
      </c>
      <c r="C154" s="340" t="s">
        <v>523</v>
      </c>
      <c r="D154" s="222">
        <f>D155+D164</f>
        <v>1552180</v>
      </c>
      <c r="E154" s="222">
        <f>E155+E164</f>
        <v>1608330</v>
      </c>
      <c r="F154" s="205">
        <f t="shared" si="2"/>
        <v>103.61749281655479</v>
      </c>
    </row>
    <row r="155" spans="2:6" ht="12.75">
      <c r="B155" s="208">
        <v>732110</v>
      </c>
      <c r="C155" s="220" t="s">
        <v>524</v>
      </c>
      <c r="D155" s="229">
        <f>D156</f>
        <v>1552180</v>
      </c>
      <c r="E155" s="229">
        <f>E156</f>
        <v>1608330</v>
      </c>
      <c r="F155" s="205">
        <f t="shared" si="2"/>
        <v>103.61749281655479</v>
      </c>
    </row>
    <row r="156" spans="2:6" ht="12.75">
      <c r="B156" s="213">
        <v>732112</v>
      </c>
      <c r="C156" s="329" t="s">
        <v>525</v>
      </c>
      <c r="D156" s="216">
        <f>SUM(D157:D163)</f>
        <v>1552180</v>
      </c>
      <c r="E156" s="216">
        <f>SUM(E157:E163)</f>
        <v>1608330</v>
      </c>
      <c r="F156" s="215">
        <f t="shared" si="2"/>
        <v>103.61749281655479</v>
      </c>
    </row>
    <row r="157" spans="2:6" ht="12.75">
      <c r="B157" s="213"/>
      <c r="C157" s="341" t="s">
        <v>692</v>
      </c>
      <c r="D157" s="211">
        <v>78860</v>
      </c>
      <c r="E157" s="211">
        <f>22028+56825+55615</f>
        <v>134468</v>
      </c>
      <c r="F157" s="215">
        <f t="shared" si="2"/>
        <v>170.5148364189703</v>
      </c>
    </row>
    <row r="158" spans="2:6" ht="25.5">
      <c r="B158" s="213"/>
      <c r="C158" s="341" t="s">
        <v>476</v>
      </c>
      <c r="D158" s="211">
        <v>268060</v>
      </c>
      <c r="E158" s="211">
        <f>268911+22321-22630</f>
        <v>268602</v>
      </c>
      <c r="F158" s="215">
        <f t="shared" si="2"/>
        <v>100.20219353875999</v>
      </c>
    </row>
    <row r="159" spans="2:6" ht="25.5">
      <c r="B159" s="213"/>
      <c r="C159" s="341" t="s">
        <v>640</v>
      </c>
      <c r="D159" s="211">
        <v>0</v>
      </c>
      <c r="E159" s="211">
        <v>0</v>
      </c>
      <c r="F159" s="215">
        <f t="shared" si="2"/>
      </c>
    </row>
    <row r="160" spans="2:6" ht="25.5" customHeight="1">
      <c r="B160" s="213"/>
      <c r="C160" s="341" t="s">
        <v>693</v>
      </c>
      <c r="D160" s="211">
        <v>2630</v>
      </c>
      <c r="E160" s="211">
        <v>2630</v>
      </c>
      <c r="F160" s="215">
        <f>IF(D160=0,"",E160/D160*100)</f>
        <v>100</v>
      </c>
    </row>
    <row r="161" spans="2:6" ht="25.5" customHeight="1">
      <c r="B161" s="213"/>
      <c r="C161" s="341" t="s">
        <v>694</v>
      </c>
      <c r="D161" s="211">
        <v>2630</v>
      </c>
      <c r="E161" s="211">
        <v>2630</v>
      </c>
      <c r="F161" s="215">
        <f>IF(D161=0,"",E161/D161*100)</f>
        <v>100</v>
      </c>
    </row>
    <row r="162" spans="2:6" ht="12.75">
      <c r="B162" s="213"/>
      <c r="C162" s="341" t="s">
        <v>695</v>
      </c>
      <c r="D162" s="211">
        <v>200000</v>
      </c>
      <c r="E162" s="211">
        <v>200000</v>
      </c>
      <c r="F162" s="215">
        <f>IF(D162=0,"",E162/D162*100)</f>
        <v>100</v>
      </c>
    </row>
    <row r="163" spans="2:6" ht="12.75">
      <c r="B163" s="213"/>
      <c r="C163" s="341" t="s">
        <v>477</v>
      </c>
      <c r="D163" s="211">
        <v>1000000</v>
      </c>
      <c r="E163" s="211">
        <v>1000000</v>
      </c>
      <c r="F163" s="215">
        <f t="shared" si="2"/>
        <v>100</v>
      </c>
    </row>
    <row r="164" spans="2:6" ht="12.75">
      <c r="B164" s="208">
        <v>732120</v>
      </c>
      <c r="C164" s="220" t="s">
        <v>526</v>
      </c>
      <c r="D164" s="229">
        <f>SUM(D165:D165)</f>
        <v>0</v>
      </c>
      <c r="E164" s="229">
        <f>SUM(E165:E165)</f>
        <v>0</v>
      </c>
      <c r="F164" s="205">
        <f t="shared" si="2"/>
      </c>
    </row>
    <row r="165" spans="2:6" ht="12.75">
      <c r="B165" s="218">
        <v>732125</v>
      </c>
      <c r="C165" s="339" t="s">
        <v>527</v>
      </c>
      <c r="D165" s="102">
        <v>0</v>
      </c>
      <c r="E165" s="102">
        <v>0</v>
      </c>
      <c r="F165" s="215">
        <f t="shared" si="2"/>
      </c>
    </row>
    <row r="166" spans="2:6" ht="12.75">
      <c r="B166" s="388">
        <v>733000</v>
      </c>
      <c r="C166" s="386" t="s">
        <v>438</v>
      </c>
      <c r="D166" s="387">
        <f>D167</f>
        <v>270440</v>
      </c>
      <c r="E166" s="387">
        <f>E167</f>
        <v>270435</v>
      </c>
      <c r="F166" s="352">
        <f t="shared" si="2"/>
        <v>99.99815116107085</v>
      </c>
    </row>
    <row r="167" spans="2:6" ht="12.75">
      <c r="B167" s="226">
        <v>733100</v>
      </c>
      <c r="C167" s="340" t="s">
        <v>439</v>
      </c>
      <c r="D167" s="222">
        <f>D168+D171</f>
        <v>270440</v>
      </c>
      <c r="E167" s="222">
        <f>E168+E171</f>
        <v>270435</v>
      </c>
      <c r="F167" s="205">
        <f t="shared" si="2"/>
        <v>99.99815116107085</v>
      </c>
    </row>
    <row r="168" spans="2:6" ht="12.75">
      <c r="B168" s="208">
        <v>733110</v>
      </c>
      <c r="C168" s="220" t="s">
        <v>440</v>
      </c>
      <c r="D168" s="229">
        <f>SUM(D169:D170)</f>
        <v>245010</v>
      </c>
      <c r="E168" s="229">
        <f>SUM(E169:E170)</f>
        <v>245009</v>
      </c>
      <c r="F168" s="205">
        <f t="shared" si="2"/>
        <v>99.99959185339374</v>
      </c>
    </row>
    <row r="169" spans="2:6" ht="12.75">
      <c r="B169" s="213">
        <v>733112</v>
      </c>
      <c r="C169" s="341" t="s">
        <v>701</v>
      </c>
      <c r="D169" s="211">
        <v>300</v>
      </c>
      <c r="E169" s="211">
        <v>300</v>
      </c>
      <c r="F169" s="215">
        <f>IF(D169=0,"",E169/D169*100)</f>
        <v>100</v>
      </c>
    </row>
    <row r="170" spans="2:6" ht="12.75">
      <c r="B170" s="213">
        <v>733116</v>
      </c>
      <c r="C170" s="341" t="s">
        <v>698</v>
      </c>
      <c r="D170" s="211">
        <f>228080+16630</f>
        <v>244710</v>
      </c>
      <c r="E170" s="211">
        <v>244709</v>
      </c>
      <c r="F170" s="215">
        <f t="shared" si="2"/>
        <v>99.99959135303011</v>
      </c>
    </row>
    <row r="171" spans="2:6" ht="12.75">
      <c r="B171" s="208">
        <v>733120</v>
      </c>
      <c r="C171" s="220" t="s">
        <v>441</v>
      </c>
      <c r="D171" s="229">
        <f>D172+D173</f>
        <v>25430</v>
      </c>
      <c r="E171" s="229">
        <f>E172+E173</f>
        <v>25426</v>
      </c>
      <c r="F171" s="205">
        <f t="shared" si="2"/>
        <v>99.98427054659851</v>
      </c>
    </row>
    <row r="172" spans="2:6" ht="12.75">
      <c r="B172" s="213">
        <v>733121</v>
      </c>
      <c r="C172" s="341" t="s">
        <v>478</v>
      </c>
      <c r="D172" s="179">
        <v>25430</v>
      </c>
      <c r="E172" s="179">
        <v>25426</v>
      </c>
      <c r="F172" s="215">
        <f>IF(D172=0,"",E172/D172*100)</f>
        <v>99.98427054659851</v>
      </c>
    </row>
    <row r="173" spans="2:6" ht="12.75">
      <c r="B173" s="213">
        <v>733126</v>
      </c>
      <c r="C173" s="341" t="s">
        <v>480</v>
      </c>
      <c r="D173" s="179">
        <v>0</v>
      </c>
      <c r="E173" s="179">
        <v>0</v>
      </c>
      <c r="F173" s="215">
        <f t="shared" si="2"/>
      </c>
    </row>
    <row r="174" spans="2:6" ht="12.75">
      <c r="B174" s="52"/>
      <c r="C174" s="75"/>
      <c r="D174" s="93"/>
      <c r="E174" s="93"/>
      <c r="F174" s="215">
        <f t="shared" si="2"/>
      </c>
    </row>
    <row r="175" spans="2:6" ht="15">
      <c r="B175" s="375">
        <v>740000</v>
      </c>
      <c r="C175" s="384" t="s">
        <v>528</v>
      </c>
      <c r="D175" s="377">
        <f>D176+D182</f>
        <v>462680</v>
      </c>
      <c r="E175" s="377">
        <f>E176+E182</f>
        <v>373825</v>
      </c>
      <c r="F175" s="351">
        <f t="shared" si="2"/>
        <v>80.79558225987724</v>
      </c>
    </row>
    <row r="176" spans="2:6" ht="25.5">
      <c r="B176" s="388">
        <v>741000</v>
      </c>
      <c r="C176" s="386" t="s">
        <v>529</v>
      </c>
      <c r="D176" s="387">
        <f>D177</f>
        <v>105430</v>
      </c>
      <c r="E176" s="387">
        <f>E177</f>
        <v>18594</v>
      </c>
      <c r="F176" s="352">
        <f t="shared" si="2"/>
        <v>17.63634639097031</v>
      </c>
    </row>
    <row r="177" spans="2:6" ht="25.5">
      <c r="B177" s="226">
        <v>741100</v>
      </c>
      <c r="C177" s="342" t="s">
        <v>530</v>
      </c>
      <c r="D177" s="222">
        <f>D178</f>
        <v>105430</v>
      </c>
      <c r="E177" s="222">
        <f>E178</f>
        <v>18594</v>
      </c>
      <c r="F177" s="205">
        <f t="shared" si="2"/>
        <v>17.63634639097031</v>
      </c>
    </row>
    <row r="178" spans="2:6" ht="12.75">
      <c r="B178" s="218">
        <v>741111</v>
      </c>
      <c r="C178" s="329" t="s">
        <v>531</v>
      </c>
      <c r="D178" s="102">
        <f>SUM(D179:D181)</f>
        <v>105430</v>
      </c>
      <c r="E178" s="102">
        <f>SUM(E179:E181)</f>
        <v>18594</v>
      </c>
      <c r="F178" s="215">
        <f t="shared" si="2"/>
        <v>17.63634639097031</v>
      </c>
    </row>
    <row r="179" spans="2:6" ht="12.75">
      <c r="B179" s="213"/>
      <c r="C179" s="341" t="s">
        <v>697</v>
      </c>
      <c r="D179" s="211">
        <v>86830</v>
      </c>
      <c r="E179" s="211">
        <v>0</v>
      </c>
      <c r="F179" s="215">
        <f>IF(D179=0,"",E179/D179*100)</f>
        <v>0</v>
      </c>
    </row>
    <row r="180" spans="2:6" ht="12.75">
      <c r="B180" s="213"/>
      <c r="C180" s="341" t="s">
        <v>642</v>
      </c>
      <c r="D180" s="211">
        <v>0</v>
      </c>
      <c r="E180" s="211">
        <v>0</v>
      </c>
      <c r="F180" s="215">
        <f>IF(D180=0,"",E180/D180*100)</f>
      </c>
    </row>
    <row r="181" spans="2:6" ht="25.5">
      <c r="B181" s="213"/>
      <c r="C181" s="341" t="s">
        <v>641</v>
      </c>
      <c r="D181" s="211">
        <v>18600</v>
      </c>
      <c r="E181" s="211">
        <v>18594</v>
      </c>
      <c r="F181" s="215">
        <f t="shared" si="2"/>
        <v>99.96774193548387</v>
      </c>
    </row>
    <row r="182" spans="2:6" ht="12.75">
      <c r="B182" s="388">
        <v>742000</v>
      </c>
      <c r="C182" s="386" t="s">
        <v>532</v>
      </c>
      <c r="D182" s="387">
        <f>D183</f>
        <v>357250</v>
      </c>
      <c r="E182" s="387">
        <f>E183</f>
        <v>355231</v>
      </c>
      <c r="F182" s="352">
        <f t="shared" si="2"/>
        <v>99.43484954513646</v>
      </c>
    </row>
    <row r="183" spans="2:6" ht="12.75">
      <c r="B183" s="226">
        <v>742100</v>
      </c>
      <c r="C183" s="342" t="s">
        <v>533</v>
      </c>
      <c r="D183" s="222">
        <f>D184+D186+D195</f>
        <v>357250</v>
      </c>
      <c r="E183" s="222">
        <f>E184+E186+E195</f>
        <v>355231</v>
      </c>
      <c r="F183" s="205">
        <f t="shared" si="2"/>
        <v>99.43484954513646</v>
      </c>
    </row>
    <row r="184" spans="2:6" ht="12.75">
      <c r="B184" s="218">
        <v>742111</v>
      </c>
      <c r="C184" s="329" t="s">
        <v>699</v>
      </c>
      <c r="D184" s="102">
        <f>D185</f>
        <v>3000</v>
      </c>
      <c r="E184" s="102">
        <f>E185</f>
        <v>3000</v>
      </c>
      <c r="F184" s="215">
        <f>IF(D184=0,"",E184/D184*100)</f>
        <v>100</v>
      </c>
    </row>
    <row r="185" spans="2:6" ht="12.75">
      <c r="B185" s="208"/>
      <c r="C185" s="341" t="s">
        <v>700</v>
      </c>
      <c r="D185" s="179">
        <v>3000</v>
      </c>
      <c r="E185" s="179">
        <v>3000</v>
      </c>
      <c r="F185" s="215">
        <f>IF(D185=0,"",E185/D185*100)</f>
        <v>100</v>
      </c>
    </row>
    <row r="186" spans="2:6" ht="12.75">
      <c r="B186" s="218">
        <v>742112</v>
      </c>
      <c r="C186" s="329" t="s">
        <v>534</v>
      </c>
      <c r="D186" s="102">
        <f>SUM(D187:D194)</f>
        <v>348250</v>
      </c>
      <c r="E186" s="102">
        <f>SUM(E187:E194)</f>
        <v>346231</v>
      </c>
      <c r="F186" s="215">
        <f t="shared" si="2"/>
        <v>99.42024407753051</v>
      </c>
    </row>
    <row r="187" spans="2:6" ht="12.75">
      <c r="B187" s="208"/>
      <c r="C187" s="341" t="s">
        <v>644</v>
      </c>
      <c r="D187" s="179">
        <v>100000</v>
      </c>
      <c r="E187" s="179">
        <v>100000</v>
      </c>
      <c r="F187" s="215">
        <f t="shared" si="2"/>
        <v>100</v>
      </c>
    </row>
    <row r="188" spans="2:6" ht="25.5">
      <c r="B188" s="208"/>
      <c r="C188" s="341" t="s">
        <v>645</v>
      </c>
      <c r="D188" s="179">
        <v>100000</v>
      </c>
      <c r="E188" s="179">
        <v>100000</v>
      </c>
      <c r="F188" s="215">
        <f t="shared" si="2"/>
        <v>100</v>
      </c>
    </row>
    <row r="189" spans="2:6" ht="25.5">
      <c r="B189" s="208"/>
      <c r="C189" s="341" t="s">
        <v>646</v>
      </c>
      <c r="D189" s="179">
        <v>100000</v>
      </c>
      <c r="E189" s="179">
        <v>100000</v>
      </c>
      <c r="F189" s="215">
        <f t="shared" si="2"/>
        <v>100</v>
      </c>
    </row>
    <row r="190" spans="2:6" ht="25.5" customHeight="1">
      <c r="B190" s="213"/>
      <c r="C190" s="341" t="s">
        <v>704</v>
      </c>
      <c r="D190" s="211">
        <v>8340</v>
      </c>
      <c r="E190" s="211">
        <v>6328</v>
      </c>
      <c r="F190" s="215">
        <f>IF(D190=0,"",E190/D190*100)</f>
        <v>75.87529976019185</v>
      </c>
    </row>
    <row r="191" spans="2:6" ht="12.75">
      <c r="B191" s="208"/>
      <c r="C191" s="341" t="s">
        <v>478</v>
      </c>
      <c r="D191" s="179">
        <v>0</v>
      </c>
      <c r="E191" s="179">
        <v>0</v>
      </c>
      <c r="F191" s="215">
        <f t="shared" si="2"/>
      </c>
    </row>
    <row r="192" spans="2:6" ht="12.75">
      <c r="B192" s="213"/>
      <c r="C192" s="341" t="s">
        <v>647</v>
      </c>
      <c r="D192" s="211">
        <v>34910</v>
      </c>
      <c r="E192" s="211">
        <v>34903</v>
      </c>
      <c r="F192" s="215">
        <f t="shared" si="2"/>
        <v>99.97994843884274</v>
      </c>
    </row>
    <row r="193" spans="2:6" ht="12.75">
      <c r="B193" s="213"/>
      <c r="C193" s="341" t="s">
        <v>648</v>
      </c>
      <c r="D193" s="211">
        <v>5000</v>
      </c>
      <c r="E193" s="211">
        <v>5000</v>
      </c>
      <c r="F193" s="215">
        <f aca="true" t="shared" si="3" ref="F193:F212">IF(D193=0,"",E193/D193*100)</f>
        <v>100</v>
      </c>
    </row>
    <row r="194" spans="2:6" ht="12.75">
      <c r="B194" s="213"/>
      <c r="C194" s="341" t="s">
        <v>649</v>
      </c>
      <c r="D194" s="211">
        <v>0</v>
      </c>
      <c r="E194" s="211">
        <v>0</v>
      </c>
      <c r="F194" s="215">
        <f t="shared" si="3"/>
      </c>
    </row>
    <row r="195" spans="2:6" ht="12.75">
      <c r="B195" s="218">
        <v>742116</v>
      </c>
      <c r="C195" s="329" t="s">
        <v>696</v>
      </c>
      <c r="D195" s="102">
        <f>D196</f>
        <v>6000</v>
      </c>
      <c r="E195" s="102">
        <f>E196</f>
        <v>6000</v>
      </c>
      <c r="F195" s="215">
        <f>IF(D195=0,"",E195/D195*100)</f>
        <v>100</v>
      </c>
    </row>
    <row r="196" spans="2:6" ht="12.75">
      <c r="B196" s="208"/>
      <c r="C196" s="341" t="s">
        <v>478</v>
      </c>
      <c r="D196" s="179">
        <v>6000</v>
      </c>
      <c r="E196" s="179">
        <v>6000</v>
      </c>
      <c r="F196" s="215">
        <f>IF(D196=0,"",E196/D196*100)</f>
        <v>100</v>
      </c>
    </row>
    <row r="197" spans="2:6" ht="12.75">
      <c r="B197" s="208"/>
      <c r="C197" s="341"/>
      <c r="D197" s="179"/>
      <c r="E197" s="179"/>
      <c r="F197" s="215">
        <f t="shared" si="3"/>
      </c>
    </row>
    <row r="198" spans="2:6" ht="15">
      <c r="B198" s="375">
        <v>777000</v>
      </c>
      <c r="C198" s="376" t="s">
        <v>442</v>
      </c>
      <c r="D198" s="389">
        <f>SUM(D199:D200)</f>
        <v>179200</v>
      </c>
      <c r="E198" s="389">
        <f>SUM(E199:E200)</f>
        <v>202236</v>
      </c>
      <c r="F198" s="371">
        <f t="shared" si="3"/>
        <v>112.85491071428571</v>
      </c>
    </row>
    <row r="199" spans="2:6" ht="12.75">
      <c r="B199" s="203">
        <v>777778</v>
      </c>
      <c r="C199" s="339" t="s">
        <v>443</v>
      </c>
      <c r="D199" s="94">
        <v>142800</v>
      </c>
      <c r="E199" s="94">
        <v>148143</v>
      </c>
      <c r="F199" s="372">
        <f t="shared" si="3"/>
        <v>103.74159663865545</v>
      </c>
    </row>
    <row r="200" spans="2:6" ht="12.75">
      <c r="B200" s="203">
        <v>777779</v>
      </c>
      <c r="C200" s="329" t="s">
        <v>444</v>
      </c>
      <c r="D200" s="94">
        <v>36400</v>
      </c>
      <c r="E200" s="94">
        <v>54093</v>
      </c>
      <c r="F200" s="372">
        <f t="shared" si="3"/>
        <v>148.60714285714286</v>
      </c>
    </row>
    <row r="201" spans="2:6" ht="12.75">
      <c r="B201" s="100"/>
      <c r="C201" s="101"/>
      <c r="D201" s="179"/>
      <c r="E201" s="179"/>
      <c r="F201" s="215">
        <f t="shared" si="3"/>
      </c>
    </row>
    <row r="202" spans="2:6" ht="15">
      <c r="B202" s="440" t="s">
        <v>482</v>
      </c>
      <c r="C202" s="441"/>
      <c r="D202" s="234">
        <f>D143+D145+D175+D198</f>
        <v>39817470</v>
      </c>
      <c r="E202" s="234">
        <f>E143+E145+E175+E198</f>
        <v>40448169</v>
      </c>
      <c r="F202" s="355">
        <f t="shared" si="3"/>
        <v>101.5839755765497</v>
      </c>
    </row>
    <row r="203" spans="2:6" ht="15">
      <c r="B203" s="232"/>
      <c r="C203" s="233"/>
      <c r="D203" s="234"/>
      <c r="E203" s="234"/>
      <c r="F203" s="215">
        <f t="shared" si="3"/>
      </c>
    </row>
    <row r="204" spans="2:6" ht="15">
      <c r="B204" s="375">
        <v>810000</v>
      </c>
      <c r="C204" s="376" t="s">
        <v>445</v>
      </c>
      <c r="D204" s="377">
        <f>D205</f>
        <v>7510</v>
      </c>
      <c r="E204" s="377">
        <f>E205</f>
        <v>1504</v>
      </c>
      <c r="F204" s="352">
        <f t="shared" si="3"/>
        <v>20.026631158455395</v>
      </c>
    </row>
    <row r="205" spans="2:6" ht="12.75">
      <c r="B205" s="385">
        <v>811000</v>
      </c>
      <c r="C205" s="386" t="s">
        <v>447</v>
      </c>
      <c r="D205" s="387">
        <f>SUM(D206:D206)</f>
        <v>7510</v>
      </c>
      <c r="E205" s="387">
        <f>SUM(E206:E206)</f>
        <v>1504</v>
      </c>
      <c r="F205" s="352">
        <f t="shared" si="3"/>
        <v>20.026631158455395</v>
      </c>
    </row>
    <row r="206" spans="2:6" ht="12.75">
      <c r="B206" s="226">
        <v>811100</v>
      </c>
      <c r="C206" s="231" t="s">
        <v>446</v>
      </c>
      <c r="D206" s="229">
        <f>D207+D209</f>
        <v>7510</v>
      </c>
      <c r="E206" s="229">
        <f>E207+E209</f>
        <v>1504</v>
      </c>
      <c r="F206" s="205">
        <f t="shared" si="3"/>
        <v>20.026631158455395</v>
      </c>
    </row>
    <row r="207" spans="2:6" ht="12.75">
      <c r="B207" s="203">
        <v>811111</v>
      </c>
      <c r="C207" s="339" t="s">
        <v>728</v>
      </c>
      <c r="D207" s="94">
        <f>D208</f>
        <v>1510</v>
      </c>
      <c r="E207" s="94">
        <f>E208</f>
        <v>1504</v>
      </c>
      <c r="F207" s="372">
        <f>IF(D207=0,"",E207/D207*100)</f>
        <v>99.60264900662251</v>
      </c>
    </row>
    <row r="208" spans="2:6" ht="12.75">
      <c r="B208" s="203"/>
      <c r="C208" s="341" t="s">
        <v>643</v>
      </c>
      <c r="D208" s="94">
        <v>1510</v>
      </c>
      <c r="E208" s="94">
        <v>1504</v>
      </c>
      <c r="F208" s="372"/>
    </row>
    <row r="209" spans="2:6" ht="12.75">
      <c r="B209" s="203">
        <v>811114</v>
      </c>
      <c r="C209" s="329" t="s">
        <v>729</v>
      </c>
      <c r="D209" s="94">
        <f>D210</f>
        <v>6000</v>
      </c>
      <c r="E209" s="94">
        <f>E210</f>
        <v>0</v>
      </c>
      <c r="F209" s="372">
        <f>IF(D209=0,"",E209/D209*100)</f>
        <v>0</v>
      </c>
    </row>
    <row r="210" spans="2:6" ht="12.75">
      <c r="B210" s="203"/>
      <c r="C210" s="341" t="s">
        <v>730</v>
      </c>
      <c r="D210" s="94">
        <v>6000</v>
      </c>
      <c r="E210" s="94">
        <v>0</v>
      </c>
      <c r="F210" s="372"/>
    </row>
    <row r="211" spans="2:6" ht="13.5" thickBot="1">
      <c r="B211" s="293"/>
      <c r="C211" s="294"/>
      <c r="D211" s="294"/>
      <c r="E211" s="294"/>
      <c r="F211" s="287">
        <f t="shared" si="3"/>
      </c>
    </row>
    <row r="212" spans="2:8" ht="15.75" thickBot="1">
      <c r="B212" s="442" t="s">
        <v>535</v>
      </c>
      <c r="C212" s="443"/>
      <c r="D212" s="390">
        <f>D202+D204</f>
        <v>39824980</v>
      </c>
      <c r="E212" s="390">
        <f>E202+E204</f>
        <v>40449673</v>
      </c>
      <c r="F212" s="356">
        <f t="shared" si="3"/>
        <v>101.56859589132247</v>
      </c>
      <c r="H212" s="103"/>
    </row>
  </sheetData>
  <sheetProtection/>
  <mergeCells count="4">
    <mergeCell ref="B2:F2"/>
    <mergeCell ref="B143:C143"/>
    <mergeCell ref="B202:C202"/>
    <mergeCell ref="B212:C212"/>
  </mergeCells>
  <printOptions/>
  <pageMargins left="0.4330708661417323" right="0.15748031496062992" top="0.57" bottom="0.7480314960629921" header="0.31496062992125984" footer="0.4330708661417323"/>
  <pageSetup firstPageNumber="2" useFirstPageNumber="1" horizontalDpi="600" verticalDpi="600" orientation="portrait" paperSize="9" scale="81" r:id="rId1"/>
  <headerFooter alignWithMargins="0"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B2:L48"/>
  <sheetViews>
    <sheetView workbookViewId="0" topLeftCell="A12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230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161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55620</v>
      </c>
      <c r="H7" s="20">
        <f>SUM(H8:H11)</f>
        <v>55620</v>
      </c>
      <c r="I7" s="20">
        <f>SUM(I8:I11)</f>
        <v>54042</v>
      </c>
      <c r="J7" s="153">
        <f aca="true" t="shared" si="0" ref="J7:J44">IF(H7=0,"",I7/H7*100)</f>
        <v>97.16289104638619</v>
      </c>
    </row>
    <row r="8" spans="2:12" ht="12.75" customHeight="1">
      <c r="B8" s="14"/>
      <c r="C8" s="15"/>
      <c r="D8" s="15"/>
      <c r="E8" s="16">
        <v>611100</v>
      </c>
      <c r="F8" s="26" t="s">
        <v>204</v>
      </c>
      <c r="G8" s="84">
        <v>43800</v>
      </c>
      <c r="H8" s="84">
        <v>43800</v>
      </c>
      <c r="I8" s="84">
        <v>43149</v>
      </c>
      <c r="J8" s="154">
        <f t="shared" si="0"/>
        <v>98.51369863013699</v>
      </c>
      <c r="K8" s="113"/>
      <c r="L8" s="113"/>
    </row>
    <row r="9" spans="2:12" ht="12.75" customHeight="1">
      <c r="B9" s="14"/>
      <c r="C9" s="15"/>
      <c r="D9" s="15"/>
      <c r="E9" s="16">
        <v>611200</v>
      </c>
      <c r="F9" s="15" t="s">
        <v>205</v>
      </c>
      <c r="G9" s="84">
        <v>9620</v>
      </c>
      <c r="H9" s="84">
        <f>8900+3*240-70</f>
        <v>9550</v>
      </c>
      <c r="I9" s="84">
        <v>8623</v>
      </c>
      <c r="J9" s="154">
        <f t="shared" si="0"/>
        <v>90.29319371727749</v>
      </c>
      <c r="K9" s="290"/>
      <c r="L9" s="113"/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2200</v>
      </c>
      <c r="H10" s="84">
        <f>2200+70</f>
        <v>2270</v>
      </c>
      <c r="I10" s="84">
        <v>2270</v>
      </c>
      <c r="J10" s="154">
        <f t="shared" si="0"/>
        <v>100</v>
      </c>
      <c r="K10" s="290"/>
      <c r="L10" s="394"/>
    </row>
    <row r="11" spans="2:12" ht="12.75" customHeight="1">
      <c r="B11" s="14"/>
      <c r="C11" s="15"/>
      <c r="D11" s="15"/>
      <c r="E11" s="16"/>
      <c r="F11" s="26"/>
      <c r="G11" s="45"/>
      <c r="H11" s="45"/>
      <c r="I11" s="45"/>
      <c r="J11" s="154">
        <f t="shared" si="0"/>
      </c>
      <c r="K11" s="113"/>
      <c r="L11" s="113"/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  <c r="K12" s="113"/>
      <c r="L12" s="113"/>
    </row>
    <row r="13" spans="2:12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5100</v>
      </c>
      <c r="H13" s="20">
        <f>H14</f>
        <v>5100</v>
      </c>
      <c r="I13" s="20">
        <f>I14</f>
        <v>4571</v>
      </c>
      <c r="J13" s="153">
        <f t="shared" si="0"/>
        <v>89.62745098039215</v>
      </c>
      <c r="K13" s="114"/>
      <c r="L13" s="114"/>
    </row>
    <row r="14" spans="2:12" ht="12.75" customHeight="1">
      <c r="B14" s="14"/>
      <c r="C14" s="15"/>
      <c r="D14" s="15"/>
      <c r="E14" s="16">
        <v>612100</v>
      </c>
      <c r="F14" s="18" t="s">
        <v>85</v>
      </c>
      <c r="G14" s="45">
        <v>5100</v>
      </c>
      <c r="H14" s="45">
        <v>5100</v>
      </c>
      <c r="I14" s="45">
        <v>4571</v>
      </c>
      <c r="J14" s="154">
        <f t="shared" si="0"/>
        <v>89.62745098039215</v>
      </c>
      <c r="K14" s="113"/>
      <c r="L14" s="113"/>
    </row>
    <row r="15" spans="2:12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  <c r="K15" s="113"/>
      <c r="L15" s="113"/>
    </row>
    <row r="16" spans="2:12" ht="12.75" customHeight="1">
      <c r="B16" s="14"/>
      <c r="C16" s="15"/>
      <c r="D16" s="15"/>
      <c r="E16" s="16"/>
      <c r="F16" s="15"/>
      <c r="G16" s="51"/>
      <c r="H16" s="51"/>
      <c r="I16" s="51"/>
      <c r="J16" s="154">
        <f t="shared" si="0"/>
      </c>
      <c r="K16" s="113"/>
      <c r="L16" s="113"/>
    </row>
    <row r="17" spans="2:12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13150</v>
      </c>
      <c r="H17" s="51">
        <f>SUM(H18:H27)</f>
        <v>13150</v>
      </c>
      <c r="I17" s="51">
        <f>SUM(I18:I27)</f>
        <v>11599</v>
      </c>
      <c r="J17" s="153">
        <f t="shared" si="0"/>
        <v>88.20532319391636</v>
      </c>
      <c r="K17" s="114"/>
      <c r="L17" s="114"/>
    </row>
    <row r="18" spans="2:12" ht="12.75" customHeight="1">
      <c r="B18" s="14"/>
      <c r="C18" s="15"/>
      <c r="D18" s="15"/>
      <c r="E18" s="16">
        <v>613100</v>
      </c>
      <c r="F18" s="15" t="s">
        <v>86</v>
      </c>
      <c r="G18" s="45">
        <v>1000</v>
      </c>
      <c r="H18" s="45">
        <v>1000</v>
      </c>
      <c r="I18" s="45">
        <v>479</v>
      </c>
      <c r="J18" s="154">
        <f t="shared" si="0"/>
        <v>47.9</v>
      </c>
      <c r="K18" s="113"/>
      <c r="L18" s="113"/>
    </row>
    <row r="19" spans="2:12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  <c r="K19" s="113"/>
      <c r="L19" s="113"/>
    </row>
    <row r="20" spans="2:12" ht="12.75" customHeight="1">
      <c r="B20" s="14"/>
      <c r="C20" s="15"/>
      <c r="D20" s="15"/>
      <c r="E20" s="16">
        <v>613300</v>
      </c>
      <c r="F20" s="26" t="s">
        <v>206</v>
      </c>
      <c r="G20" s="84">
        <v>3200</v>
      </c>
      <c r="H20" s="84">
        <v>3200</v>
      </c>
      <c r="I20" s="84">
        <v>2785</v>
      </c>
      <c r="J20" s="154">
        <f t="shared" si="0"/>
        <v>87.03125</v>
      </c>
      <c r="K20" s="112"/>
      <c r="L20" s="113"/>
    </row>
    <row r="21" spans="2:12" ht="12.75" customHeight="1">
      <c r="B21" s="14"/>
      <c r="C21" s="15"/>
      <c r="D21" s="15"/>
      <c r="E21" s="16">
        <v>613400</v>
      </c>
      <c r="F21" s="15" t="s">
        <v>170</v>
      </c>
      <c r="G21" s="45">
        <v>1200</v>
      </c>
      <c r="H21" s="45">
        <v>1200</v>
      </c>
      <c r="I21" s="45">
        <v>1009</v>
      </c>
      <c r="J21" s="154">
        <f t="shared" si="0"/>
        <v>84.08333333333333</v>
      </c>
      <c r="K21" s="113"/>
      <c r="L21" s="113"/>
    </row>
    <row r="22" spans="2:12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  <c r="K22" s="113"/>
      <c r="L22" s="113"/>
    </row>
    <row r="23" spans="2:12" ht="12.75" customHeight="1">
      <c r="B23" s="14"/>
      <c r="C23" s="15"/>
      <c r="D23" s="15"/>
      <c r="E23" s="16">
        <v>613600</v>
      </c>
      <c r="F23" s="26" t="s">
        <v>207</v>
      </c>
      <c r="G23" s="45">
        <v>0</v>
      </c>
      <c r="H23" s="45">
        <v>0</v>
      </c>
      <c r="I23" s="45">
        <v>0</v>
      </c>
      <c r="J23" s="154">
        <f t="shared" si="0"/>
      </c>
      <c r="K23" s="113"/>
      <c r="L23" s="113"/>
    </row>
    <row r="24" spans="2:12" ht="12.75" customHeight="1">
      <c r="B24" s="14"/>
      <c r="C24" s="15"/>
      <c r="D24" s="15"/>
      <c r="E24" s="16">
        <v>613700</v>
      </c>
      <c r="F24" s="15" t="s">
        <v>89</v>
      </c>
      <c r="G24" s="84">
        <v>250</v>
      </c>
      <c r="H24" s="84">
        <v>250</v>
      </c>
      <c r="I24" s="84">
        <v>210</v>
      </c>
      <c r="J24" s="154">
        <f t="shared" si="0"/>
        <v>84</v>
      </c>
      <c r="K24" s="113"/>
      <c r="L24" s="113"/>
    </row>
    <row r="25" spans="2:12" ht="12.75" customHeight="1">
      <c r="B25" s="14"/>
      <c r="C25" s="15"/>
      <c r="D25" s="15"/>
      <c r="E25" s="16">
        <v>613800</v>
      </c>
      <c r="F25" s="15" t="s">
        <v>171</v>
      </c>
      <c r="G25" s="84">
        <v>0</v>
      </c>
      <c r="H25" s="84">
        <v>0</v>
      </c>
      <c r="I25" s="84">
        <v>0</v>
      </c>
      <c r="J25" s="154">
        <f t="shared" si="0"/>
      </c>
      <c r="K25" s="113"/>
      <c r="L25" s="113"/>
    </row>
    <row r="26" spans="2:12" ht="12.75" customHeight="1">
      <c r="B26" s="14"/>
      <c r="C26" s="15"/>
      <c r="D26" s="15"/>
      <c r="E26" s="16">
        <v>613900</v>
      </c>
      <c r="F26" s="15" t="s">
        <v>172</v>
      </c>
      <c r="G26" s="84">
        <v>4200</v>
      </c>
      <c r="H26" s="84">
        <f>4200-270</f>
        <v>3930</v>
      </c>
      <c r="I26" s="84">
        <v>3550</v>
      </c>
      <c r="J26" s="154">
        <f t="shared" si="0"/>
        <v>90.33078880407125</v>
      </c>
      <c r="K26" s="290"/>
      <c r="L26" s="113"/>
    </row>
    <row r="27" spans="2:12" ht="12.75" customHeight="1">
      <c r="B27" s="14"/>
      <c r="C27" s="15"/>
      <c r="D27" s="15"/>
      <c r="E27" s="16">
        <v>613900</v>
      </c>
      <c r="F27" s="366" t="s">
        <v>666</v>
      </c>
      <c r="G27" s="118">
        <v>3300</v>
      </c>
      <c r="H27" s="118">
        <f>3300+270</f>
        <v>3570</v>
      </c>
      <c r="I27" s="118">
        <v>3566</v>
      </c>
      <c r="J27" s="154">
        <f t="shared" si="0"/>
        <v>99.88795518207283</v>
      </c>
      <c r="K27" s="290"/>
      <c r="L27" s="113"/>
    </row>
    <row r="28" spans="2:10" s="1" customFormat="1" ht="12.75" customHeight="1">
      <c r="B28" s="17"/>
      <c r="C28" s="12"/>
      <c r="D28" s="12"/>
      <c r="E28" s="9"/>
      <c r="F28" s="12"/>
      <c r="G28" s="84"/>
      <c r="H28" s="84"/>
      <c r="I28" s="84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84"/>
      <c r="H29" s="84"/>
      <c r="I29" s="84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84"/>
      <c r="H30" s="84"/>
      <c r="I30" s="84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84"/>
      <c r="H31" s="84"/>
      <c r="I31" s="84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84"/>
      <c r="H32" s="84"/>
      <c r="I32" s="84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84"/>
      <c r="H33" s="84"/>
      <c r="I33" s="84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84"/>
      <c r="H34" s="84"/>
      <c r="I34" s="84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G37+G38</f>
        <v>1000</v>
      </c>
      <c r="H36" s="109">
        <f>H37+H38</f>
        <v>1000</v>
      </c>
      <c r="I36" s="109">
        <f>I37+I38</f>
        <v>405</v>
      </c>
      <c r="J36" s="153">
        <f t="shared" si="0"/>
        <v>40.5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84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84">
        <v>1000</v>
      </c>
      <c r="H38" s="84">
        <v>1000</v>
      </c>
      <c r="I38" s="84">
        <v>405</v>
      </c>
      <c r="J38" s="154">
        <f t="shared" si="0"/>
        <v>40.5</v>
      </c>
    </row>
    <row r="39" spans="2:10" ht="12.75" customHeight="1">
      <c r="B39" s="14"/>
      <c r="C39" s="15"/>
      <c r="D39" s="15"/>
      <c r="E39" s="16"/>
      <c r="F39" s="26"/>
      <c r="G39" s="84"/>
      <c r="H39" s="84"/>
      <c r="I39" s="84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20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20">
        <v>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74870</v>
      </c>
      <c r="H42" s="20">
        <f>H7+H13+H17+H36</f>
        <v>74870</v>
      </c>
      <c r="I42" s="20">
        <f>I7+I13+I17+I36</f>
        <v>70617</v>
      </c>
      <c r="J42" s="153">
        <f t="shared" si="0"/>
        <v>94.31948711099238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74870</v>
      </c>
      <c r="H43" s="20">
        <f t="shared" si="1"/>
        <v>74870</v>
      </c>
      <c r="I43" s="20">
        <f t="shared" si="1"/>
        <v>70617</v>
      </c>
      <c r="J43" s="153">
        <f t="shared" si="0"/>
        <v>94.31948711099238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74870</v>
      </c>
      <c r="H44" s="20">
        <f t="shared" si="1"/>
        <v>74870</v>
      </c>
      <c r="I44" s="20">
        <f t="shared" si="1"/>
        <v>70617</v>
      </c>
      <c r="J44" s="153">
        <f t="shared" si="0"/>
        <v>94.31948711099238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  <row r="48" ht="12.75">
      <c r="B48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B2:L49"/>
  <sheetViews>
    <sheetView workbookViewId="0" topLeftCell="A15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163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162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470220</v>
      </c>
      <c r="H7" s="20">
        <f>SUM(H8:H11)</f>
        <v>470220</v>
      </c>
      <c r="I7" s="20">
        <f>SUM(I8:I11)</f>
        <v>463727</v>
      </c>
      <c r="J7" s="153">
        <f aca="true" t="shared" si="0" ref="J7:J44">IF(H7=0,"",I7/H7*100)</f>
        <v>98.61915699034495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118">
        <v>391400</v>
      </c>
      <c r="H8" s="118">
        <v>391400</v>
      </c>
      <c r="I8" s="118">
        <v>388240</v>
      </c>
      <c r="J8" s="154">
        <f t="shared" si="0"/>
        <v>99.19264179867143</v>
      </c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118">
        <v>68620</v>
      </c>
      <c r="H9" s="118">
        <f>65500+13*240-260</f>
        <v>68360</v>
      </c>
      <c r="I9" s="118">
        <v>65033</v>
      </c>
      <c r="J9" s="154">
        <f t="shared" si="0"/>
        <v>95.13311878291398</v>
      </c>
      <c r="K9" s="91"/>
    </row>
    <row r="10" spans="2:12" ht="12.75" customHeight="1">
      <c r="B10" s="14"/>
      <c r="C10" s="15"/>
      <c r="D10" s="15"/>
      <c r="E10" s="16">
        <v>611200</v>
      </c>
      <c r="F10" s="366" t="s">
        <v>685</v>
      </c>
      <c r="G10" s="84">
        <v>10200</v>
      </c>
      <c r="H10" s="84">
        <f>10200+260</f>
        <v>10460</v>
      </c>
      <c r="I10" s="84">
        <v>10454</v>
      </c>
      <c r="J10" s="154">
        <f t="shared" si="0"/>
        <v>99.94263862332696</v>
      </c>
      <c r="K10" s="91"/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2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  <c r="L12" s="83"/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42100</v>
      </c>
      <c r="H13" s="20">
        <f>H14</f>
        <v>42100</v>
      </c>
      <c r="I13" s="20">
        <f>I14</f>
        <v>40940</v>
      </c>
      <c r="J13" s="153">
        <f t="shared" si="0"/>
        <v>97.24465558194775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118">
        <v>42100</v>
      </c>
      <c r="H14" s="118">
        <v>42100</v>
      </c>
      <c r="I14" s="118">
        <v>40940</v>
      </c>
      <c r="J14" s="154">
        <f t="shared" si="0"/>
        <v>97.24465558194775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100600</v>
      </c>
      <c r="H17" s="51">
        <f>SUM(H18:H27)</f>
        <v>100600</v>
      </c>
      <c r="I17" s="51">
        <f>SUM(I18:I27)</f>
        <v>88971</v>
      </c>
      <c r="J17" s="153">
        <f t="shared" si="0"/>
        <v>88.4403578528827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3000</v>
      </c>
      <c r="H18" s="46">
        <v>3000</v>
      </c>
      <c r="I18" s="46">
        <v>1448</v>
      </c>
      <c r="J18" s="154">
        <f t="shared" si="0"/>
        <v>48.266666666666666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4500</v>
      </c>
      <c r="H19" s="46">
        <v>4500</v>
      </c>
      <c r="I19" s="46">
        <v>3954</v>
      </c>
      <c r="J19" s="154">
        <f t="shared" si="0"/>
        <v>87.86666666666667</v>
      </c>
    </row>
    <row r="20" spans="2:11" ht="12.75" customHeight="1">
      <c r="B20" s="14"/>
      <c r="C20" s="15"/>
      <c r="D20" s="15"/>
      <c r="E20" s="16">
        <v>613300</v>
      </c>
      <c r="F20" s="26" t="s">
        <v>206</v>
      </c>
      <c r="G20" s="118">
        <v>13000</v>
      </c>
      <c r="H20" s="118">
        <v>13000</v>
      </c>
      <c r="I20" s="118">
        <v>11719</v>
      </c>
      <c r="J20" s="154">
        <f t="shared" si="0"/>
        <v>90.14615384615384</v>
      </c>
      <c r="K20" s="83"/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9000</v>
      </c>
      <c r="H21" s="46">
        <v>9000</v>
      </c>
      <c r="I21" s="46">
        <v>8304</v>
      </c>
      <c r="J21" s="154">
        <f t="shared" si="0"/>
        <v>92.26666666666667</v>
      </c>
    </row>
    <row r="22" spans="2:11" ht="12.75" customHeight="1">
      <c r="B22" s="14"/>
      <c r="C22" s="15"/>
      <c r="D22" s="15"/>
      <c r="E22" s="16">
        <v>613500</v>
      </c>
      <c r="F22" s="15" t="s">
        <v>88</v>
      </c>
      <c r="G22" s="118">
        <v>3000</v>
      </c>
      <c r="H22" s="118">
        <v>3000</v>
      </c>
      <c r="I22" s="118">
        <v>2872</v>
      </c>
      <c r="J22" s="154">
        <f t="shared" si="0"/>
        <v>95.73333333333333</v>
      </c>
      <c r="K22" s="83"/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46">
        <v>0</v>
      </c>
      <c r="H23" s="46">
        <v>0</v>
      </c>
      <c r="I23" s="46">
        <v>0</v>
      </c>
      <c r="J23" s="154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89</v>
      </c>
      <c r="G24" s="118">
        <v>6300</v>
      </c>
      <c r="H24" s="118">
        <v>6300</v>
      </c>
      <c r="I24" s="118">
        <v>5391</v>
      </c>
      <c r="J24" s="154">
        <f t="shared" si="0"/>
        <v>85.57142857142857</v>
      </c>
      <c r="K24" s="83"/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1100</v>
      </c>
      <c r="H25" s="118">
        <v>1100</v>
      </c>
      <c r="I25" s="118">
        <v>667</v>
      </c>
      <c r="J25" s="154">
        <f t="shared" si="0"/>
        <v>60.63636363636363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18">
        <v>50000</v>
      </c>
      <c r="H26" s="118">
        <f>50000-580</f>
        <v>49420</v>
      </c>
      <c r="I26" s="118">
        <v>43346</v>
      </c>
      <c r="J26" s="154">
        <f t="shared" si="0"/>
        <v>87.70942938081748</v>
      </c>
      <c r="K26" s="91"/>
    </row>
    <row r="27" spans="2:11" ht="12.75" customHeight="1">
      <c r="B27" s="14"/>
      <c r="C27" s="15"/>
      <c r="D27" s="15"/>
      <c r="E27" s="16">
        <v>613900</v>
      </c>
      <c r="F27" s="366" t="s">
        <v>686</v>
      </c>
      <c r="G27" s="118">
        <v>10700</v>
      </c>
      <c r="H27" s="118">
        <f>10700+580</f>
        <v>11280</v>
      </c>
      <c r="I27" s="118">
        <v>11270</v>
      </c>
      <c r="J27" s="154">
        <f t="shared" si="0"/>
        <v>99.91134751773049</v>
      </c>
      <c r="K27" s="91"/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G37+G38</f>
        <v>5000</v>
      </c>
      <c r="H36" s="109">
        <f>H37+H38</f>
        <v>5000</v>
      </c>
      <c r="I36" s="109">
        <f>I37+I38</f>
        <v>159</v>
      </c>
      <c r="J36" s="153">
        <f t="shared" si="0"/>
        <v>3.18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5000</v>
      </c>
      <c r="H38" s="118">
        <v>5000</v>
      </c>
      <c r="I38" s="118">
        <v>159</v>
      </c>
      <c r="J38" s="154">
        <f t="shared" si="0"/>
        <v>3.18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6"/>
      <c r="H40" s="46"/>
      <c r="I40" s="46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109">
        <v>13</v>
      </c>
      <c r="H41" s="109">
        <v>13</v>
      </c>
      <c r="I41" s="109">
        <v>13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617920</v>
      </c>
      <c r="H42" s="20">
        <f>H7+H13+H17+H36</f>
        <v>617920</v>
      </c>
      <c r="I42" s="20">
        <f>I7+I13+I17+I36</f>
        <v>593797</v>
      </c>
      <c r="J42" s="153">
        <f t="shared" si="0"/>
        <v>96.09609658208183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617920</v>
      </c>
      <c r="H43" s="20">
        <f t="shared" si="1"/>
        <v>617920</v>
      </c>
      <c r="I43" s="20">
        <f t="shared" si="1"/>
        <v>593797</v>
      </c>
      <c r="J43" s="153">
        <f t="shared" si="0"/>
        <v>96.09609658208183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617920</v>
      </c>
      <c r="H44" s="20">
        <f t="shared" si="1"/>
        <v>617920</v>
      </c>
      <c r="I44" s="20">
        <f t="shared" si="1"/>
        <v>593797</v>
      </c>
      <c r="J44" s="153">
        <f t="shared" si="0"/>
        <v>96.09609658208183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  <row r="48" ht="12.75">
      <c r="B48" s="83"/>
    </row>
    <row r="49" ht="12.75">
      <c r="B49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8" r:id="rId1"/>
  <headerFooter alignWithMargins="0">
    <oddFooter>&amp;R43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B2:L47"/>
  <sheetViews>
    <sheetView workbookViewId="0" topLeftCell="C15">
      <selection activeCell="I42" sqref="I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6.421875" style="13" customWidth="1"/>
    <col min="8" max="8" width="15.7109375" style="13" customWidth="1"/>
    <col min="9" max="9" width="15.7109375" style="91" customWidth="1"/>
    <col min="10" max="10" width="8.7109375" style="141" customWidth="1"/>
    <col min="11" max="16384" width="9.140625" style="13" customWidth="1"/>
  </cols>
  <sheetData>
    <row r="2" spans="2:8" ht="15" customHeight="1">
      <c r="B2" s="450" t="s">
        <v>188</v>
      </c>
      <c r="C2" s="450"/>
      <c r="D2" s="450"/>
      <c r="E2" s="450"/>
      <c r="F2" s="450"/>
      <c r="G2" s="450"/>
      <c r="H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187</v>
      </c>
      <c r="C6" s="11" t="s">
        <v>83</v>
      </c>
      <c r="D6" s="11" t="s">
        <v>84</v>
      </c>
      <c r="E6" s="9"/>
      <c r="F6" s="9"/>
      <c r="G6" s="35"/>
      <c r="H6" s="35"/>
      <c r="I6" s="166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SUM(G8:G11)</f>
        <v>326680</v>
      </c>
      <c r="H7" s="20">
        <f>SUM(H8:H11)</f>
        <v>326680</v>
      </c>
      <c r="I7" s="20">
        <f>SUM(I8:I11)</f>
        <v>321663</v>
      </c>
      <c r="J7" s="153">
        <f aca="true" t="shared" si="0" ref="J7:J44">IF(H7=0,"",I7/H7*100)</f>
        <v>98.46424635729154</v>
      </c>
    </row>
    <row r="8" spans="2:10" ht="12.75" customHeight="1">
      <c r="B8" s="14"/>
      <c r="C8" s="15"/>
      <c r="D8" s="15"/>
      <c r="E8" s="16">
        <v>611100</v>
      </c>
      <c r="F8" s="26" t="s">
        <v>204</v>
      </c>
      <c r="G8" s="46">
        <f>272500</f>
        <v>272500</v>
      </c>
      <c r="H8" s="46">
        <f>272500</f>
        <v>272500</v>
      </c>
      <c r="I8" s="46">
        <v>270480</v>
      </c>
      <c r="J8" s="154">
        <f t="shared" si="0"/>
        <v>99.25871559633028</v>
      </c>
    </row>
    <row r="9" spans="2:10" ht="12.75" customHeight="1">
      <c r="B9" s="14"/>
      <c r="C9" s="15"/>
      <c r="D9" s="15"/>
      <c r="E9" s="16">
        <v>611200</v>
      </c>
      <c r="F9" s="15" t="s">
        <v>205</v>
      </c>
      <c r="G9" s="46">
        <f>48900+12*240</f>
        <v>51780</v>
      </c>
      <c r="H9" s="46">
        <f>48900+12*240</f>
        <v>51780</v>
      </c>
      <c r="I9" s="46">
        <v>48873</v>
      </c>
      <c r="J9" s="154">
        <f t="shared" si="0"/>
        <v>94.38586326767091</v>
      </c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84">
        <v>2400</v>
      </c>
      <c r="H10" s="84">
        <v>2400</v>
      </c>
      <c r="I10" s="84">
        <v>2310</v>
      </c>
      <c r="J10" s="154">
        <f t="shared" si="0"/>
        <v>96.25</v>
      </c>
      <c r="L10" s="90"/>
    </row>
    <row r="11" spans="2:10" ht="12.75" customHeight="1">
      <c r="B11" s="14"/>
      <c r="C11" s="15"/>
      <c r="D11" s="15"/>
      <c r="E11" s="16"/>
      <c r="F11" s="26"/>
      <c r="G11" s="46"/>
      <c r="H11" s="46"/>
      <c r="I11" s="46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20"/>
      <c r="H12" s="20"/>
      <c r="I12" s="20"/>
      <c r="J12" s="154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29600</v>
      </c>
      <c r="H13" s="20">
        <f>H14</f>
        <v>29600</v>
      </c>
      <c r="I13" s="20">
        <f>I14</f>
        <v>28561</v>
      </c>
      <c r="J13" s="153">
        <f t="shared" si="0"/>
        <v>96.48986486486486</v>
      </c>
    </row>
    <row r="14" spans="2:10" ht="12.75" customHeight="1">
      <c r="B14" s="14"/>
      <c r="C14" s="15"/>
      <c r="D14" s="15"/>
      <c r="E14" s="16">
        <v>612100</v>
      </c>
      <c r="F14" s="18" t="s">
        <v>85</v>
      </c>
      <c r="G14" s="46">
        <v>29600</v>
      </c>
      <c r="H14" s="46">
        <v>29600</v>
      </c>
      <c r="I14" s="46">
        <v>28561</v>
      </c>
      <c r="J14" s="154">
        <f t="shared" si="0"/>
        <v>96.48986486486486</v>
      </c>
    </row>
    <row r="15" spans="2:10" ht="12.75" customHeight="1">
      <c r="B15" s="14"/>
      <c r="C15" s="15"/>
      <c r="D15" s="15"/>
      <c r="E15" s="16"/>
      <c r="F15" s="15"/>
      <c r="G15" s="46"/>
      <c r="H15" s="46"/>
      <c r="I15" s="46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20"/>
      <c r="H16" s="20"/>
      <c r="I16" s="20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51">
        <f>SUM(G18:G27)</f>
        <v>31500</v>
      </c>
      <c r="H17" s="51">
        <f>SUM(H18:H27)</f>
        <v>31500</v>
      </c>
      <c r="I17" s="51">
        <f>SUM(I18:I27)</f>
        <v>24161</v>
      </c>
      <c r="J17" s="153">
        <f t="shared" si="0"/>
        <v>76.70158730158731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6">
        <v>2000</v>
      </c>
      <c r="H18" s="46">
        <v>2000</v>
      </c>
      <c r="I18" s="46">
        <v>1473</v>
      </c>
      <c r="J18" s="154">
        <f t="shared" si="0"/>
        <v>73.65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6">
        <v>7000</v>
      </c>
      <c r="H19" s="46">
        <v>7000</v>
      </c>
      <c r="I19" s="46">
        <v>5030</v>
      </c>
      <c r="J19" s="154">
        <f t="shared" si="0"/>
        <v>71.85714285714285</v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46">
        <v>6000</v>
      </c>
      <c r="H20" s="46">
        <v>6000</v>
      </c>
      <c r="I20" s="46">
        <v>5168</v>
      </c>
      <c r="J20" s="154">
        <f t="shared" si="0"/>
        <v>86.13333333333333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6">
        <v>1000</v>
      </c>
      <c r="H21" s="46">
        <v>1000</v>
      </c>
      <c r="I21" s="46">
        <v>365</v>
      </c>
      <c r="J21" s="154">
        <f t="shared" si="0"/>
        <v>36.5</v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6">
        <v>6000</v>
      </c>
      <c r="H22" s="46">
        <v>6000</v>
      </c>
      <c r="I22" s="46">
        <v>3993</v>
      </c>
      <c r="J22" s="154">
        <f t="shared" si="0"/>
        <v>66.55</v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118">
        <v>0</v>
      </c>
      <c r="H23" s="118">
        <v>0</v>
      </c>
      <c r="I23" s="118">
        <v>0</v>
      </c>
      <c r="J23" s="154">
        <f t="shared" si="0"/>
      </c>
    </row>
    <row r="24" spans="2:11" ht="12.75" customHeight="1">
      <c r="B24" s="14"/>
      <c r="C24" s="15"/>
      <c r="D24" s="15"/>
      <c r="E24" s="16">
        <v>613700</v>
      </c>
      <c r="F24" s="15" t="s">
        <v>89</v>
      </c>
      <c r="G24" s="118">
        <v>2000</v>
      </c>
      <c r="H24" s="118">
        <v>2000</v>
      </c>
      <c r="I24" s="118">
        <v>1471</v>
      </c>
      <c r="J24" s="154">
        <f t="shared" si="0"/>
        <v>73.55000000000001</v>
      </c>
      <c r="K24" s="83"/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118">
        <v>1100</v>
      </c>
      <c r="H25" s="118">
        <v>1100</v>
      </c>
      <c r="I25" s="118">
        <v>658</v>
      </c>
      <c r="J25" s="154">
        <f t="shared" si="0"/>
        <v>59.81818181818181</v>
      </c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118">
        <v>3000</v>
      </c>
      <c r="H26" s="118">
        <v>3000</v>
      </c>
      <c r="I26" s="118">
        <v>2683</v>
      </c>
      <c r="J26" s="154">
        <f t="shared" si="0"/>
        <v>89.43333333333334</v>
      </c>
      <c r="K26" s="83"/>
    </row>
    <row r="27" spans="2:10" ht="12.75" customHeight="1">
      <c r="B27" s="14"/>
      <c r="C27" s="15"/>
      <c r="D27" s="15"/>
      <c r="E27" s="16">
        <v>613900</v>
      </c>
      <c r="F27" s="366" t="s">
        <v>666</v>
      </c>
      <c r="G27" s="118">
        <v>3400</v>
      </c>
      <c r="H27" s="118">
        <v>3400</v>
      </c>
      <c r="I27" s="118">
        <v>3320</v>
      </c>
      <c r="J27" s="154">
        <f t="shared" si="0"/>
        <v>97.6470588235294</v>
      </c>
    </row>
    <row r="28" spans="2:10" s="1" customFormat="1" ht="12.75" customHeight="1">
      <c r="B28" s="17"/>
      <c r="C28" s="12"/>
      <c r="D28" s="12"/>
      <c r="E28" s="9"/>
      <c r="F28" s="12"/>
      <c r="G28" s="118"/>
      <c r="H28" s="118"/>
      <c r="I28" s="118"/>
      <c r="J28" s="154">
        <f t="shared" si="0"/>
      </c>
    </row>
    <row r="29" spans="2:10" ht="12.75" customHeight="1">
      <c r="B29" s="14"/>
      <c r="C29" s="15"/>
      <c r="D29" s="31"/>
      <c r="E29" s="16"/>
      <c r="F29" s="30"/>
      <c r="G29" s="118"/>
      <c r="H29" s="118"/>
      <c r="I29" s="118"/>
      <c r="J29" s="154">
        <f t="shared" si="0"/>
      </c>
    </row>
    <row r="30" spans="2:10" ht="12.75" customHeight="1">
      <c r="B30" s="14"/>
      <c r="C30" s="15"/>
      <c r="D30" s="15"/>
      <c r="E30" s="62"/>
      <c r="F30" s="30"/>
      <c r="G30" s="118"/>
      <c r="H30" s="118"/>
      <c r="I30" s="118"/>
      <c r="J30" s="154">
        <f t="shared" si="0"/>
      </c>
    </row>
    <row r="31" spans="2:10" ht="12.75" customHeight="1">
      <c r="B31" s="14"/>
      <c r="C31" s="15"/>
      <c r="D31" s="15"/>
      <c r="E31" s="16"/>
      <c r="F31" s="15"/>
      <c r="G31" s="118"/>
      <c r="H31" s="118"/>
      <c r="I31" s="118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118"/>
      <c r="H32" s="118"/>
      <c r="I32" s="118"/>
      <c r="J32" s="154">
        <f t="shared" si="0"/>
      </c>
    </row>
    <row r="33" spans="2:10" ht="12.75" customHeight="1">
      <c r="B33" s="14"/>
      <c r="C33" s="15"/>
      <c r="D33" s="15"/>
      <c r="E33" s="9"/>
      <c r="F33" s="12"/>
      <c r="G33" s="118"/>
      <c r="H33" s="118"/>
      <c r="I33" s="118"/>
      <c r="J33" s="154">
        <f t="shared" si="0"/>
      </c>
    </row>
    <row r="34" spans="2:10" ht="12.75" customHeight="1">
      <c r="B34" s="14"/>
      <c r="C34" s="15"/>
      <c r="D34" s="15"/>
      <c r="E34" s="16"/>
      <c r="F34" s="26"/>
      <c r="G34" s="118"/>
      <c r="H34" s="118"/>
      <c r="I34" s="118"/>
      <c r="J34" s="154">
        <f t="shared" si="0"/>
      </c>
    </row>
    <row r="35" spans="2:10" ht="12.75" customHeight="1">
      <c r="B35" s="14"/>
      <c r="C35" s="15"/>
      <c r="D35" s="15"/>
      <c r="E35" s="16"/>
      <c r="F35" s="15"/>
      <c r="G35" s="109"/>
      <c r="H35" s="109"/>
      <c r="I35" s="109"/>
      <c r="J35" s="154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109">
        <f>SUM(G37:G39)</f>
        <v>18000</v>
      </c>
      <c r="H36" s="109">
        <f>SUM(H37:H39)</f>
        <v>18000</v>
      </c>
      <c r="I36" s="109">
        <f>SUM(I37:I39)</f>
        <v>17433</v>
      </c>
      <c r="J36" s="153">
        <f t="shared" si="0"/>
        <v>96.85000000000001</v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118">
        <v>0</v>
      </c>
      <c r="H37" s="118">
        <v>0</v>
      </c>
      <c r="I37" s="118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118">
        <v>18000</v>
      </c>
      <c r="H38" s="118">
        <v>18000</v>
      </c>
      <c r="I38" s="118">
        <v>17433</v>
      </c>
      <c r="J38" s="154">
        <f t="shared" si="0"/>
        <v>96.85000000000001</v>
      </c>
    </row>
    <row r="39" spans="2:10" ht="12.75" customHeight="1">
      <c r="B39" s="14"/>
      <c r="C39" s="15"/>
      <c r="D39" s="15"/>
      <c r="E39" s="16"/>
      <c r="F39" s="26"/>
      <c r="G39" s="118"/>
      <c r="H39" s="118"/>
      <c r="I39" s="118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118"/>
      <c r="H40" s="118"/>
      <c r="I40" s="118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12</v>
      </c>
      <c r="H41" s="20">
        <v>12</v>
      </c>
      <c r="I41" s="20">
        <v>12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405780</v>
      </c>
      <c r="H42" s="20">
        <f>H7+H13+H17+H36</f>
        <v>405780</v>
      </c>
      <c r="I42" s="20">
        <f>I7+I13+I17+I36</f>
        <v>391818</v>
      </c>
      <c r="J42" s="153">
        <f t="shared" si="0"/>
        <v>96.559219281384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 aca="true" t="shared" si="1" ref="G43:I44">G42</f>
        <v>405780</v>
      </c>
      <c r="H43" s="20">
        <f t="shared" si="1"/>
        <v>405780</v>
      </c>
      <c r="I43" s="20">
        <f t="shared" si="1"/>
        <v>391818</v>
      </c>
      <c r="J43" s="153">
        <f t="shared" si="0"/>
        <v>96.559219281384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 t="shared" si="1"/>
        <v>405780</v>
      </c>
      <c r="H44" s="20">
        <f t="shared" si="1"/>
        <v>405780</v>
      </c>
      <c r="I44" s="20">
        <f t="shared" si="1"/>
        <v>391818</v>
      </c>
      <c r="J44" s="153">
        <f t="shared" si="0"/>
        <v>96.559219281384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7" ht="12.75">
      <c r="B47" s="83"/>
    </row>
  </sheetData>
  <sheetProtection/>
  <mergeCells count="2">
    <mergeCell ref="B2:H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&amp;R44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N42" sqref="N42"/>
    </sheetView>
  </sheetViews>
  <sheetFormatPr defaultColWidth="9.140625" defaultRowHeight="12.75"/>
  <cols>
    <col min="1" max="1" width="11.8515625" style="57" customWidth="1"/>
    <col min="2" max="2" width="82.28125" style="0" customWidth="1"/>
    <col min="3" max="11" width="10.7109375" style="0" customWidth="1"/>
    <col min="12" max="12" width="11.421875" style="70" customWidth="1"/>
  </cols>
  <sheetData>
    <row r="2" spans="1:12" ht="15.75">
      <c r="A2" s="430" t="s">
        <v>745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4" spans="1:12" s="70" customFormat="1" ht="51">
      <c r="A4" s="281" t="s">
        <v>489</v>
      </c>
      <c r="B4" s="282" t="s">
        <v>508</v>
      </c>
      <c r="C4" s="281" t="s">
        <v>501</v>
      </c>
      <c r="D4" s="281" t="s">
        <v>502</v>
      </c>
      <c r="E4" s="281" t="s">
        <v>509</v>
      </c>
      <c r="F4" s="281" t="s">
        <v>510</v>
      </c>
      <c r="G4" s="281" t="s">
        <v>503</v>
      </c>
      <c r="H4" s="281" t="s">
        <v>504</v>
      </c>
      <c r="I4" s="281" t="s">
        <v>505</v>
      </c>
      <c r="J4" s="281" t="s">
        <v>511</v>
      </c>
      <c r="K4" s="281" t="s">
        <v>506</v>
      </c>
      <c r="L4" s="281" t="s">
        <v>507</v>
      </c>
    </row>
    <row r="5" spans="1:12" ht="15.75" customHeight="1">
      <c r="A5" s="275">
        <v>10010001</v>
      </c>
      <c r="B5" s="30" t="s">
        <v>242</v>
      </c>
      <c r="C5" s="273">
        <f>1!I8</f>
        <v>314798</v>
      </c>
      <c r="D5" s="273">
        <f>1!I9+1!I10</f>
        <v>94975</v>
      </c>
      <c r="E5" s="273">
        <f>1!I12</f>
        <v>33269</v>
      </c>
      <c r="F5" s="273">
        <f>1!I16</f>
        <v>288035</v>
      </c>
      <c r="G5" s="273">
        <f>1!I28</f>
        <v>0</v>
      </c>
      <c r="H5" s="273">
        <v>0</v>
      </c>
      <c r="I5" s="30">
        <v>0</v>
      </c>
      <c r="J5" s="273">
        <f>1!I36</f>
        <v>2086</v>
      </c>
      <c r="K5" s="30">
        <v>0</v>
      </c>
      <c r="L5" s="274">
        <f>SUM(C5:K5)</f>
        <v>733163</v>
      </c>
    </row>
    <row r="6" spans="1:12" ht="15.75" customHeight="1">
      <c r="A6" s="275">
        <v>10010002</v>
      </c>
      <c r="B6" s="30" t="s">
        <v>490</v>
      </c>
      <c r="C6" s="273">
        <f>2!I8</f>
        <v>31114</v>
      </c>
      <c r="D6" s="273">
        <f>2!I9+2!I10</f>
        <v>9687</v>
      </c>
      <c r="E6" s="273">
        <f>2!I13</f>
        <v>3311</v>
      </c>
      <c r="F6" s="273">
        <f>2!I17</f>
        <v>991</v>
      </c>
      <c r="G6" s="30">
        <v>0</v>
      </c>
      <c r="H6" s="30">
        <v>0</v>
      </c>
      <c r="I6" s="30">
        <v>0</v>
      </c>
      <c r="J6" s="273">
        <f>2!I36</f>
        <v>0</v>
      </c>
      <c r="K6" s="30">
        <v>0</v>
      </c>
      <c r="L6" s="274">
        <f aca="true" t="shared" si="0" ref="L6:L41">SUM(C6:K6)</f>
        <v>45103</v>
      </c>
    </row>
    <row r="7" spans="1:12" ht="15.75" customHeight="1">
      <c r="A7" s="275">
        <v>11010001</v>
      </c>
      <c r="B7" s="30" t="s">
        <v>243</v>
      </c>
      <c r="C7" s="273">
        <f>3!I13</f>
        <v>108004</v>
      </c>
      <c r="D7" s="273">
        <f>3!I14+3!I15</f>
        <v>25067</v>
      </c>
      <c r="E7" s="273">
        <f>3!I18</f>
        <v>11409</v>
      </c>
      <c r="F7" s="273">
        <f>3!I22</f>
        <v>211316</v>
      </c>
      <c r="G7" s="273">
        <f>3!I35</f>
        <v>945825</v>
      </c>
      <c r="H7" s="273">
        <f>3!I47</f>
        <v>500000</v>
      </c>
      <c r="I7" s="30">
        <v>0</v>
      </c>
      <c r="J7" s="273">
        <f>3!I50</f>
        <v>254766</v>
      </c>
      <c r="K7" s="30">
        <v>0</v>
      </c>
      <c r="L7" s="274">
        <f t="shared" si="0"/>
        <v>2056387</v>
      </c>
    </row>
    <row r="8" spans="1:12" ht="15.75" customHeight="1">
      <c r="A8" s="275">
        <v>11010002</v>
      </c>
      <c r="B8" s="30" t="s">
        <v>244</v>
      </c>
      <c r="C8" s="273">
        <f>4!I8</f>
        <v>2412</v>
      </c>
      <c r="D8" s="273">
        <f>4!I9+4!I10</f>
        <v>4033</v>
      </c>
      <c r="E8" s="273">
        <f>4!I13</f>
        <v>260</v>
      </c>
      <c r="F8" s="273">
        <f>4!I17</f>
        <v>11772</v>
      </c>
      <c r="G8" s="273">
        <f>4!I29</f>
        <v>12000</v>
      </c>
      <c r="H8" s="30">
        <v>0</v>
      </c>
      <c r="I8" s="30">
        <v>0</v>
      </c>
      <c r="J8" s="273">
        <f>4!I37</f>
        <v>994</v>
      </c>
      <c r="K8" s="30">
        <v>0</v>
      </c>
      <c r="L8" s="274">
        <f t="shared" si="0"/>
        <v>31471</v>
      </c>
    </row>
    <row r="9" spans="1:12" ht="15.75" customHeight="1">
      <c r="A9" s="275">
        <v>11010003</v>
      </c>
      <c r="B9" s="30" t="s">
        <v>245</v>
      </c>
      <c r="C9" s="273">
        <f>5!I8</f>
        <v>27071</v>
      </c>
      <c r="D9" s="273">
        <f>5!I9+5!I10</f>
        <v>2897</v>
      </c>
      <c r="E9" s="273">
        <f>5!I13</f>
        <v>2856</v>
      </c>
      <c r="F9" s="273">
        <f>5!I17</f>
        <v>20126</v>
      </c>
      <c r="G9" s="30">
        <v>0</v>
      </c>
      <c r="H9" s="30">
        <v>0</v>
      </c>
      <c r="I9" s="30">
        <v>0</v>
      </c>
      <c r="J9" s="273">
        <f>5!I36</f>
        <v>0</v>
      </c>
      <c r="K9" s="30">
        <v>0</v>
      </c>
      <c r="L9" s="274">
        <f t="shared" si="0"/>
        <v>52950</v>
      </c>
    </row>
    <row r="10" spans="1:12" ht="15.75" customHeight="1">
      <c r="A10" s="275">
        <v>11010004</v>
      </c>
      <c r="B10" s="30" t="s">
        <v>247</v>
      </c>
      <c r="C10" s="273">
        <f>6!I8</f>
        <v>60467</v>
      </c>
      <c r="D10" s="273">
        <f>6!I9+6!I10</f>
        <v>13995</v>
      </c>
      <c r="E10" s="273">
        <f>6!I13</f>
        <v>6390</v>
      </c>
      <c r="F10" s="273">
        <f>6!I17</f>
        <v>14864</v>
      </c>
      <c r="G10" s="30">
        <v>0</v>
      </c>
      <c r="H10" s="30">
        <v>0</v>
      </c>
      <c r="I10" s="30">
        <v>0</v>
      </c>
      <c r="J10" s="273">
        <f>6!I36</f>
        <v>4438</v>
      </c>
      <c r="K10" s="30">
        <v>0</v>
      </c>
      <c r="L10" s="274">
        <f t="shared" si="0"/>
        <v>100154</v>
      </c>
    </row>
    <row r="11" spans="1:12" ht="15.75" customHeight="1">
      <c r="A11" s="275">
        <v>11010005</v>
      </c>
      <c r="B11" s="30" t="s">
        <v>334</v>
      </c>
      <c r="C11" s="273">
        <f>7!I8</f>
        <v>51558</v>
      </c>
      <c r="D11" s="273">
        <f>7!I9+7!I10</f>
        <v>22316</v>
      </c>
      <c r="E11" s="273">
        <f>7!I13</f>
        <v>5463</v>
      </c>
      <c r="F11" s="273">
        <f>7!I17</f>
        <v>12123</v>
      </c>
      <c r="G11" s="30">
        <v>0</v>
      </c>
      <c r="H11" s="30">
        <v>0</v>
      </c>
      <c r="I11" s="30">
        <v>0</v>
      </c>
      <c r="J11" s="273">
        <f>7!I36</f>
        <v>4495</v>
      </c>
      <c r="K11" s="30">
        <v>0</v>
      </c>
      <c r="L11" s="274">
        <f t="shared" si="0"/>
        <v>95955</v>
      </c>
    </row>
    <row r="12" spans="1:12" ht="15.75" customHeight="1">
      <c r="A12" s="275">
        <v>12010001</v>
      </c>
      <c r="B12" s="30" t="s">
        <v>248</v>
      </c>
      <c r="C12" s="273">
        <f>8!I8</f>
        <v>161006</v>
      </c>
      <c r="D12" s="273">
        <f>8!I9+8!I10</f>
        <v>74521</v>
      </c>
      <c r="E12" s="273">
        <f>8!I13</f>
        <v>17084</v>
      </c>
      <c r="F12" s="273">
        <f>8!I17</f>
        <v>382021</v>
      </c>
      <c r="G12" s="30">
        <v>0</v>
      </c>
      <c r="H12" s="30">
        <v>0</v>
      </c>
      <c r="I12" s="30">
        <v>0</v>
      </c>
      <c r="J12" s="273">
        <f>8!I36</f>
        <v>79771</v>
      </c>
      <c r="K12" s="30">
        <v>0</v>
      </c>
      <c r="L12" s="274">
        <f t="shared" si="0"/>
        <v>714403</v>
      </c>
    </row>
    <row r="13" spans="1:12" ht="15.75" customHeight="1">
      <c r="A13" s="275">
        <v>13010001</v>
      </c>
      <c r="B13" s="30" t="s">
        <v>488</v>
      </c>
      <c r="C13" s="273">
        <f>9!I8</f>
        <v>3468090</v>
      </c>
      <c r="D13" s="273">
        <f>9!I9+9!I10</f>
        <v>1007940</v>
      </c>
      <c r="E13" s="273">
        <f>9!I13</f>
        <v>537427</v>
      </c>
      <c r="F13" s="273">
        <f>9!I17</f>
        <v>706487</v>
      </c>
      <c r="G13" s="30">
        <v>0</v>
      </c>
      <c r="H13" s="30">
        <v>0</v>
      </c>
      <c r="I13" s="30">
        <v>0</v>
      </c>
      <c r="J13" s="273">
        <f>9!I36</f>
        <v>247556</v>
      </c>
      <c r="K13" s="30">
        <v>0</v>
      </c>
      <c r="L13" s="274">
        <f t="shared" si="0"/>
        <v>5967500</v>
      </c>
    </row>
    <row r="14" spans="1:12" ht="15.75" customHeight="1">
      <c r="A14" s="275">
        <v>14010001</v>
      </c>
      <c r="B14" s="30" t="s">
        <v>250</v>
      </c>
      <c r="C14" s="273">
        <f>'10'!I8</f>
        <v>54434</v>
      </c>
      <c r="D14" s="273">
        <f>'10'!I9+'10'!I10</f>
        <v>11204</v>
      </c>
      <c r="E14" s="273">
        <f>'10'!I13</f>
        <v>5755</v>
      </c>
      <c r="F14" s="273">
        <f>'10'!I17</f>
        <v>47001</v>
      </c>
      <c r="G14" s="30">
        <v>0</v>
      </c>
      <c r="H14" s="30">
        <v>0</v>
      </c>
      <c r="I14" s="30">
        <v>0</v>
      </c>
      <c r="J14" s="273">
        <f>'10'!I36</f>
        <v>1990</v>
      </c>
      <c r="K14" s="30">
        <v>0</v>
      </c>
      <c r="L14" s="274">
        <f t="shared" si="0"/>
        <v>120384</v>
      </c>
    </row>
    <row r="15" spans="1:12" ht="15.75" customHeight="1">
      <c r="A15" s="275">
        <v>14020003</v>
      </c>
      <c r="B15" s="30" t="s">
        <v>251</v>
      </c>
      <c r="C15" s="273">
        <f>'11'!I8</f>
        <v>931236</v>
      </c>
      <c r="D15" s="273">
        <f>'11'!I9+'11'!I10</f>
        <v>211278</v>
      </c>
      <c r="E15" s="273">
        <f>'11'!I13</f>
        <v>99041</v>
      </c>
      <c r="F15" s="273">
        <f>'11'!I17</f>
        <v>333380</v>
      </c>
      <c r="G15" s="30">
        <v>0</v>
      </c>
      <c r="H15" s="30">
        <v>0</v>
      </c>
      <c r="I15" s="30">
        <v>0</v>
      </c>
      <c r="J15" s="273">
        <f>'11'!I36</f>
        <v>14348</v>
      </c>
      <c r="K15" s="30">
        <v>0</v>
      </c>
      <c r="L15" s="274">
        <f t="shared" si="0"/>
        <v>1589283</v>
      </c>
    </row>
    <row r="16" spans="1:12" ht="15.75" customHeight="1">
      <c r="A16" s="275">
        <v>14050001</v>
      </c>
      <c r="B16" s="30" t="s">
        <v>252</v>
      </c>
      <c r="C16" s="273">
        <f>'12'!I8</f>
        <v>26078</v>
      </c>
      <c r="D16" s="273">
        <f>'12'!I9+'12'!I10</f>
        <v>6946</v>
      </c>
      <c r="E16" s="273">
        <f>'12'!I13</f>
        <v>2751</v>
      </c>
      <c r="F16" s="273">
        <f>'12'!I17</f>
        <v>5881</v>
      </c>
      <c r="G16" s="30">
        <v>0</v>
      </c>
      <c r="H16" s="30">
        <v>0</v>
      </c>
      <c r="I16" s="30">
        <v>0</v>
      </c>
      <c r="J16" s="273">
        <f>'12'!I36</f>
        <v>437</v>
      </c>
      <c r="K16" s="30">
        <v>0</v>
      </c>
      <c r="L16" s="274">
        <f t="shared" si="0"/>
        <v>42093</v>
      </c>
    </row>
    <row r="17" spans="1:12" ht="15.75" customHeight="1">
      <c r="A17" s="275">
        <v>14050002</v>
      </c>
      <c r="B17" s="30" t="s">
        <v>253</v>
      </c>
      <c r="C17" s="273">
        <f>'13'!I8</f>
        <v>21082</v>
      </c>
      <c r="D17" s="273">
        <f>'13'!I9+'13'!I10</f>
        <v>7353</v>
      </c>
      <c r="E17" s="273">
        <f>'13'!I13</f>
        <v>2228</v>
      </c>
      <c r="F17" s="273">
        <f>'13'!I17</f>
        <v>4588</v>
      </c>
      <c r="G17" s="30">
        <v>0</v>
      </c>
      <c r="H17" s="30">
        <v>0</v>
      </c>
      <c r="I17" s="30">
        <v>0</v>
      </c>
      <c r="J17" s="273">
        <f>'13'!I36</f>
        <v>0</v>
      </c>
      <c r="K17" s="30">
        <v>0</v>
      </c>
      <c r="L17" s="274">
        <f t="shared" si="0"/>
        <v>35251</v>
      </c>
    </row>
    <row r="18" spans="1:12" ht="15.75" customHeight="1">
      <c r="A18" s="275">
        <v>14060001</v>
      </c>
      <c r="B18" s="30" t="s">
        <v>254</v>
      </c>
      <c r="C18" s="273">
        <f>'14'!I8</f>
        <v>48798</v>
      </c>
      <c r="D18" s="273">
        <f>'14'!I9+'14'!I10</f>
        <v>8313</v>
      </c>
      <c r="E18" s="273">
        <f>'14'!I13</f>
        <v>5147</v>
      </c>
      <c r="F18" s="273">
        <f>'14'!I17</f>
        <v>6842</v>
      </c>
      <c r="G18" s="30">
        <v>0</v>
      </c>
      <c r="H18" s="30">
        <v>0</v>
      </c>
      <c r="I18" s="30">
        <v>0</v>
      </c>
      <c r="J18" s="273">
        <f>'14'!I36</f>
        <v>0</v>
      </c>
      <c r="K18" s="30">
        <v>0</v>
      </c>
      <c r="L18" s="274">
        <f t="shared" si="0"/>
        <v>69100</v>
      </c>
    </row>
    <row r="19" spans="1:12" ht="15.75" customHeight="1">
      <c r="A19" s="275">
        <v>15010001</v>
      </c>
      <c r="B19" s="30" t="s">
        <v>255</v>
      </c>
      <c r="C19" s="273">
        <f>'15'!I8</f>
        <v>140044</v>
      </c>
      <c r="D19" s="273">
        <f>'15'!I9+'15'!I10</f>
        <v>36495</v>
      </c>
      <c r="E19" s="273">
        <f>'15'!I13</f>
        <v>14794</v>
      </c>
      <c r="F19" s="273">
        <f>'15'!I17</f>
        <v>30303</v>
      </c>
      <c r="G19" s="273">
        <f>'15'!I29</f>
        <v>699894</v>
      </c>
      <c r="H19" s="30">
        <v>0</v>
      </c>
      <c r="I19" s="30">
        <v>0</v>
      </c>
      <c r="J19" s="273">
        <f>'15'!I32</f>
        <v>1419</v>
      </c>
      <c r="K19" s="30">
        <v>0</v>
      </c>
      <c r="L19" s="274">
        <f t="shared" si="0"/>
        <v>922949</v>
      </c>
    </row>
    <row r="20" spans="1:12" ht="15.75" customHeight="1">
      <c r="A20" s="275">
        <v>16010001</v>
      </c>
      <c r="B20" s="30" t="s">
        <v>256</v>
      </c>
      <c r="C20" s="273">
        <f>'16'!I11</f>
        <v>260588</v>
      </c>
      <c r="D20" s="273">
        <f>'16'!I12+'16'!I13</f>
        <v>75574</v>
      </c>
      <c r="E20" s="273">
        <f>'16'!I16</f>
        <v>28207</v>
      </c>
      <c r="F20" s="273">
        <f>'16'!I20</f>
        <v>135475</v>
      </c>
      <c r="G20" s="273">
        <f>'16'!I33</f>
        <v>442937</v>
      </c>
      <c r="H20" s="30">
        <v>0</v>
      </c>
      <c r="I20" s="273">
        <f>'16'!I38</f>
        <v>80644</v>
      </c>
      <c r="J20" s="273">
        <f>'16'!I43</f>
        <v>11995</v>
      </c>
      <c r="K20" s="273">
        <f>'16'!I47</f>
        <v>1384615</v>
      </c>
      <c r="L20" s="274">
        <f t="shared" si="0"/>
        <v>2420035</v>
      </c>
    </row>
    <row r="21" spans="1:12" ht="15.75" customHeight="1">
      <c r="A21" s="275">
        <v>17010001</v>
      </c>
      <c r="B21" s="30" t="s">
        <v>257</v>
      </c>
      <c r="C21" s="273">
        <f>'17'!I8</f>
        <v>145423</v>
      </c>
      <c r="D21" s="273">
        <f>'17'!I9+'17'!I10</f>
        <v>81463</v>
      </c>
      <c r="E21" s="273">
        <f>'17'!I13</f>
        <v>15366</v>
      </c>
      <c r="F21" s="273">
        <f>'17'!I17</f>
        <v>141512</v>
      </c>
      <c r="G21" s="273">
        <f>'17'!I29</f>
        <v>2340738</v>
      </c>
      <c r="H21" s="273">
        <v>0</v>
      </c>
      <c r="I21" s="30">
        <v>0</v>
      </c>
      <c r="J21" s="273">
        <f>'17'!I34</f>
        <v>1457</v>
      </c>
      <c r="K21" s="30">
        <v>0</v>
      </c>
      <c r="L21" s="274">
        <f t="shared" si="0"/>
        <v>2725959</v>
      </c>
    </row>
    <row r="22" spans="1:12" ht="15.75" customHeight="1">
      <c r="A22" s="275">
        <v>18010001</v>
      </c>
      <c r="B22" s="30" t="s">
        <v>258</v>
      </c>
      <c r="C22" s="273">
        <f>'18'!I8</f>
        <v>170693</v>
      </c>
      <c r="D22" s="273">
        <f>'18'!I9+'18'!I10</f>
        <v>46897</v>
      </c>
      <c r="E22" s="273">
        <f>'18'!I13</f>
        <v>18051</v>
      </c>
      <c r="F22" s="273">
        <f>'18'!I17</f>
        <v>355045</v>
      </c>
      <c r="G22" s="273">
        <f>'18'!I30</f>
        <v>15000</v>
      </c>
      <c r="H22" s="30">
        <v>0</v>
      </c>
      <c r="I22" s="30">
        <v>0</v>
      </c>
      <c r="J22" s="273">
        <f>'18'!I37</f>
        <v>1052793</v>
      </c>
      <c r="K22" s="30">
        <v>0</v>
      </c>
      <c r="L22" s="274">
        <f t="shared" si="0"/>
        <v>1658479</v>
      </c>
    </row>
    <row r="23" spans="1:12" ht="15.75" customHeight="1">
      <c r="A23" s="275">
        <v>19010001</v>
      </c>
      <c r="B23" s="30" t="s">
        <v>259</v>
      </c>
      <c r="C23" s="273">
        <f>'19'!I8</f>
        <v>395604</v>
      </c>
      <c r="D23" s="273">
        <f>'19'!I9+'19'!I10</f>
        <v>107647</v>
      </c>
      <c r="E23" s="273">
        <f>'19'!I13</f>
        <v>41984</v>
      </c>
      <c r="F23" s="273">
        <f>'19'!I17</f>
        <v>94457</v>
      </c>
      <c r="G23" s="273">
        <f>'19'!I29</f>
        <v>2082013</v>
      </c>
      <c r="H23" s="30">
        <v>0</v>
      </c>
      <c r="I23" s="30">
        <v>0</v>
      </c>
      <c r="J23" s="273">
        <f>'19'!I35</f>
        <v>13218</v>
      </c>
      <c r="K23" s="30">
        <v>0</v>
      </c>
      <c r="L23" s="274">
        <f t="shared" si="0"/>
        <v>2734923</v>
      </c>
    </row>
    <row r="24" spans="1:12" ht="15.75" customHeight="1">
      <c r="A24" s="275">
        <v>20010001</v>
      </c>
      <c r="B24" s="30" t="s">
        <v>260</v>
      </c>
      <c r="C24" s="273">
        <f>'20'!I8</f>
        <v>205069</v>
      </c>
      <c r="D24" s="273">
        <f>'20'!I9+'20'!I10</f>
        <v>54376</v>
      </c>
      <c r="E24" s="273">
        <f>'20'!I13</f>
        <v>21833</v>
      </c>
      <c r="F24" s="273">
        <f>'20'!I17</f>
        <v>108307</v>
      </c>
      <c r="G24" s="273">
        <f>'20'!I31</f>
        <v>1044656</v>
      </c>
      <c r="H24" s="273">
        <f>'20'!I40</f>
        <v>0</v>
      </c>
      <c r="I24" s="273">
        <f>'20'!I43</f>
        <v>12557</v>
      </c>
      <c r="J24" s="273">
        <f>'20'!I46</f>
        <v>1439</v>
      </c>
      <c r="K24" s="273">
        <f>'20'!I50</f>
        <v>74128</v>
      </c>
      <c r="L24" s="274">
        <f t="shared" si="0"/>
        <v>1522365</v>
      </c>
    </row>
    <row r="25" spans="1:12" ht="15.75" customHeight="1">
      <c r="A25" s="275">
        <v>20020002</v>
      </c>
      <c r="B25" s="30" t="s">
        <v>491</v>
      </c>
      <c r="C25" s="273">
        <f>'21'!I8</f>
        <v>855921</v>
      </c>
      <c r="D25" s="273">
        <f>'21'!I9+'21'!I10</f>
        <v>204072</v>
      </c>
      <c r="E25" s="273">
        <f>'21'!I13</f>
        <v>92009</v>
      </c>
      <c r="F25" s="273">
        <f>'21'!I17</f>
        <v>146979</v>
      </c>
      <c r="G25" s="30">
        <v>0</v>
      </c>
      <c r="H25" s="30">
        <v>0</v>
      </c>
      <c r="I25" s="30">
        <v>0</v>
      </c>
      <c r="J25" s="273">
        <f>'21'!I36</f>
        <v>8343</v>
      </c>
      <c r="K25" s="30">
        <v>0</v>
      </c>
      <c r="L25" s="274">
        <f t="shared" si="0"/>
        <v>1307324</v>
      </c>
    </row>
    <row r="26" spans="1:12" ht="15.75" customHeight="1">
      <c r="A26" s="275">
        <v>20020003</v>
      </c>
      <c r="B26" s="30" t="s">
        <v>492</v>
      </c>
      <c r="C26" s="273">
        <f>'22'!I8</f>
        <v>805149</v>
      </c>
      <c r="D26" s="273">
        <f>'22'!I9+'22'!I10</f>
        <v>198858</v>
      </c>
      <c r="E26" s="273">
        <f>'22'!I13</f>
        <v>85458</v>
      </c>
      <c r="F26" s="273">
        <f>'22'!I17</f>
        <v>150349</v>
      </c>
      <c r="G26" s="30">
        <v>0</v>
      </c>
      <c r="H26" s="30">
        <v>0</v>
      </c>
      <c r="I26" s="30">
        <v>0</v>
      </c>
      <c r="J26" s="273">
        <f>'22'!I36</f>
        <v>5000</v>
      </c>
      <c r="K26" s="30">
        <v>0</v>
      </c>
      <c r="L26" s="274">
        <f t="shared" si="0"/>
        <v>1244814</v>
      </c>
    </row>
    <row r="27" spans="1:12" ht="15.75" customHeight="1">
      <c r="A27" s="275">
        <v>20020004</v>
      </c>
      <c r="B27" s="30" t="s">
        <v>493</v>
      </c>
      <c r="C27" s="273">
        <f>'23'!I8</f>
        <v>661632</v>
      </c>
      <c r="D27" s="273">
        <f>'23'!I9+'23'!I10</f>
        <v>171316</v>
      </c>
      <c r="E27" s="273">
        <f>'23'!I13</f>
        <v>71325</v>
      </c>
      <c r="F27" s="273">
        <f>'23'!I17</f>
        <v>140994</v>
      </c>
      <c r="G27" s="30">
        <v>0</v>
      </c>
      <c r="H27" s="30">
        <v>0</v>
      </c>
      <c r="I27" s="30">
        <v>0</v>
      </c>
      <c r="J27" s="273">
        <f>'23'!I36</f>
        <v>4500</v>
      </c>
      <c r="K27" s="30">
        <v>0</v>
      </c>
      <c r="L27" s="274">
        <f t="shared" si="0"/>
        <v>1049767</v>
      </c>
    </row>
    <row r="28" spans="1:12" ht="15.75" customHeight="1">
      <c r="A28" s="275">
        <v>20030001</v>
      </c>
      <c r="B28" s="30" t="s">
        <v>494</v>
      </c>
      <c r="C28" s="273">
        <f>'24'!I8</f>
        <v>789878</v>
      </c>
      <c r="D28" s="273">
        <f>'24'!I9+'24'!I10</f>
        <v>198295</v>
      </c>
      <c r="E28" s="273">
        <f>'24'!I13</f>
        <v>84684</v>
      </c>
      <c r="F28" s="273">
        <f>'24'!I17</f>
        <v>113601</v>
      </c>
      <c r="G28" s="30">
        <v>0</v>
      </c>
      <c r="H28" s="30">
        <v>0</v>
      </c>
      <c r="I28" s="30">
        <v>0</v>
      </c>
      <c r="J28" s="273">
        <f>'24'!I36</f>
        <v>5744</v>
      </c>
      <c r="K28" s="30">
        <v>0</v>
      </c>
      <c r="L28" s="274">
        <f t="shared" si="0"/>
        <v>1192202</v>
      </c>
    </row>
    <row r="29" spans="1:12" ht="15.75" customHeight="1">
      <c r="A29" s="275">
        <v>20030002</v>
      </c>
      <c r="B29" s="30" t="s">
        <v>495</v>
      </c>
      <c r="C29" s="273">
        <f>'25'!I8</f>
        <v>1570248</v>
      </c>
      <c r="D29" s="273">
        <f>'25'!I9+'25'!I10</f>
        <v>394004</v>
      </c>
      <c r="E29" s="273">
        <f>'25'!I13</f>
        <v>170892</v>
      </c>
      <c r="F29" s="273">
        <f>'25'!I17</f>
        <v>220115</v>
      </c>
      <c r="G29" s="30">
        <v>0</v>
      </c>
      <c r="H29" s="30">
        <v>0</v>
      </c>
      <c r="I29" s="30">
        <v>0</v>
      </c>
      <c r="J29" s="273">
        <f>'25'!I36</f>
        <v>97609</v>
      </c>
      <c r="K29" s="30">
        <v>0</v>
      </c>
      <c r="L29" s="274">
        <f t="shared" si="0"/>
        <v>2452868</v>
      </c>
    </row>
    <row r="30" spans="1:12" ht="15.75" customHeight="1">
      <c r="A30" s="275">
        <v>20030003</v>
      </c>
      <c r="B30" s="30" t="s">
        <v>496</v>
      </c>
      <c r="C30" s="273">
        <f>'26'!I8</f>
        <v>445650</v>
      </c>
      <c r="D30" s="273">
        <f>'26'!I9+'26'!I10</f>
        <v>108953</v>
      </c>
      <c r="E30" s="273">
        <f>'26'!I13</f>
        <v>48099</v>
      </c>
      <c r="F30" s="273">
        <f>'26'!I17</f>
        <v>55848</v>
      </c>
      <c r="G30" s="30">
        <v>0</v>
      </c>
      <c r="H30" s="30">
        <v>0</v>
      </c>
      <c r="I30" s="30">
        <v>0</v>
      </c>
      <c r="J30" s="273">
        <f>'26'!I36</f>
        <v>981</v>
      </c>
      <c r="K30" s="30">
        <v>0</v>
      </c>
      <c r="L30" s="274">
        <f t="shared" si="0"/>
        <v>659531</v>
      </c>
    </row>
    <row r="31" spans="1:12" ht="15.75" customHeight="1">
      <c r="A31" s="275">
        <v>20030004</v>
      </c>
      <c r="B31" s="30" t="s">
        <v>497</v>
      </c>
      <c r="C31" s="273">
        <f>'27'!I8</f>
        <v>598749</v>
      </c>
      <c r="D31" s="273">
        <f>'27'!I9+'27'!I10</f>
        <v>144727</v>
      </c>
      <c r="E31" s="273">
        <f>'27'!I13</f>
        <v>63685</v>
      </c>
      <c r="F31" s="273">
        <f>'27'!I17</f>
        <v>68823</v>
      </c>
      <c r="G31" s="30">
        <v>0</v>
      </c>
      <c r="H31" s="30">
        <v>0</v>
      </c>
      <c r="I31" s="30">
        <v>0</v>
      </c>
      <c r="J31" s="273">
        <f>'27'!I36</f>
        <v>0</v>
      </c>
      <c r="K31" s="30">
        <v>0</v>
      </c>
      <c r="L31" s="274">
        <f t="shared" si="0"/>
        <v>875984</v>
      </c>
    </row>
    <row r="32" spans="1:12" ht="15.75" customHeight="1">
      <c r="A32" s="275">
        <v>20030005</v>
      </c>
      <c r="B32" s="30" t="s">
        <v>498</v>
      </c>
      <c r="C32" s="273">
        <f>'28'!I8</f>
        <v>635972</v>
      </c>
      <c r="D32" s="273">
        <f>'28'!I9+'28'!I10</f>
        <v>156848</v>
      </c>
      <c r="E32" s="273">
        <f>'28'!I13</f>
        <v>67615</v>
      </c>
      <c r="F32" s="273">
        <f>'28'!I17</f>
        <v>91370</v>
      </c>
      <c r="G32" s="30">
        <v>0</v>
      </c>
      <c r="H32" s="30">
        <v>0</v>
      </c>
      <c r="I32" s="30">
        <v>0</v>
      </c>
      <c r="J32" s="273">
        <f>'28'!I36</f>
        <v>44763</v>
      </c>
      <c r="K32" s="30">
        <v>0</v>
      </c>
      <c r="L32" s="274">
        <f t="shared" si="0"/>
        <v>996568</v>
      </c>
    </row>
    <row r="33" spans="1:12" ht="15.75" customHeight="1">
      <c r="A33" s="275">
        <v>20030006</v>
      </c>
      <c r="B33" s="30" t="s">
        <v>499</v>
      </c>
      <c r="C33" s="273">
        <f>'29'!I8</f>
        <v>295834</v>
      </c>
      <c r="D33" s="273">
        <f>'29'!I9+'29'!I10</f>
        <v>75494</v>
      </c>
      <c r="E33" s="273">
        <f>'29'!I13</f>
        <v>31790</v>
      </c>
      <c r="F33" s="273">
        <f>'29'!I17</f>
        <v>50678</v>
      </c>
      <c r="G33" s="30">
        <v>0</v>
      </c>
      <c r="H33" s="30">
        <v>0</v>
      </c>
      <c r="I33" s="30">
        <v>0</v>
      </c>
      <c r="J33" s="273">
        <f>'29'!I36</f>
        <v>14988</v>
      </c>
      <c r="K33" s="30">
        <v>0</v>
      </c>
      <c r="L33" s="274">
        <f t="shared" si="0"/>
        <v>468784</v>
      </c>
    </row>
    <row r="34" spans="1:12" ht="15.75" customHeight="1">
      <c r="A34" s="275">
        <v>20030007</v>
      </c>
      <c r="B34" s="30" t="s">
        <v>500</v>
      </c>
      <c r="C34" s="273">
        <f>'30'!I8</f>
        <v>464477</v>
      </c>
      <c r="D34" s="273">
        <f>'30'!I9+'30'!I10</f>
        <v>116877</v>
      </c>
      <c r="E34" s="273">
        <f>'30'!I13</f>
        <v>50200</v>
      </c>
      <c r="F34" s="273">
        <f>'30'!I17</f>
        <v>66092</v>
      </c>
      <c r="G34" s="30">
        <v>0</v>
      </c>
      <c r="H34" s="30">
        <v>0</v>
      </c>
      <c r="I34" s="30">
        <v>0</v>
      </c>
      <c r="J34" s="273">
        <f>'30'!I36</f>
        <v>16491</v>
      </c>
      <c r="K34" s="30">
        <v>0</v>
      </c>
      <c r="L34" s="274">
        <f t="shared" si="0"/>
        <v>714137</v>
      </c>
    </row>
    <row r="35" spans="1:12" ht="15.75" customHeight="1">
      <c r="A35" s="275">
        <v>21010001</v>
      </c>
      <c r="B35" s="30" t="s">
        <v>270</v>
      </c>
      <c r="C35" s="273">
        <f>'31'!I8</f>
        <v>150255</v>
      </c>
      <c r="D35" s="273">
        <f>'31'!I9+'31'!I10</f>
        <v>46805</v>
      </c>
      <c r="E35" s="273">
        <f>'31'!I13</f>
        <v>15905</v>
      </c>
      <c r="F35" s="273">
        <f>'31'!I17</f>
        <v>39197</v>
      </c>
      <c r="G35" s="273">
        <f>'31'!I29</f>
        <v>899490</v>
      </c>
      <c r="H35" s="30">
        <v>0</v>
      </c>
      <c r="I35" s="30">
        <v>0</v>
      </c>
      <c r="J35" s="273">
        <f>'31'!I33</f>
        <v>1653</v>
      </c>
      <c r="K35" s="30">
        <v>0</v>
      </c>
      <c r="L35" s="274">
        <f t="shared" si="0"/>
        <v>1153305</v>
      </c>
    </row>
    <row r="36" spans="1:12" ht="15.75" customHeight="1">
      <c r="A36" s="275">
        <v>22010001</v>
      </c>
      <c r="B36" s="30" t="s">
        <v>271</v>
      </c>
      <c r="C36" s="273">
        <f>'32'!I8</f>
        <v>75053</v>
      </c>
      <c r="D36" s="273">
        <f>'32'!I9+'32'!I10</f>
        <v>20910</v>
      </c>
      <c r="E36" s="273">
        <f>'32'!I12</f>
        <v>7933</v>
      </c>
      <c r="F36" s="273">
        <f>'32'!I16</f>
        <v>28351</v>
      </c>
      <c r="G36" s="30">
        <v>0</v>
      </c>
      <c r="H36" s="30">
        <v>0</v>
      </c>
      <c r="I36" s="30">
        <v>0</v>
      </c>
      <c r="J36" s="273">
        <f>'32'!I35</f>
        <v>0</v>
      </c>
      <c r="K36" s="30">
        <v>0</v>
      </c>
      <c r="L36" s="274">
        <f t="shared" si="0"/>
        <v>132247</v>
      </c>
    </row>
    <row r="37" spans="1:12" ht="15.75" customHeight="1">
      <c r="A37" s="275">
        <v>23010001</v>
      </c>
      <c r="B37" s="30" t="s">
        <v>272</v>
      </c>
      <c r="C37" s="273">
        <f>'33'!I8</f>
        <v>139214</v>
      </c>
      <c r="D37" s="273">
        <f>'33'!I9+'33'!I10</f>
        <v>45117</v>
      </c>
      <c r="E37" s="273">
        <f>'33'!I13</f>
        <v>14753</v>
      </c>
      <c r="F37" s="273">
        <f>'33'!I17</f>
        <v>77993</v>
      </c>
      <c r="G37" s="273">
        <f>'33'!I29</f>
        <v>33928</v>
      </c>
      <c r="H37" s="30">
        <v>0</v>
      </c>
      <c r="I37" s="30">
        <v>0</v>
      </c>
      <c r="J37" s="273">
        <f>'33'!I34</f>
        <v>0</v>
      </c>
      <c r="K37" s="30">
        <v>0</v>
      </c>
      <c r="L37" s="274">
        <f t="shared" si="0"/>
        <v>311005</v>
      </c>
    </row>
    <row r="38" spans="1:12" ht="15.75" customHeight="1">
      <c r="A38" s="275">
        <v>24010001</v>
      </c>
      <c r="B38" s="30" t="s">
        <v>273</v>
      </c>
      <c r="C38" s="273">
        <f>'34'!I8</f>
        <v>392242</v>
      </c>
      <c r="D38" s="273">
        <f>'34'!I9+'34'!I10</f>
        <v>82947</v>
      </c>
      <c r="E38" s="273">
        <f>'34'!I13</f>
        <v>41398</v>
      </c>
      <c r="F38" s="273">
        <f>'34'!I17</f>
        <v>87104</v>
      </c>
      <c r="G38" s="30">
        <v>0</v>
      </c>
      <c r="H38" s="30">
        <v>0</v>
      </c>
      <c r="I38" s="30">
        <v>0</v>
      </c>
      <c r="J38" s="273">
        <f>'34'!I36</f>
        <v>2997</v>
      </c>
      <c r="K38" s="30">
        <v>0</v>
      </c>
      <c r="L38" s="274">
        <f t="shared" si="0"/>
        <v>606688</v>
      </c>
    </row>
    <row r="39" spans="1:12" ht="15.75" customHeight="1">
      <c r="A39" s="275">
        <v>26010001</v>
      </c>
      <c r="B39" s="30" t="s">
        <v>274</v>
      </c>
      <c r="C39" s="273">
        <f>'35'!I8</f>
        <v>43149</v>
      </c>
      <c r="D39" s="273">
        <f>'35'!I9+'35'!I10</f>
        <v>10893</v>
      </c>
      <c r="E39" s="273">
        <f>'35'!I13</f>
        <v>4571</v>
      </c>
      <c r="F39" s="273">
        <f>'35'!I17</f>
        <v>11599</v>
      </c>
      <c r="G39" s="273">
        <v>0</v>
      </c>
      <c r="H39" s="30">
        <v>0</v>
      </c>
      <c r="I39" s="30">
        <v>0</v>
      </c>
      <c r="J39" s="273">
        <f>'35'!I36</f>
        <v>405</v>
      </c>
      <c r="K39" s="30">
        <v>0</v>
      </c>
      <c r="L39" s="274">
        <f t="shared" si="0"/>
        <v>70617</v>
      </c>
    </row>
    <row r="40" spans="1:12" ht="15.75" customHeight="1">
      <c r="A40" s="275">
        <v>27010001</v>
      </c>
      <c r="B40" s="30" t="s">
        <v>275</v>
      </c>
      <c r="C40" s="273">
        <f>'36'!I8</f>
        <v>388240</v>
      </c>
      <c r="D40" s="273">
        <f>'36'!I9+'36'!I10</f>
        <v>75487</v>
      </c>
      <c r="E40" s="273">
        <f>'36'!I13</f>
        <v>40940</v>
      </c>
      <c r="F40" s="273">
        <f>'36'!I17</f>
        <v>88971</v>
      </c>
      <c r="G40" s="30">
        <v>0</v>
      </c>
      <c r="H40" s="30">
        <v>0</v>
      </c>
      <c r="I40" s="30">
        <v>0</v>
      </c>
      <c r="J40" s="273">
        <f>'36'!I36</f>
        <v>159</v>
      </c>
      <c r="K40" s="30">
        <v>0</v>
      </c>
      <c r="L40" s="274">
        <f t="shared" si="0"/>
        <v>593797</v>
      </c>
    </row>
    <row r="41" spans="1:12" ht="15.75" customHeight="1">
      <c r="A41" s="275">
        <v>28010001</v>
      </c>
      <c r="B41" s="30" t="s">
        <v>276</v>
      </c>
      <c r="C41" s="273">
        <f>'37'!I8</f>
        <v>270480</v>
      </c>
      <c r="D41" s="273">
        <f>'37'!I9+'37'!I10</f>
        <v>51183</v>
      </c>
      <c r="E41" s="273">
        <f>'37'!I13</f>
        <v>28561</v>
      </c>
      <c r="F41" s="273">
        <f>'37'!I17</f>
        <v>24161</v>
      </c>
      <c r="G41" s="273">
        <v>0</v>
      </c>
      <c r="H41" s="30">
        <v>0</v>
      </c>
      <c r="I41" s="30">
        <v>0</v>
      </c>
      <c r="J41" s="273">
        <f>'37'!I36</f>
        <v>17433</v>
      </c>
      <c r="K41" s="30">
        <v>0</v>
      </c>
      <c r="L41" s="274">
        <f t="shared" si="0"/>
        <v>391818</v>
      </c>
    </row>
    <row r="42" spans="1:12" s="70" customFormat="1" ht="15.75" customHeight="1">
      <c r="A42" s="131"/>
      <c r="B42" s="279" t="s">
        <v>512</v>
      </c>
      <c r="C42" s="280">
        <f>SUM(C5:C41)</f>
        <v>15205712</v>
      </c>
      <c r="D42" s="280">
        <f aca="true" t="shared" si="1" ref="D42:K42">SUM(D5:D41)</f>
        <v>4005763</v>
      </c>
      <c r="E42" s="280">
        <f t="shared" si="1"/>
        <v>1792444</v>
      </c>
      <c r="F42" s="280">
        <f t="shared" si="1"/>
        <v>4372751</v>
      </c>
      <c r="G42" s="280">
        <f t="shared" si="1"/>
        <v>8516481</v>
      </c>
      <c r="H42" s="280">
        <f t="shared" si="1"/>
        <v>500000</v>
      </c>
      <c r="I42" s="280">
        <f t="shared" si="1"/>
        <v>93201</v>
      </c>
      <c r="J42" s="280">
        <f t="shared" si="1"/>
        <v>1914268</v>
      </c>
      <c r="K42" s="280">
        <f t="shared" si="1"/>
        <v>1458743</v>
      </c>
      <c r="L42" s="280">
        <f>SUM(L5:L41)</f>
        <v>37859363</v>
      </c>
    </row>
    <row r="43" spans="2:12" ht="18" customHeight="1">
      <c r="B43" t="s">
        <v>513</v>
      </c>
      <c r="L43" s="178">
        <f>Rashodi!G8</f>
        <v>959916</v>
      </c>
    </row>
    <row r="44" spans="2:12" ht="18" customHeight="1">
      <c r="B44" t="s">
        <v>539</v>
      </c>
      <c r="L44" s="178">
        <f>Uvod!C47</f>
        <v>1630394</v>
      </c>
    </row>
    <row r="45" spans="1:12" ht="18" customHeight="1">
      <c r="A45" s="276"/>
      <c r="B45" s="278" t="s">
        <v>512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83">
        <f>L42+L43+L44</f>
        <v>40449673</v>
      </c>
    </row>
  </sheetData>
  <sheetProtection/>
  <mergeCells count="1">
    <mergeCell ref="A2:L2"/>
  </mergeCells>
  <printOptions/>
  <pageMargins left="0.31" right="0.32" top="0.34" bottom="0.53" header="0.34" footer="0.5"/>
  <pageSetup horizontalDpi="600" verticalDpi="600" orientation="landscape" paperSize="9" scale="71" r:id="rId1"/>
  <headerFooter alignWithMargins="0">
    <oddFooter>&amp;R45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59.140625" style="0" customWidth="1"/>
    <col min="4" max="4" width="14.7109375" style="0" customWidth="1"/>
    <col min="5" max="5" width="14.421875" style="0" customWidth="1"/>
    <col min="6" max="6" width="8.8515625" style="0" customWidth="1"/>
    <col min="8" max="8" width="10.140625" style="0" bestFit="1" customWidth="1"/>
  </cols>
  <sheetData>
    <row r="2" spans="1:6" ht="15">
      <c r="A2" s="454" t="s">
        <v>663</v>
      </c>
      <c r="B2" s="418"/>
      <c r="C2" s="418"/>
      <c r="D2" s="418"/>
      <c r="E2" s="418"/>
      <c r="F2" s="418"/>
    </row>
    <row r="3" spans="1:5" ht="15">
      <c r="A3" s="295"/>
      <c r="B3" s="297"/>
      <c r="C3" s="296"/>
      <c r="D3" s="296"/>
      <c r="E3" s="296"/>
    </row>
    <row r="4" spans="1:5" ht="12.75">
      <c r="A4" s="298"/>
      <c r="B4" s="298"/>
      <c r="C4" s="299"/>
      <c r="D4" s="300"/>
      <c r="E4" s="300"/>
    </row>
    <row r="5" spans="1:6" ht="57.75" customHeight="1">
      <c r="A5" s="301" t="s">
        <v>277</v>
      </c>
      <c r="B5" s="302" t="s">
        <v>546</v>
      </c>
      <c r="C5" s="302" t="s">
        <v>547</v>
      </c>
      <c r="D5" s="303" t="s">
        <v>545</v>
      </c>
      <c r="E5" s="303" t="s">
        <v>750</v>
      </c>
      <c r="F5" s="313" t="s">
        <v>55</v>
      </c>
    </row>
    <row r="6" spans="1:6" ht="12.75">
      <c r="A6" s="304"/>
      <c r="B6" s="305">
        <v>1</v>
      </c>
      <c r="C6" s="305">
        <v>2</v>
      </c>
      <c r="D6" s="306">
        <v>3</v>
      </c>
      <c r="E6" s="306">
        <v>4</v>
      </c>
      <c r="F6" s="68"/>
    </row>
    <row r="7" spans="1:9" ht="25.5">
      <c r="A7" s="304">
        <v>1</v>
      </c>
      <c r="B7" s="307"/>
      <c r="C7" s="307" t="s">
        <v>54</v>
      </c>
      <c r="D7" s="310">
        <f>D8+D17+D23+D30+D40+D47+D54+D61+D68+D77</f>
        <v>39753660</v>
      </c>
      <c r="E7" s="310">
        <f>E8+E17+E23+E30+E40+E47+E54+E61+E68+E77</f>
        <v>38819279</v>
      </c>
      <c r="F7" s="317">
        <f>IF(D7=0,"",E7/D7*100)</f>
        <v>97.6495723915735</v>
      </c>
      <c r="H7" s="103"/>
      <c r="I7" s="103"/>
    </row>
    <row r="8" spans="1:6" ht="12.75">
      <c r="A8" s="304">
        <v>2</v>
      </c>
      <c r="B8" s="308" t="s">
        <v>83</v>
      </c>
      <c r="C8" s="309" t="s">
        <v>58</v>
      </c>
      <c r="D8" s="310">
        <f>SUM(D9:D16)</f>
        <v>7390590</v>
      </c>
      <c r="E8" s="310">
        <f>SUM(E9:E16)</f>
        <v>7209537</v>
      </c>
      <c r="F8" s="314">
        <f>IF(D8=0,"",E8/D8*100)</f>
        <v>97.55022264798886</v>
      </c>
    </row>
    <row r="9" spans="1:6" ht="13.5" customHeight="1">
      <c r="A9" s="304">
        <v>3</v>
      </c>
      <c r="B9" s="311" t="s">
        <v>548</v>
      </c>
      <c r="C9" s="312" t="s">
        <v>59</v>
      </c>
      <c r="D9" s="255">
        <f>1!H42+2!H42+3!H56+4!H43+5!H42+6!H42+7!H42+'16'!H51</f>
        <v>6648980</v>
      </c>
      <c r="E9" s="255">
        <f>1!I42+2!I42+3!I56+4!I43+5!I42+6!I42+7!I42+'16'!I51</f>
        <v>6495134</v>
      </c>
      <c r="F9" s="315">
        <f>IF(D9=0,"",E9/D9*100)</f>
        <v>97.68617141275804</v>
      </c>
    </row>
    <row r="10" spans="1:6" ht="13.5" customHeight="1">
      <c r="A10" s="304">
        <v>4</v>
      </c>
      <c r="B10" s="311" t="s">
        <v>549</v>
      </c>
      <c r="C10" s="312" t="s">
        <v>550</v>
      </c>
      <c r="D10" s="255">
        <v>0</v>
      </c>
      <c r="E10" s="255">
        <v>0</v>
      </c>
      <c r="F10" s="315">
        <f aca="true" t="shared" si="0" ref="F10:F73">IF(D10=0,"",E10/D10*100)</f>
      </c>
    </row>
    <row r="11" spans="1:6" ht="13.5" customHeight="1">
      <c r="A11" s="304">
        <v>5</v>
      </c>
      <c r="B11" s="311" t="s">
        <v>551</v>
      </c>
      <c r="C11" s="312" t="s">
        <v>552</v>
      </c>
      <c r="D11" s="255">
        <f>8!H42</f>
        <v>741610</v>
      </c>
      <c r="E11" s="255">
        <f>8!I42</f>
        <v>714403</v>
      </c>
      <c r="F11" s="315">
        <f t="shared" si="0"/>
        <v>96.33136014886531</v>
      </c>
    </row>
    <row r="12" spans="1:6" ht="13.5" customHeight="1">
      <c r="A12" s="304">
        <v>6</v>
      </c>
      <c r="B12" s="311" t="s">
        <v>553</v>
      </c>
      <c r="C12" s="312" t="s">
        <v>554</v>
      </c>
      <c r="D12" s="255">
        <v>0</v>
      </c>
      <c r="E12" s="255">
        <v>0</v>
      </c>
      <c r="F12" s="315">
        <f t="shared" si="0"/>
      </c>
    </row>
    <row r="13" spans="1:6" ht="13.5" customHeight="1">
      <c r="A13" s="304">
        <v>7</v>
      </c>
      <c r="B13" s="311" t="s">
        <v>555</v>
      </c>
      <c r="C13" s="312" t="s">
        <v>556</v>
      </c>
      <c r="D13" s="255">
        <v>0</v>
      </c>
      <c r="E13" s="255">
        <v>0</v>
      </c>
      <c r="F13" s="315">
        <f t="shared" si="0"/>
      </c>
    </row>
    <row r="14" spans="1:6" ht="13.5" customHeight="1">
      <c r="A14" s="304">
        <v>8</v>
      </c>
      <c r="B14" s="311" t="s">
        <v>557</v>
      </c>
      <c r="C14" s="312" t="s">
        <v>558</v>
      </c>
      <c r="D14" s="255">
        <v>0</v>
      </c>
      <c r="E14" s="255">
        <v>0</v>
      </c>
      <c r="F14" s="315">
        <f t="shared" si="0"/>
      </c>
    </row>
    <row r="15" spans="1:6" ht="13.5" customHeight="1">
      <c r="A15" s="304">
        <v>9</v>
      </c>
      <c r="B15" s="311" t="s">
        <v>559</v>
      </c>
      <c r="C15" s="312" t="s">
        <v>560</v>
      </c>
      <c r="D15" s="255">
        <v>0</v>
      </c>
      <c r="E15" s="255">
        <v>0</v>
      </c>
      <c r="F15" s="315">
        <f t="shared" si="0"/>
      </c>
    </row>
    <row r="16" spans="1:6" ht="13.5" customHeight="1">
      <c r="A16" s="304">
        <v>10</v>
      </c>
      <c r="B16" s="311" t="s">
        <v>561</v>
      </c>
      <c r="C16" s="312" t="s">
        <v>60</v>
      </c>
      <c r="D16" s="255">
        <v>0</v>
      </c>
      <c r="E16" s="255">
        <v>0</v>
      </c>
      <c r="F16" s="315">
        <f t="shared" si="0"/>
      </c>
    </row>
    <row r="17" spans="1:6" ht="13.5" customHeight="1">
      <c r="A17" s="304">
        <v>11</v>
      </c>
      <c r="B17" s="308" t="s">
        <v>137</v>
      </c>
      <c r="C17" s="309" t="s">
        <v>61</v>
      </c>
      <c r="D17" s="310">
        <f>SUM(D18:D22)</f>
        <v>0</v>
      </c>
      <c r="E17" s="310">
        <f>SUM(E18:E22)</f>
        <v>0</v>
      </c>
      <c r="F17" s="314">
        <f t="shared" si="0"/>
      </c>
    </row>
    <row r="18" spans="1:6" ht="13.5" customHeight="1">
      <c r="A18" s="304">
        <v>12</v>
      </c>
      <c r="B18" s="311" t="s">
        <v>562</v>
      </c>
      <c r="C18" s="312" t="s">
        <v>62</v>
      </c>
      <c r="D18" s="255">
        <v>0</v>
      </c>
      <c r="E18" s="255">
        <v>0</v>
      </c>
      <c r="F18" s="315">
        <f t="shared" si="0"/>
      </c>
    </row>
    <row r="19" spans="1:6" ht="13.5" customHeight="1">
      <c r="A19" s="304">
        <v>13</v>
      </c>
      <c r="B19" s="311" t="s">
        <v>563</v>
      </c>
      <c r="C19" s="312" t="s">
        <v>63</v>
      </c>
      <c r="D19" s="255">
        <v>0</v>
      </c>
      <c r="E19" s="255">
        <v>0</v>
      </c>
      <c r="F19" s="315">
        <f t="shared" si="0"/>
      </c>
    </row>
    <row r="20" spans="1:6" ht="13.5" customHeight="1">
      <c r="A20" s="304">
        <v>14</v>
      </c>
      <c r="B20" s="311" t="s">
        <v>564</v>
      </c>
      <c r="C20" s="312" t="s">
        <v>64</v>
      </c>
      <c r="D20" s="255">
        <v>0</v>
      </c>
      <c r="E20" s="255">
        <v>0</v>
      </c>
      <c r="F20" s="315">
        <f t="shared" si="0"/>
      </c>
    </row>
    <row r="21" spans="1:6" ht="13.5" customHeight="1">
      <c r="A21" s="304">
        <v>15</v>
      </c>
      <c r="B21" s="311" t="s">
        <v>565</v>
      </c>
      <c r="C21" s="312" t="s">
        <v>65</v>
      </c>
      <c r="D21" s="255">
        <v>0</v>
      </c>
      <c r="E21" s="255">
        <v>0</v>
      </c>
      <c r="F21" s="315">
        <f t="shared" si="0"/>
      </c>
    </row>
    <row r="22" spans="1:6" ht="13.5" customHeight="1">
      <c r="A22" s="304">
        <v>16</v>
      </c>
      <c r="B22" s="311" t="s">
        <v>566</v>
      </c>
      <c r="C22" s="312" t="s">
        <v>66</v>
      </c>
      <c r="D22" s="255">
        <v>0</v>
      </c>
      <c r="E22" s="255">
        <v>0</v>
      </c>
      <c r="F22" s="315">
        <f t="shared" si="0"/>
      </c>
    </row>
    <row r="23" spans="1:6" ht="13.5" customHeight="1">
      <c r="A23" s="304">
        <v>17</v>
      </c>
      <c r="B23" s="308" t="s">
        <v>150</v>
      </c>
      <c r="C23" s="309" t="s">
        <v>567</v>
      </c>
      <c r="D23" s="310">
        <f>SUM(D24:D29)</f>
        <v>9630780</v>
      </c>
      <c r="E23" s="310">
        <f>SUM(E24:E29)</f>
        <v>9405718</v>
      </c>
      <c r="F23" s="314">
        <f t="shared" si="0"/>
        <v>97.66309686235175</v>
      </c>
    </row>
    <row r="24" spans="1:6" ht="13.5" customHeight="1">
      <c r="A24" s="304">
        <v>18</v>
      </c>
      <c r="B24" s="311" t="s">
        <v>568</v>
      </c>
      <c r="C24" s="312" t="s">
        <v>569</v>
      </c>
      <c r="D24" s="255">
        <f>9!H42</f>
        <v>6044240</v>
      </c>
      <c r="E24" s="255">
        <f>9!I42</f>
        <v>5967500</v>
      </c>
      <c r="F24" s="315">
        <f t="shared" si="0"/>
        <v>98.73036146810848</v>
      </c>
    </row>
    <row r="25" spans="1:6" ht="13.5" customHeight="1">
      <c r="A25" s="304">
        <v>19</v>
      </c>
      <c r="B25" s="311" t="s">
        <v>570</v>
      </c>
      <c r="C25" s="312" t="s">
        <v>67</v>
      </c>
      <c r="D25" s="255">
        <f>'33'!H40</f>
        <v>337800</v>
      </c>
      <c r="E25" s="255">
        <f>'33'!I40</f>
        <v>311005</v>
      </c>
      <c r="F25" s="315">
        <f t="shared" si="0"/>
        <v>92.06779159265838</v>
      </c>
    </row>
    <row r="26" spans="1:6" ht="13.5" customHeight="1">
      <c r="A26" s="304">
        <v>20</v>
      </c>
      <c r="B26" s="311" t="s">
        <v>571</v>
      </c>
      <c r="C26" s="312" t="s">
        <v>572</v>
      </c>
      <c r="D26" s="255">
        <f>'11'!H42+'12'!H42+'13'!H42+'14'!H42+'34'!H42+'35'!H42+'36'!H42</f>
        <v>3126860</v>
      </c>
      <c r="E26" s="255">
        <f>'11'!I42+'12'!I42+'13'!I42+'14'!I42+'34'!I42+'35'!I42+'36'!I42</f>
        <v>3006829</v>
      </c>
      <c r="F26" s="315">
        <f t="shared" si="0"/>
        <v>96.16129279852632</v>
      </c>
    </row>
    <row r="27" spans="1:6" ht="13.5" customHeight="1">
      <c r="A27" s="304">
        <v>21</v>
      </c>
      <c r="B27" s="311" t="s">
        <v>573</v>
      </c>
      <c r="C27" s="312" t="s">
        <v>574</v>
      </c>
      <c r="D27" s="255">
        <v>0</v>
      </c>
      <c r="E27" s="255">
        <v>0</v>
      </c>
      <c r="F27" s="315">
        <f t="shared" si="0"/>
      </c>
    </row>
    <row r="28" spans="1:6" ht="13.5" customHeight="1">
      <c r="A28" s="304">
        <v>22</v>
      </c>
      <c r="B28" s="311" t="s">
        <v>575</v>
      </c>
      <c r="C28" s="312" t="s">
        <v>576</v>
      </c>
      <c r="D28" s="255">
        <v>0</v>
      </c>
      <c r="E28" s="255">
        <v>0</v>
      </c>
      <c r="F28" s="315">
        <f t="shared" si="0"/>
      </c>
    </row>
    <row r="29" spans="1:6" ht="13.5" customHeight="1">
      <c r="A29" s="304">
        <v>23</v>
      </c>
      <c r="B29" s="311" t="s">
        <v>577</v>
      </c>
      <c r="C29" s="312" t="s">
        <v>578</v>
      </c>
      <c r="D29" s="255">
        <f>'10'!H42</f>
        <v>121880</v>
      </c>
      <c r="E29" s="255">
        <f>'10'!I42</f>
        <v>120384</v>
      </c>
      <c r="F29" s="315">
        <f t="shared" si="0"/>
        <v>98.77256317689532</v>
      </c>
    </row>
    <row r="30" spans="1:6" ht="13.5" customHeight="1">
      <c r="A30" s="304">
        <v>24</v>
      </c>
      <c r="B30" s="308" t="s">
        <v>579</v>
      </c>
      <c r="C30" s="309" t="s">
        <v>580</v>
      </c>
      <c r="D30" s="310">
        <f>SUM(D31:D39)</f>
        <v>6076680</v>
      </c>
      <c r="E30" s="310">
        <f>SUM(E31:E39)</f>
        <v>5840416</v>
      </c>
      <c r="F30" s="314">
        <f t="shared" si="0"/>
        <v>96.11195587063989</v>
      </c>
    </row>
    <row r="31" spans="1:6" ht="13.5" customHeight="1">
      <c r="A31" s="304">
        <v>25</v>
      </c>
      <c r="B31" s="311" t="s">
        <v>581</v>
      </c>
      <c r="C31" s="312" t="s">
        <v>582</v>
      </c>
      <c r="D31" s="255">
        <v>0</v>
      </c>
      <c r="E31" s="255">
        <v>0</v>
      </c>
      <c r="F31" s="315">
        <f t="shared" si="0"/>
      </c>
    </row>
    <row r="32" spans="1:6" ht="13.5" customHeight="1">
      <c r="A32" s="304">
        <v>26</v>
      </c>
      <c r="B32" s="311" t="s">
        <v>583</v>
      </c>
      <c r="C32" s="312" t="s">
        <v>584</v>
      </c>
      <c r="D32" s="255">
        <f>'19'!H41</f>
        <v>2761500</v>
      </c>
      <c r="E32" s="255">
        <f>'19'!I41</f>
        <v>2734923</v>
      </c>
      <c r="F32" s="315">
        <f t="shared" si="0"/>
        <v>99.03758826724605</v>
      </c>
    </row>
    <row r="33" spans="1:6" ht="13.5" customHeight="1">
      <c r="A33" s="304">
        <v>27</v>
      </c>
      <c r="B33" s="311" t="s">
        <v>585</v>
      </c>
      <c r="C33" s="312" t="s">
        <v>586</v>
      </c>
      <c r="D33" s="255">
        <v>0</v>
      </c>
      <c r="E33" s="255">
        <v>0</v>
      </c>
      <c r="F33" s="315">
        <f t="shared" si="0"/>
      </c>
    </row>
    <row r="34" spans="1:6" ht="13.5" customHeight="1">
      <c r="A34" s="304">
        <v>28</v>
      </c>
      <c r="B34" s="311" t="s">
        <v>587</v>
      </c>
      <c r="C34" s="312" t="s">
        <v>588</v>
      </c>
      <c r="D34" s="255">
        <v>0</v>
      </c>
      <c r="E34" s="255">
        <v>0</v>
      </c>
      <c r="F34" s="315">
        <f t="shared" si="0"/>
      </c>
    </row>
    <row r="35" spans="1:6" ht="13.5" customHeight="1">
      <c r="A35" s="304">
        <v>29</v>
      </c>
      <c r="B35" s="311" t="s">
        <v>589</v>
      </c>
      <c r="C35" s="312" t="s">
        <v>68</v>
      </c>
      <c r="D35" s="255">
        <v>0</v>
      </c>
      <c r="E35" s="255">
        <v>0</v>
      </c>
      <c r="F35" s="315">
        <f t="shared" si="0"/>
      </c>
    </row>
    <row r="36" spans="1:6" ht="13.5" customHeight="1">
      <c r="A36" s="304">
        <v>30</v>
      </c>
      <c r="B36" s="311" t="s">
        <v>590</v>
      </c>
      <c r="C36" s="312" t="s">
        <v>591</v>
      </c>
      <c r="D36" s="255">
        <v>0</v>
      </c>
      <c r="E36" s="255">
        <v>0</v>
      </c>
      <c r="F36" s="315">
        <f t="shared" si="0"/>
      </c>
    </row>
    <row r="37" spans="1:6" ht="13.5" customHeight="1">
      <c r="A37" s="304">
        <v>31</v>
      </c>
      <c r="B37" s="311" t="s">
        <v>592</v>
      </c>
      <c r="C37" s="312" t="s">
        <v>593</v>
      </c>
      <c r="D37" s="255">
        <v>0</v>
      </c>
      <c r="E37" s="255">
        <v>0</v>
      </c>
      <c r="F37" s="315">
        <f t="shared" si="0"/>
      </c>
    </row>
    <row r="38" spans="1:6" ht="13.5" customHeight="1">
      <c r="A38" s="304">
        <v>32</v>
      </c>
      <c r="B38" s="311" t="s">
        <v>594</v>
      </c>
      <c r="C38" s="312" t="s">
        <v>595</v>
      </c>
      <c r="D38" s="255">
        <v>0</v>
      </c>
      <c r="E38" s="255">
        <v>0</v>
      </c>
      <c r="F38" s="315">
        <f t="shared" si="0"/>
      </c>
    </row>
    <row r="39" spans="1:6" ht="13.5" customHeight="1">
      <c r="A39" s="304">
        <v>33</v>
      </c>
      <c r="B39" s="311" t="s">
        <v>596</v>
      </c>
      <c r="C39" s="312" t="s">
        <v>597</v>
      </c>
      <c r="D39" s="255">
        <f>'15'!H38+'18'!H43+'32'!H41+'37'!H42</f>
        <v>3315180</v>
      </c>
      <c r="E39" s="255">
        <f>'15'!I38+'18'!I43+'32'!I41+'37'!I42</f>
        <v>3105493</v>
      </c>
      <c r="F39" s="315">
        <f t="shared" si="0"/>
        <v>93.6749437436278</v>
      </c>
    </row>
    <row r="40" spans="1:6" ht="13.5" customHeight="1">
      <c r="A40" s="304">
        <v>34</v>
      </c>
      <c r="B40" s="308" t="s">
        <v>138</v>
      </c>
      <c r="C40" s="309" t="s">
        <v>598</v>
      </c>
      <c r="D40" s="310">
        <f>SUM(D41:D46)</f>
        <v>0</v>
      </c>
      <c r="E40" s="310">
        <f>SUM(E41:E46)</f>
        <v>0</v>
      </c>
      <c r="F40" s="314">
        <f t="shared" si="0"/>
      </c>
    </row>
    <row r="41" spans="1:6" ht="13.5" customHeight="1">
      <c r="A41" s="304">
        <v>35</v>
      </c>
      <c r="B41" s="311" t="s">
        <v>599</v>
      </c>
      <c r="C41" s="312" t="s">
        <v>600</v>
      </c>
      <c r="D41" s="255">
        <v>0</v>
      </c>
      <c r="E41" s="255">
        <v>0</v>
      </c>
      <c r="F41" s="315">
        <f t="shared" si="0"/>
      </c>
    </row>
    <row r="42" spans="1:6" ht="13.5" customHeight="1">
      <c r="A42" s="304">
        <v>36</v>
      </c>
      <c r="B42" s="311" t="s">
        <v>601</v>
      </c>
      <c r="C42" s="312" t="s">
        <v>602</v>
      </c>
      <c r="D42" s="255">
        <v>0</v>
      </c>
      <c r="E42" s="255">
        <v>0</v>
      </c>
      <c r="F42" s="315">
        <f t="shared" si="0"/>
      </c>
    </row>
    <row r="43" spans="1:6" ht="13.5" customHeight="1">
      <c r="A43" s="304">
        <v>37</v>
      </c>
      <c r="B43" s="311" t="s">
        <v>603</v>
      </c>
      <c r="C43" s="312" t="s">
        <v>604</v>
      </c>
      <c r="D43" s="255">
        <v>0</v>
      </c>
      <c r="E43" s="255">
        <v>0</v>
      </c>
      <c r="F43" s="315">
        <f t="shared" si="0"/>
      </c>
    </row>
    <row r="44" spans="1:6" ht="13.5" customHeight="1">
      <c r="A44" s="304">
        <v>38</v>
      </c>
      <c r="B44" s="311" t="s">
        <v>605</v>
      </c>
      <c r="C44" s="312" t="s">
        <v>69</v>
      </c>
      <c r="D44" s="255">
        <v>0</v>
      </c>
      <c r="E44" s="255">
        <v>0</v>
      </c>
      <c r="F44" s="315">
        <f t="shared" si="0"/>
      </c>
    </row>
    <row r="45" spans="1:6" ht="13.5" customHeight="1">
      <c r="A45" s="304">
        <v>39</v>
      </c>
      <c r="B45" s="311" t="s">
        <v>606</v>
      </c>
      <c r="C45" s="312" t="s">
        <v>56</v>
      </c>
      <c r="D45" s="255">
        <v>0</v>
      </c>
      <c r="E45" s="255">
        <v>0</v>
      </c>
      <c r="F45" s="315">
        <f t="shared" si="0"/>
      </c>
    </row>
    <row r="46" spans="1:6" ht="13.5" customHeight="1">
      <c r="A46" s="304">
        <v>40</v>
      </c>
      <c r="B46" s="311" t="s">
        <v>607</v>
      </c>
      <c r="C46" s="312" t="s">
        <v>608</v>
      </c>
      <c r="D46" s="255">
        <v>0</v>
      </c>
      <c r="E46" s="255">
        <v>0</v>
      </c>
      <c r="F46" s="315">
        <f t="shared" si="0"/>
      </c>
    </row>
    <row r="47" spans="1:6" ht="13.5" customHeight="1">
      <c r="A47" s="304">
        <v>41</v>
      </c>
      <c r="B47" s="308" t="s">
        <v>203</v>
      </c>
      <c r="C47" s="309" t="s">
        <v>609</v>
      </c>
      <c r="D47" s="310">
        <f>SUM(D48:D53)</f>
        <v>0</v>
      </c>
      <c r="E47" s="310">
        <f>SUM(E48:E53)</f>
        <v>0</v>
      </c>
      <c r="F47" s="314">
        <f t="shared" si="0"/>
      </c>
    </row>
    <row r="48" spans="1:6" ht="13.5" customHeight="1">
      <c r="A48" s="304">
        <v>42</v>
      </c>
      <c r="B48" s="311" t="s">
        <v>610</v>
      </c>
      <c r="C48" s="312" t="s">
        <v>611</v>
      </c>
      <c r="D48" s="255">
        <v>0</v>
      </c>
      <c r="E48" s="255">
        <v>0</v>
      </c>
      <c r="F48" s="315">
        <f t="shared" si="0"/>
      </c>
    </row>
    <row r="49" spans="1:6" ht="13.5" customHeight="1">
      <c r="A49" s="304">
        <v>43</v>
      </c>
      <c r="B49" s="311" t="s">
        <v>612</v>
      </c>
      <c r="C49" s="312" t="s">
        <v>613</v>
      </c>
      <c r="D49" s="255">
        <v>0</v>
      </c>
      <c r="E49" s="255">
        <v>0</v>
      </c>
      <c r="F49" s="315">
        <f t="shared" si="0"/>
      </c>
    </row>
    <row r="50" spans="1:6" ht="13.5" customHeight="1">
      <c r="A50" s="304">
        <v>44</v>
      </c>
      <c r="B50" s="311" t="s">
        <v>614</v>
      </c>
      <c r="C50" s="312" t="s">
        <v>70</v>
      </c>
      <c r="D50" s="255">
        <v>0</v>
      </c>
      <c r="E50" s="255">
        <v>0</v>
      </c>
      <c r="F50" s="315">
        <f t="shared" si="0"/>
      </c>
    </row>
    <row r="51" spans="1:6" ht="13.5" customHeight="1">
      <c r="A51" s="304">
        <v>45</v>
      </c>
      <c r="B51" s="311" t="s">
        <v>615</v>
      </c>
      <c r="C51" s="312" t="s">
        <v>616</v>
      </c>
      <c r="D51" s="255">
        <v>0</v>
      </c>
      <c r="E51" s="255">
        <v>0</v>
      </c>
      <c r="F51" s="315">
        <f t="shared" si="0"/>
      </c>
    </row>
    <row r="52" spans="1:6" ht="13.5" customHeight="1">
      <c r="A52" s="304">
        <v>46</v>
      </c>
      <c r="B52" s="311" t="s">
        <v>617</v>
      </c>
      <c r="C52" s="312" t="s">
        <v>618</v>
      </c>
      <c r="D52" s="255">
        <v>0</v>
      </c>
      <c r="E52" s="255">
        <v>0</v>
      </c>
      <c r="F52" s="315">
        <f t="shared" si="0"/>
      </c>
    </row>
    <row r="53" spans="1:6" ht="13.5" customHeight="1">
      <c r="A53" s="304">
        <v>47</v>
      </c>
      <c r="B53" s="311" t="s">
        <v>619</v>
      </c>
      <c r="C53" s="312" t="s">
        <v>620</v>
      </c>
      <c r="D53" s="255">
        <v>0</v>
      </c>
      <c r="E53" s="255">
        <v>0</v>
      </c>
      <c r="F53" s="315">
        <f t="shared" si="0"/>
      </c>
    </row>
    <row r="54" spans="1:6" ht="13.5" customHeight="1">
      <c r="A54" s="304">
        <v>48</v>
      </c>
      <c r="B54" s="308" t="s">
        <v>621</v>
      </c>
      <c r="C54" s="309" t="s">
        <v>622</v>
      </c>
      <c r="D54" s="310">
        <f>SUM(D55:D60)</f>
        <v>0</v>
      </c>
      <c r="E54" s="310">
        <f>SUM(E55:E60)</f>
        <v>0</v>
      </c>
      <c r="F54" s="314">
        <f t="shared" si="0"/>
      </c>
    </row>
    <row r="55" spans="1:6" ht="13.5" customHeight="1">
      <c r="A55" s="304">
        <v>49</v>
      </c>
      <c r="B55" s="311" t="s">
        <v>623</v>
      </c>
      <c r="C55" s="312" t="s">
        <v>624</v>
      </c>
      <c r="D55" s="255">
        <v>0</v>
      </c>
      <c r="E55" s="255">
        <v>0</v>
      </c>
      <c r="F55" s="315">
        <f t="shared" si="0"/>
      </c>
    </row>
    <row r="56" spans="1:6" ht="13.5" customHeight="1">
      <c r="A56" s="304">
        <v>50</v>
      </c>
      <c r="B56" s="311" t="s">
        <v>625</v>
      </c>
      <c r="C56" s="312" t="s">
        <v>71</v>
      </c>
      <c r="D56" s="255">
        <v>0</v>
      </c>
      <c r="E56" s="255">
        <v>0</v>
      </c>
      <c r="F56" s="315">
        <f t="shared" si="0"/>
      </c>
    </row>
    <row r="57" spans="1:6" ht="13.5" customHeight="1">
      <c r="A57" s="304">
        <v>51</v>
      </c>
      <c r="B57" s="311" t="s">
        <v>0</v>
      </c>
      <c r="C57" s="312" t="s">
        <v>1</v>
      </c>
      <c r="D57" s="255">
        <v>0</v>
      </c>
      <c r="E57" s="255">
        <v>0</v>
      </c>
      <c r="F57" s="315">
        <f t="shared" si="0"/>
      </c>
    </row>
    <row r="58" spans="1:6" ht="13.5" customHeight="1">
      <c r="A58" s="304">
        <v>52</v>
      </c>
      <c r="B58" s="311" t="s">
        <v>2</v>
      </c>
      <c r="C58" s="312" t="s">
        <v>3</v>
      </c>
      <c r="D58" s="255">
        <v>0</v>
      </c>
      <c r="E58" s="255">
        <v>0</v>
      </c>
      <c r="F58" s="315">
        <f t="shared" si="0"/>
      </c>
    </row>
    <row r="59" spans="1:6" ht="13.5" customHeight="1">
      <c r="A59" s="304">
        <v>53</v>
      </c>
      <c r="B59" s="311" t="s">
        <v>4</v>
      </c>
      <c r="C59" s="312" t="s">
        <v>5</v>
      </c>
      <c r="D59" s="255">
        <v>0</v>
      </c>
      <c r="E59" s="255">
        <v>0</v>
      </c>
      <c r="F59" s="315">
        <f t="shared" si="0"/>
      </c>
    </row>
    <row r="60" spans="1:6" ht="13.5" customHeight="1">
      <c r="A60" s="304">
        <v>54</v>
      </c>
      <c r="B60" s="311" t="s">
        <v>6</v>
      </c>
      <c r="C60" s="312" t="s">
        <v>7</v>
      </c>
      <c r="D60" s="255">
        <v>0</v>
      </c>
      <c r="E60" s="255">
        <v>0</v>
      </c>
      <c r="F60" s="315">
        <f t="shared" si="0"/>
      </c>
    </row>
    <row r="61" spans="1:6" ht="12.75">
      <c r="A61" s="304">
        <v>55</v>
      </c>
      <c r="B61" s="308" t="s">
        <v>8</v>
      </c>
      <c r="C61" s="309" t="s">
        <v>9</v>
      </c>
      <c r="D61" s="310">
        <f>SUM(D62:D67)</f>
        <v>480000</v>
      </c>
      <c r="E61" s="310">
        <f>SUM(E62:E67)</f>
        <v>480000</v>
      </c>
      <c r="F61" s="314">
        <f t="shared" si="0"/>
        <v>100</v>
      </c>
    </row>
    <row r="62" spans="1:6" ht="12.75">
      <c r="A62" s="304">
        <v>56</v>
      </c>
      <c r="B62" s="311" t="s">
        <v>10</v>
      </c>
      <c r="C62" s="312" t="s">
        <v>72</v>
      </c>
      <c r="D62" s="255">
        <v>270000</v>
      </c>
      <c r="E62" s="255">
        <v>270000</v>
      </c>
      <c r="F62" s="316">
        <f t="shared" si="0"/>
        <v>100</v>
      </c>
    </row>
    <row r="63" spans="1:6" ht="12.75">
      <c r="A63" s="304">
        <v>57</v>
      </c>
      <c r="B63" s="311" t="s">
        <v>11</v>
      </c>
      <c r="C63" s="312" t="s">
        <v>12</v>
      </c>
      <c r="D63" s="255">
        <v>30000</v>
      </c>
      <c r="E63" s="255">
        <v>30000</v>
      </c>
      <c r="F63" s="316">
        <f t="shared" si="0"/>
        <v>100</v>
      </c>
    </row>
    <row r="64" spans="1:6" ht="12.75">
      <c r="A64" s="304">
        <v>58</v>
      </c>
      <c r="B64" s="311" t="s">
        <v>13</v>
      </c>
      <c r="C64" s="312" t="s">
        <v>73</v>
      </c>
      <c r="D64" s="255">
        <f>'20'!H37</f>
        <v>30000</v>
      </c>
      <c r="E64" s="255">
        <f>'20'!I37</f>
        <v>30000</v>
      </c>
      <c r="F64" s="316">
        <f t="shared" si="0"/>
        <v>100</v>
      </c>
    </row>
    <row r="65" spans="1:6" ht="12.75">
      <c r="A65" s="304">
        <v>59</v>
      </c>
      <c r="B65" s="311" t="s">
        <v>14</v>
      </c>
      <c r="C65" s="312" t="s">
        <v>57</v>
      </c>
      <c r="D65" s="255">
        <f>'20'!H38</f>
        <v>150000</v>
      </c>
      <c r="E65" s="255">
        <f>'20'!I38</f>
        <v>150000</v>
      </c>
      <c r="F65" s="316">
        <f t="shared" si="0"/>
        <v>100</v>
      </c>
    </row>
    <row r="66" spans="1:6" ht="12.75">
      <c r="A66" s="304">
        <v>60</v>
      </c>
      <c r="B66" s="311" t="s">
        <v>15</v>
      </c>
      <c r="C66" s="312" t="s">
        <v>16</v>
      </c>
      <c r="D66" s="255">
        <v>0</v>
      </c>
      <c r="E66" s="255">
        <v>0</v>
      </c>
      <c r="F66" s="316">
        <f t="shared" si="0"/>
      </c>
    </row>
    <row r="67" spans="1:6" ht="12.75">
      <c r="A67" s="304">
        <v>61</v>
      </c>
      <c r="B67" s="311" t="s">
        <v>17</v>
      </c>
      <c r="C67" s="312" t="s">
        <v>18</v>
      </c>
      <c r="D67" s="255">
        <v>0</v>
      </c>
      <c r="E67" s="255">
        <v>0</v>
      </c>
      <c r="F67" s="316">
        <f t="shared" si="0"/>
      </c>
    </row>
    <row r="68" spans="1:6" ht="12.75">
      <c r="A68" s="304">
        <v>62</v>
      </c>
      <c r="B68" s="308" t="s">
        <v>19</v>
      </c>
      <c r="C68" s="309" t="s">
        <v>20</v>
      </c>
      <c r="D68" s="310">
        <f>SUM(D69:D76)</f>
        <v>12261240</v>
      </c>
      <c r="E68" s="310">
        <f>SUM(E69:E76)</f>
        <v>12004344</v>
      </c>
      <c r="F68" s="314">
        <f t="shared" si="0"/>
        <v>97.90481223758772</v>
      </c>
    </row>
    <row r="69" spans="1:6" ht="12.75">
      <c r="A69" s="304">
        <v>63</v>
      </c>
      <c r="B69" s="311" t="s">
        <v>21</v>
      </c>
      <c r="C69" s="312" t="s">
        <v>22</v>
      </c>
      <c r="D69" s="255">
        <f>'24'!H42+'25'!H42+'26'!H42+'27'!H42+'28'!H42+'29'!H42+'30'!H42+10000</f>
        <v>7529760</v>
      </c>
      <c r="E69" s="255">
        <f>'24'!I42+'25'!I42+'26'!I42+'27'!I42+'28'!I42+'29'!I42+'30'!I42+10000</f>
        <v>7370074</v>
      </c>
      <c r="F69" s="316">
        <f t="shared" si="0"/>
        <v>97.87926839633667</v>
      </c>
    </row>
    <row r="70" spans="1:6" ht="12.75">
      <c r="A70" s="304">
        <v>64</v>
      </c>
      <c r="B70" s="311" t="s">
        <v>23</v>
      </c>
      <c r="C70" s="312" t="s">
        <v>24</v>
      </c>
      <c r="D70" s="255">
        <f>'21'!H42+'22'!H42+'23'!H42+5000</f>
        <v>3678600</v>
      </c>
      <c r="E70" s="255">
        <f>'21'!I42+'22'!I42+'23'!I42+5000</f>
        <v>3606905</v>
      </c>
      <c r="F70" s="316">
        <f t="shared" si="0"/>
        <v>98.05102484640896</v>
      </c>
    </row>
    <row r="71" spans="1:6" ht="12.75">
      <c r="A71" s="304">
        <v>65</v>
      </c>
      <c r="B71" s="311" t="s">
        <v>25</v>
      </c>
      <c r="C71" s="312" t="s">
        <v>26</v>
      </c>
      <c r="D71" s="255">
        <v>0</v>
      </c>
      <c r="E71" s="255">
        <v>0</v>
      </c>
      <c r="F71" s="316">
        <f t="shared" si="0"/>
      </c>
    </row>
    <row r="72" spans="1:6" ht="12.75">
      <c r="A72" s="304">
        <v>66</v>
      </c>
      <c r="B72" s="311" t="s">
        <v>27</v>
      </c>
      <c r="C72" s="312" t="s">
        <v>28</v>
      </c>
      <c r="D72" s="255">
        <f>'20'!H32+'20'!H35</f>
        <v>278000</v>
      </c>
      <c r="E72" s="255">
        <f>'20'!I32+'20'!I35</f>
        <v>259200</v>
      </c>
      <c r="F72" s="316">
        <f t="shared" si="0"/>
        <v>93.23741007194245</v>
      </c>
    </row>
    <row r="73" spans="1:6" ht="12.75">
      <c r="A73" s="304">
        <v>67</v>
      </c>
      <c r="B73" s="311" t="s">
        <v>29</v>
      </c>
      <c r="C73" s="312" t="s">
        <v>74</v>
      </c>
      <c r="D73" s="255">
        <v>0</v>
      </c>
      <c r="E73" s="255">
        <v>0</v>
      </c>
      <c r="F73" s="316">
        <f t="shared" si="0"/>
      </c>
    </row>
    <row r="74" spans="1:6" ht="12.75">
      <c r="A74" s="304">
        <v>68</v>
      </c>
      <c r="B74" s="311" t="s">
        <v>30</v>
      </c>
      <c r="C74" s="312" t="s">
        <v>31</v>
      </c>
      <c r="D74" s="255">
        <v>0</v>
      </c>
      <c r="E74" s="255">
        <v>0</v>
      </c>
      <c r="F74" s="316">
        <f aca="true" t="shared" si="1" ref="F74:F86">IF(D74=0,"",E74/D74*100)</f>
      </c>
    </row>
    <row r="75" spans="1:6" ht="12.75">
      <c r="A75" s="304">
        <v>69</v>
      </c>
      <c r="B75" s="311" t="s">
        <v>32</v>
      </c>
      <c r="C75" s="312" t="s">
        <v>33</v>
      </c>
      <c r="D75" s="255">
        <v>0</v>
      </c>
      <c r="E75" s="255">
        <v>0</v>
      </c>
      <c r="F75" s="316">
        <f t="shared" si="1"/>
      </c>
    </row>
    <row r="76" spans="1:6" ht="12.75">
      <c r="A76" s="304">
        <v>70</v>
      </c>
      <c r="B76" s="311" t="s">
        <v>34</v>
      </c>
      <c r="C76" s="312" t="s">
        <v>35</v>
      </c>
      <c r="D76" s="255">
        <f>'20'!H55-'20'!H32-'20'!H33-'20'!H35-'20'!H36-'20'!H37-'20'!H38</f>
        <v>774880</v>
      </c>
      <c r="E76" s="255">
        <f>'20'!I55-'20'!I32-'20'!I33-'20'!I35-'20'!I36-'20'!I37-'20'!I38</f>
        <v>768165</v>
      </c>
      <c r="F76" s="316">
        <f t="shared" si="1"/>
        <v>99.13341420607061</v>
      </c>
    </row>
    <row r="77" spans="1:6" ht="12.75">
      <c r="A77" s="304">
        <v>71</v>
      </c>
      <c r="B77" s="308" t="s">
        <v>36</v>
      </c>
      <c r="C77" s="307" t="s">
        <v>37</v>
      </c>
      <c r="D77" s="310">
        <f>SUM(D78:D86)</f>
        <v>3914370</v>
      </c>
      <c r="E77" s="310">
        <f>SUM(E78:E86)</f>
        <v>3879264</v>
      </c>
      <c r="F77" s="314">
        <f t="shared" si="1"/>
        <v>99.10315069857984</v>
      </c>
    </row>
    <row r="78" spans="1:6" ht="12.75">
      <c r="A78" s="304">
        <v>72</v>
      </c>
      <c r="B78" s="311" t="s">
        <v>38</v>
      </c>
      <c r="C78" s="312" t="s">
        <v>39</v>
      </c>
      <c r="D78" s="255">
        <v>0</v>
      </c>
      <c r="E78" s="255">
        <v>0</v>
      </c>
      <c r="F78" s="316">
        <f t="shared" si="1"/>
      </c>
    </row>
    <row r="79" spans="1:6" ht="12.75">
      <c r="A79" s="304">
        <v>73</v>
      </c>
      <c r="B79" s="311" t="s">
        <v>40</v>
      </c>
      <c r="C79" s="312" t="s">
        <v>41</v>
      </c>
      <c r="D79" s="255">
        <v>0</v>
      </c>
      <c r="E79" s="255">
        <v>0</v>
      </c>
      <c r="F79" s="316">
        <f t="shared" si="1"/>
      </c>
    </row>
    <row r="80" spans="1:6" ht="12.75">
      <c r="A80" s="304">
        <v>74</v>
      </c>
      <c r="B80" s="311" t="s">
        <v>42</v>
      </c>
      <c r="C80" s="312" t="s">
        <v>43</v>
      </c>
      <c r="D80" s="255">
        <v>0</v>
      </c>
      <c r="E80" s="255">
        <v>0</v>
      </c>
      <c r="F80" s="316">
        <f t="shared" si="1"/>
      </c>
    </row>
    <row r="81" spans="1:6" ht="12.75">
      <c r="A81" s="304">
        <v>75</v>
      </c>
      <c r="B81" s="311" t="s">
        <v>44</v>
      </c>
      <c r="C81" s="312" t="s">
        <v>75</v>
      </c>
      <c r="D81" s="255">
        <v>0</v>
      </c>
      <c r="E81" s="255">
        <v>0</v>
      </c>
      <c r="F81" s="316">
        <f t="shared" si="1"/>
      </c>
    </row>
    <row r="82" spans="1:6" ht="12.75">
      <c r="A82" s="304">
        <v>76</v>
      </c>
      <c r="B82" s="311" t="s">
        <v>45</v>
      </c>
      <c r="C82" s="312" t="s">
        <v>76</v>
      </c>
      <c r="D82" s="255">
        <v>0</v>
      </c>
      <c r="E82" s="255">
        <v>0</v>
      </c>
      <c r="F82" s="316">
        <f t="shared" si="1"/>
      </c>
    </row>
    <row r="83" spans="1:6" ht="12.75">
      <c r="A83" s="304">
        <v>77</v>
      </c>
      <c r="B83" s="311" t="s">
        <v>46</v>
      </c>
      <c r="C83" s="312" t="s">
        <v>47</v>
      </c>
      <c r="D83" s="255">
        <v>0</v>
      </c>
      <c r="E83" s="255">
        <v>0</v>
      </c>
      <c r="F83" s="316">
        <f t="shared" si="1"/>
      </c>
    </row>
    <row r="84" spans="1:6" ht="12.75">
      <c r="A84" s="304">
        <v>78</v>
      </c>
      <c r="B84" s="311" t="s">
        <v>48</v>
      </c>
      <c r="C84" s="312" t="s">
        <v>49</v>
      </c>
      <c r="D84" s="255">
        <v>0</v>
      </c>
      <c r="E84" s="255">
        <v>0</v>
      </c>
      <c r="F84" s="316">
        <f t="shared" si="1"/>
      </c>
    </row>
    <row r="85" spans="1:6" ht="12.75">
      <c r="A85" s="304">
        <v>79</v>
      </c>
      <c r="B85" s="311" t="s">
        <v>50</v>
      </c>
      <c r="C85" s="312" t="s">
        <v>51</v>
      </c>
      <c r="D85" s="255">
        <v>0</v>
      </c>
      <c r="E85" s="255">
        <v>0</v>
      </c>
      <c r="F85" s="316">
        <f t="shared" si="1"/>
      </c>
    </row>
    <row r="86" spans="1:6" ht="12.75">
      <c r="A86" s="304">
        <v>80</v>
      </c>
      <c r="B86" s="311" t="s">
        <v>52</v>
      </c>
      <c r="C86" s="312" t="s">
        <v>53</v>
      </c>
      <c r="D86" s="255">
        <f>'17'!H40+'31'!H39</f>
        <v>3914370</v>
      </c>
      <c r="E86" s="255">
        <f>'17'!I40+'31'!I39</f>
        <v>3879264</v>
      </c>
      <c r="F86" s="316">
        <f t="shared" si="1"/>
        <v>99.10315069857984</v>
      </c>
    </row>
    <row r="87" spans="1:6" ht="12.75">
      <c r="A87" s="99"/>
      <c r="B87" s="99"/>
      <c r="C87" s="99"/>
      <c r="D87" s="99"/>
      <c r="E87" s="99"/>
      <c r="F87" s="99"/>
    </row>
    <row r="88" spans="1:6" ht="12.75">
      <c r="A88" s="99"/>
      <c r="B88" s="99"/>
      <c r="C88" s="99"/>
      <c r="D88" s="99"/>
      <c r="E88" s="99"/>
      <c r="F88" s="99"/>
    </row>
    <row r="89" spans="1:6" ht="12.75">
      <c r="A89" s="99"/>
      <c r="B89" s="99"/>
      <c r="C89" s="99"/>
      <c r="D89" s="99"/>
      <c r="E89" s="99"/>
      <c r="F89" s="99"/>
    </row>
    <row r="90" spans="1:6" ht="12.75">
      <c r="A90" s="99"/>
      <c r="B90" s="99"/>
      <c r="C90" s="99"/>
      <c r="D90" s="99"/>
      <c r="E90" s="99"/>
      <c r="F90" s="99"/>
    </row>
    <row r="91" spans="1:6" ht="12.75">
      <c r="A91" s="99"/>
      <c r="B91" s="99"/>
      <c r="C91" s="99"/>
      <c r="D91" s="99"/>
      <c r="E91" s="99"/>
      <c r="F91" s="99"/>
    </row>
    <row r="92" spans="1:6" ht="12.75">
      <c r="A92" s="99"/>
      <c r="B92" s="99"/>
      <c r="C92" s="99"/>
      <c r="D92" s="99"/>
      <c r="E92" s="99"/>
      <c r="F92" s="99"/>
    </row>
    <row r="93" spans="1:6" ht="12.75">
      <c r="A93" s="99"/>
      <c r="B93" s="99"/>
      <c r="C93" s="99"/>
      <c r="D93" s="99"/>
      <c r="E93" s="99"/>
      <c r="F93" s="99"/>
    </row>
    <row r="94" spans="1:6" ht="12.75">
      <c r="A94" s="99"/>
      <c r="B94" s="99"/>
      <c r="C94" s="99"/>
      <c r="D94" s="99"/>
      <c r="E94" s="99"/>
      <c r="F94" s="99"/>
    </row>
    <row r="95" spans="1:6" ht="12.75">
      <c r="A95" s="99"/>
      <c r="B95" s="99"/>
      <c r="C95" s="99"/>
      <c r="D95" s="99"/>
      <c r="E95" s="99"/>
      <c r="F95" s="99"/>
    </row>
    <row r="96" spans="1:6" ht="12.75">
      <c r="A96" s="99"/>
      <c r="B96" s="99"/>
      <c r="C96" s="99"/>
      <c r="D96" s="99"/>
      <c r="E96" s="99"/>
      <c r="F96" s="99"/>
    </row>
    <row r="97" spans="1:6" ht="12.75">
      <c r="A97" s="99"/>
      <c r="B97" s="99"/>
      <c r="C97" s="99"/>
      <c r="D97" s="99"/>
      <c r="E97" s="99"/>
      <c r="F97" s="99"/>
    </row>
    <row r="98" spans="1:6" ht="12.75">
      <c r="A98" s="99"/>
      <c r="B98" s="99"/>
      <c r="C98" s="99"/>
      <c r="D98" s="99"/>
      <c r="E98" s="99"/>
      <c r="F98" s="99"/>
    </row>
    <row r="99" spans="1:6" ht="12.75">
      <c r="A99" s="99"/>
      <c r="B99" s="99"/>
      <c r="C99" s="99"/>
      <c r="D99" s="99"/>
      <c r="E99" s="99"/>
      <c r="F99" s="99"/>
    </row>
    <row r="100" spans="1:6" ht="12.75">
      <c r="A100" s="99"/>
      <c r="B100" s="99"/>
      <c r="C100" s="99"/>
      <c r="D100" s="99"/>
      <c r="E100" s="99"/>
      <c r="F100" s="99"/>
    </row>
    <row r="101" spans="1:6" ht="12.75">
      <c r="A101" s="99"/>
      <c r="B101" s="99"/>
      <c r="C101" s="99"/>
      <c r="D101" s="99"/>
      <c r="E101" s="99"/>
      <c r="F101" s="99"/>
    </row>
    <row r="102" spans="1:6" ht="12.75">
      <c r="A102" s="99"/>
      <c r="B102" s="99"/>
      <c r="C102" s="99"/>
      <c r="D102" s="99"/>
      <c r="E102" s="99"/>
      <c r="F102" s="99"/>
    </row>
    <row r="103" spans="1:6" ht="12.75">
      <c r="A103" s="99"/>
      <c r="B103" s="99"/>
      <c r="C103" s="99"/>
      <c r="D103" s="99"/>
      <c r="E103" s="99"/>
      <c r="F103" s="99"/>
    </row>
    <row r="104" spans="1:6" ht="12.75">
      <c r="A104" s="99"/>
      <c r="B104" s="99"/>
      <c r="C104" s="99"/>
      <c r="D104" s="99"/>
      <c r="E104" s="99"/>
      <c r="F104" s="99"/>
    </row>
    <row r="105" spans="1:6" ht="12.75">
      <c r="A105" s="99"/>
      <c r="B105" s="99"/>
      <c r="C105" s="99"/>
      <c r="D105" s="99"/>
      <c r="E105" s="99"/>
      <c r="F105" s="99"/>
    </row>
    <row r="106" spans="1:6" ht="12.75">
      <c r="A106" s="99"/>
      <c r="B106" s="99"/>
      <c r="C106" s="99"/>
      <c r="D106" s="99"/>
      <c r="E106" s="99"/>
      <c r="F106" s="99"/>
    </row>
    <row r="107" spans="1:6" ht="12.75">
      <c r="A107" s="99"/>
      <c r="B107" s="99"/>
      <c r="C107" s="99"/>
      <c r="D107" s="99"/>
      <c r="E107" s="99"/>
      <c r="F107" s="99"/>
    </row>
    <row r="108" spans="1:6" ht="12.75">
      <c r="A108" s="99"/>
      <c r="B108" s="99"/>
      <c r="C108" s="99"/>
      <c r="D108" s="99"/>
      <c r="E108" s="99"/>
      <c r="F108" s="99"/>
    </row>
    <row r="109" spans="1:6" ht="12.75">
      <c r="A109" s="99"/>
      <c r="B109" s="99"/>
      <c r="C109" s="99"/>
      <c r="D109" s="99"/>
      <c r="E109" s="99"/>
      <c r="F109" s="99"/>
    </row>
    <row r="110" spans="1:6" ht="12.75">
      <c r="A110" s="99"/>
      <c r="B110" s="99"/>
      <c r="C110" s="99"/>
      <c r="D110" s="99"/>
      <c r="E110" s="99"/>
      <c r="F110" s="99"/>
    </row>
    <row r="111" spans="1:6" ht="12.75">
      <c r="A111" s="99"/>
      <c r="B111" s="99"/>
      <c r="C111" s="99"/>
      <c r="D111" s="99"/>
      <c r="E111" s="99"/>
      <c r="F111" s="99"/>
    </row>
    <row r="112" spans="1:6" ht="12.75">
      <c r="A112" s="99"/>
      <c r="B112" s="99"/>
      <c r="C112" s="99"/>
      <c r="D112" s="99"/>
      <c r="E112" s="99"/>
      <c r="F112" s="99"/>
    </row>
    <row r="113" spans="1:6" ht="12.75">
      <c r="A113" s="99"/>
      <c r="B113" s="99"/>
      <c r="C113" s="99"/>
      <c r="D113" s="99"/>
      <c r="E113" s="99"/>
      <c r="F113" s="99"/>
    </row>
    <row r="114" spans="1:6" ht="12.75">
      <c r="A114" s="99"/>
      <c r="B114" s="99"/>
      <c r="C114" s="99"/>
      <c r="D114" s="99"/>
      <c r="E114" s="99"/>
      <c r="F114" s="99"/>
    </row>
    <row r="115" spans="1:6" ht="12.75">
      <c r="A115" s="99"/>
      <c r="B115" s="99"/>
      <c r="C115" s="99"/>
      <c r="D115" s="99"/>
      <c r="E115" s="99"/>
      <c r="F115" s="99"/>
    </row>
    <row r="116" spans="1:6" ht="12.75">
      <c r="A116" s="99"/>
      <c r="B116" s="99"/>
      <c r="C116" s="99"/>
      <c r="D116" s="99"/>
      <c r="E116" s="99"/>
      <c r="F116" s="99"/>
    </row>
    <row r="117" spans="1:6" ht="12.75">
      <c r="A117" s="99"/>
      <c r="B117" s="99"/>
      <c r="C117" s="99"/>
      <c r="D117" s="99"/>
      <c r="E117" s="99"/>
      <c r="F117" s="99"/>
    </row>
    <row r="118" spans="1:6" ht="12.75">
      <c r="A118" s="99"/>
      <c r="B118" s="99"/>
      <c r="C118" s="99"/>
      <c r="D118" s="99"/>
      <c r="E118" s="99"/>
      <c r="F118" s="99"/>
    </row>
    <row r="119" spans="1:6" ht="12.75">
      <c r="A119" s="99"/>
      <c r="B119" s="99"/>
      <c r="C119" s="99"/>
      <c r="D119" s="99"/>
      <c r="E119" s="99"/>
      <c r="F119" s="99"/>
    </row>
  </sheetData>
  <sheetProtection/>
  <mergeCells count="1">
    <mergeCell ref="A2:F2"/>
  </mergeCells>
  <printOptions/>
  <pageMargins left="0.35433070866141736" right="0.2755905511811024" top="0.5118110236220472" bottom="0.7480314960629921" header="0.5118110236220472" footer="0.5118110236220472"/>
  <pageSetup firstPageNumber="46" useFirstPageNumber="1" horizontalDpi="600" verticalDpi="600" orientation="portrait" paperSize="9" scale="88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J12" sqref="J12:J13"/>
    </sheetView>
  </sheetViews>
  <sheetFormatPr defaultColWidth="9.140625" defaultRowHeight="12.75"/>
  <cols>
    <col min="1" max="1" width="11.8515625" style="57" customWidth="1"/>
    <col min="2" max="2" width="82.28125" style="0" customWidth="1"/>
    <col min="3" max="6" width="15.7109375" style="0" customWidth="1"/>
  </cols>
  <sheetData>
    <row r="2" spans="1:6" ht="15.75">
      <c r="A2" s="430" t="s">
        <v>664</v>
      </c>
      <c r="B2" s="453"/>
      <c r="C2" s="453"/>
      <c r="D2" s="453"/>
      <c r="E2" s="453"/>
      <c r="F2" s="453"/>
    </row>
    <row r="4" spans="1:6" s="70" customFormat="1" ht="38.25">
      <c r="A4" s="458" t="s">
        <v>489</v>
      </c>
      <c r="B4" s="458" t="s">
        <v>508</v>
      </c>
      <c r="C4" s="281" t="s">
        <v>751</v>
      </c>
      <c r="D4" s="455" t="s">
        <v>517</v>
      </c>
      <c r="E4" s="456"/>
      <c r="F4" s="457"/>
    </row>
    <row r="5" spans="1:6" s="70" customFormat="1" ht="25.5">
      <c r="A5" s="459"/>
      <c r="B5" s="459"/>
      <c r="C5" s="281"/>
      <c r="D5" s="281" t="s">
        <v>516</v>
      </c>
      <c r="E5" s="281" t="s">
        <v>735</v>
      </c>
      <c r="F5" s="281" t="s">
        <v>732</v>
      </c>
    </row>
    <row r="6" spans="1:6" s="70" customFormat="1" ht="12.75">
      <c r="A6" s="281">
        <v>1</v>
      </c>
      <c r="B6" s="282">
        <v>2</v>
      </c>
      <c r="C6" s="281" t="s">
        <v>518</v>
      </c>
      <c r="D6" s="281">
        <v>4</v>
      </c>
      <c r="E6" s="281">
        <v>5</v>
      </c>
      <c r="F6" s="281">
        <v>6</v>
      </c>
    </row>
    <row r="7" spans="1:6" ht="15.75" customHeight="1">
      <c r="A7" s="275">
        <v>10010001</v>
      </c>
      <c r="B7" s="30" t="s">
        <v>242</v>
      </c>
      <c r="C7" s="273">
        <f aca="true" t="shared" si="0" ref="C7:C43">D7+E7+F7</f>
        <v>2086</v>
      </c>
      <c r="D7" s="273">
        <f>1!I36-E7-F7</f>
        <v>2086</v>
      </c>
      <c r="E7" s="273">
        <v>0</v>
      </c>
      <c r="F7" s="273">
        <v>0</v>
      </c>
    </row>
    <row r="8" spans="1:6" ht="15.75" customHeight="1">
      <c r="A8" s="275">
        <v>10010002</v>
      </c>
      <c r="B8" s="30" t="s">
        <v>490</v>
      </c>
      <c r="C8" s="273">
        <f t="shared" si="0"/>
        <v>0</v>
      </c>
      <c r="D8" s="273">
        <f>2!I36-E8-F8</f>
        <v>0</v>
      </c>
      <c r="E8" s="273">
        <v>0</v>
      </c>
      <c r="F8" s="273">
        <v>0</v>
      </c>
    </row>
    <row r="9" spans="1:6" ht="15.75" customHeight="1">
      <c r="A9" s="275">
        <v>11010001</v>
      </c>
      <c r="B9" s="30" t="s">
        <v>243</v>
      </c>
      <c r="C9" s="273">
        <f t="shared" si="0"/>
        <v>254766</v>
      </c>
      <c r="D9" s="273">
        <f>3!I50-E9-F9</f>
        <v>66612</v>
      </c>
      <c r="E9" s="273">
        <v>0</v>
      </c>
      <c r="F9" s="273">
        <v>188154</v>
      </c>
    </row>
    <row r="10" spans="1:6" ht="15.75" customHeight="1">
      <c r="A10" s="275">
        <v>11010002</v>
      </c>
      <c r="B10" s="30" t="s">
        <v>244</v>
      </c>
      <c r="C10" s="273">
        <f t="shared" si="0"/>
        <v>994</v>
      </c>
      <c r="D10" s="273">
        <f>4!I37-E10-F10</f>
        <v>994</v>
      </c>
      <c r="E10" s="273">
        <v>0</v>
      </c>
      <c r="F10" s="273">
        <v>0</v>
      </c>
    </row>
    <row r="11" spans="1:6" ht="15.75" customHeight="1">
      <c r="A11" s="275">
        <v>11010003</v>
      </c>
      <c r="B11" s="30" t="s">
        <v>245</v>
      </c>
      <c r="C11" s="273">
        <f t="shared" si="0"/>
        <v>0</v>
      </c>
      <c r="D11" s="273">
        <f>5!I36-E11-F11</f>
        <v>0</v>
      </c>
      <c r="E11" s="273">
        <v>0</v>
      </c>
      <c r="F11" s="273">
        <v>0</v>
      </c>
    </row>
    <row r="12" spans="1:6" ht="15.75" customHeight="1">
      <c r="A12" s="275">
        <v>11010004</v>
      </c>
      <c r="B12" s="30" t="s">
        <v>247</v>
      </c>
      <c r="C12" s="273">
        <f t="shared" si="0"/>
        <v>4438</v>
      </c>
      <c r="D12" s="273">
        <f>6!I36-E12-F12</f>
        <v>4438</v>
      </c>
      <c r="E12" s="273">
        <v>0</v>
      </c>
      <c r="F12" s="273">
        <v>0</v>
      </c>
    </row>
    <row r="13" spans="1:6" ht="15.75" customHeight="1">
      <c r="A13" s="275">
        <v>11010005</v>
      </c>
      <c r="B13" s="30" t="s">
        <v>334</v>
      </c>
      <c r="C13" s="273">
        <f t="shared" si="0"/>
        <v>4495</v>
      </c>
      <c r="D13" s="273">
        <f>7!I36-E13-F13</f>
        <v>4495</v>
      </c>
      <c r="E13" s="273">
        <v>0</v>
      </c>
      <c r="F13" s="273">
        <v>0</v>
      </c>
    </row>
    <row r="14" spans="1:6" ht="15.75" customHeight="1">
      <c r="A14" s="275">
        <v>12010001</v>
      </c>
      <c r="B14" s="30" t="s">
        <v>248</v>
      </c>
      <c r="C14" s="273">
        <f t="shared" si="0"/>
        <v>79771</v>
      </c>
      <c r="D14" s="273">
        <f>8!I36-E14-F14</f>
        <v>79771</v>
      </c>
      <c r="E14" s="273">
        <v>0</v>
      </c>
      <c r="F14" s="273">
        <v>0</v>
      </c>
    </row>
    <row r="15" spans="1:6" ht="15.75" customHeight="1">
      <c r="A15" s="275">
        <v>13010001</v>
      </c>
      <c r="B15" s="30" t="s">
        <v>488</v>
      </c>
      <c r="C15" s="273">
        <f t="shared" si="0"/>
        <v>247556</v>
      </c>
      <c r="D15" s="273">
        <f>9!I36-E15-F15</f>
        <v>247556</v>
      </c>
      <c r="E15" s="273">
        <v>0</v>
      </c>
      <c r="F15" s="273">
        <v>0</v>
      </c>
    </row>
    <row r="16" spans="1:6" ht="15.75" customHeight="1">
      <c r="A16" s="275">
        <v>14010001</v>
      </c>
      <c r="B16" s="30" t="s">
        <v>250</v>
      </c>
      <c r="C16" s="273">
        <f t="shared" si="0"/>
        <v>1990</v>
      </c>
      <c r="D16" s="273">
        <f>'10'!I36-E16-F16</f>
        <v>1990</v>
      </c>
      <c r="E16" s="273">
        <v>0</v>
      </c>
      <c r="F16" s="273">
        <v>0</v>
      </c>
    </row>
    <row r="17" spans="1:6" ht="15.75" customHeight="1">
      <c r="A17" s="275">
        <v>14020003</v>
      </c>
      <c r="B17" s="30" t="s">
        <v>251</v>
      </c>
      <c r="C17" s="273">
        <f t="shared" si="0"/>
        <v>14348</v>
      </c>
      <c r="D17" s="273">
        <f>'11'!I36-E17-F17</f>
        <v>14348</v>
      </c>
      <c r="E17" s="273">
        <v>0</v>
      </c>
      <c r="F17" s="273">
        <v>0</v>
      </c>
    </row>
    <row r="18" spans="1:6" ht="15.75" customHeight="1">
      <c r="A18" s="275">
        <v>14050001</v>
      </c>
      <c r="B18" s="30" t="s">
        <v>252</v>
      </c>
      <c r="C18" s="273">
        <f t="shared" si="0"/>
        <v>437</v>
      </c>
      <c r="D18" s="273">
        <f>'12'!I36-E18-F18</f>
        <v>437</v>
      </c>
      <c r="E18" s="273">
        <v>0</v>
      </c>
      <c r="F18" s="273">
        <v>0</v>
      </c>
    </row>
    <row r="19" spans="1:6" ht="15.75" customHeight="1">
      <c r="A19" s="275">
        <v>14050002</v>
      </c>
      <c r="B19" s="30" t="s">
        <v>253</v>
      </c>
      <c r="C19" s="273">
        <f t="shared" si="0"/>
        <v>0</v>
      </c>
      <c r="D19" s="273">
        <f>'13'!I36-E19-F19</f>
        <v>0</v>
      </c>
      <c r="E19" s="273">
        <v>0</v>
      </c>
      <c r="F19" s="273">
        <v>0</v>
      </c>
    </row>
    <row r="20" spans="1:6" ht="15.75" customHeight="1">
      <c r="A20" s="275">
        <v>14060001</v>
      </c>
      <c r="B20" s="30" t="s">
        <v>254</v>
      </c>
      <c r="C20" s="273">
        <f t="shared" si="0"/>
        <v>0</v>
      </c>
      <c r="D20" s="273">
        <f>'14'!I36-E20-F20</f>
        <v>0</v>
      </c>
      <c r="E20" s="273">
        <v>0</v>
      </c>
      <c r="F20" s="273">
        <v>0</v>
      </c>
    </row>
    <row r="21" spans="1:6" ht="15.75" customHeight="1">
      <c r="A21" s="275">
        <v>15010001</v>
      </c>
      <c r="B21" s="30" t="s">
        <v>255</v>
      </c>
      <c r="C21" s="273">
        <f t="shared" si="0"/>
        <v>1419</v>
      </c>
      <c r="D21" s="273">
        <f>'15'!I32-E21-F21</f>
        <v>1419</v>
      </c>
      <c r="E21" s="273">
        <v>0</v>
      </c>
      <c r="F21" s="273">
        <v>0</v>
      </c>
    </row>
    <row r="22" spans="1:6" ht="15.75" customHeight="1">
      <c r="A22" s="275">
        <v>16010001</v>
      </c>
      <c r="B22" s="30" t="s">
        <v>256</v>
      </c>
      <c r="C22" s="273">
        <f t="shared" si="0"/>
        <v>11995</v>
      </c>
      <c r="D22" s="273">
        <f>'16'!I43-E22-F22</f>
        <v>11995</v>
      </c>
      <c r="E22" s="273">
        <v>0</v>
      </c>
      <c r="F22" s="273">
        <v>0</v>
      </c>
    </row>
    <row r="23" spans="1:6" ht="15.75" customHeight="1">
      <c r="A23" s="275">
        <v>17010001</v>
      </c>
      <c r="B23" s="30" t="s">
        <v>257</v>
      </c>
      <c r="C23" s="273">
        <f t="shared" si="0"/>
        <v>1457</v>
      </c>
      <c r="D23" s="273">
        <f>'17'!I34-E23-F23</f>
        <v>1457</v>
      </c>
      <c r="E23" s="273">
        <v>0</v>
      </c>
      <c r="F23" s="273">
        <v>0</v>
      </c>
    </row>
    <row r="24" spans="1:6" ht="15.75" customHeight="1">
      <c r="A24" s="275">
        <v>18010001</v>
      </c>
      <c r="B24" s="30" t="s">
        <v>258</v>
      </c>
      <c r="C24" s="273">
        <f t="shared" si="0"/>
        <v>1052793</v>
      </c>
      <c r="D24" s="273">
        <f>'18'!I37-E24-F24</f>
        <v>0</v>
      </c>
      <c r="E24" s="273">
        <v>952793</v>
      </c>
      <c r="F24" s="273">
        <v>100000</v>
      </c>
    </row>
    <row r="25" spans="1:6" ht="15.75" customHeight="1">
      <c r="A25" s="275">
        <v>19010001</v>
      </c>
      <c r="B25" s="30" t="s">
        <v>259</v>
      </c>
      <c r="C25" s="273">
        <f t="shared" si="0"/>
        <v>13218</v>
      </c>
      <c r="D25" s="273">
        <f>'19'!I35-E25-F25</f>
        <v>9893</v>
      </c>
      <c r="E25" s="273">
        <v>0</v>
      </c>
      <c r="F25" s="273">
        <v>3325</v>
      </c>
    </row>
    <row r="26" spans="1:6" ht="15.75" customHeight="1">
      <c r="A26" s="275">
        <v>20010001</v>
      </c>
      <c r="B26" s="30" t="s">
        <v>260</v>
      </c>
      <c r="C26" s="273">
        <f t="shared" si="0"/>
        <v>1439</v>
      </c>
      <c r="D26" s="273">
        <f>'20'!I46-E26-F26</f>
        <v>1439</v>
      </c>
      <c r="E26" s="273">
        <v>0</v>
      </c>
      <c r="F26" s="273">
        <v>0</v>
      </c>
    </row>
    <row r="27" spans="1:6" ht="15.75" customHeight="1">
      <c r="A27" s="275">
        <v>20020002</v>
      </c>
      <c r="B27" s="30" t="s">
        <v>491</v>
      </c>
      <c r="C27" s="273">
        <f t="shared" si="0"/>
        <v>8343</v>
      </c>
      <c r="D27" s="273">
        <f>'21'!I36-E27-F27</f>
        <v>2015</v>
      </c>
      <c r="E27" s="273">
        <v>0</v>
      </c>
      <c r="F27" s="273">
        <v>6328</v>
      </c>
    </row>
    <row r="28" spans="1:6" ht="15.75" customHeight="1">
      <c r="A28" s="275">
        <v>20020003</v>
      </c>
      <c r="B28" s="30" t="s">
        <v>492</v>
      </c>
      <c r="C28" s="273">
        <f t="shared" si="0"/>
        <v>5000</v>
      </c>
      <c r="D28" s="273">
        <f>'22'!I36-E28-F28</f>
        <v>5000</v>
      </c>
      <c r="E28" s="273">
        <v>0</v>
      </c>
      <c r="F28" s="273">
        <v>0</v>
      </c>
    </row>
    <row r="29" spans="1:6" ht="15.75" customHeight="1">
      <c r="A29" s="275">
        <v>20020004</v>
      </c>
      <c r="B29" s="30" t="s">
        <v>493</v>
      </c>
      <c r="C29" s="273">
        <f t="shared" si="0"/>
        <v>4500</v>
      </c>
      <c r="D29" s="273">
        <f>'23'!I36-E29-F29</f>
        <v>4500</v>
      </c>
      <c r="E29" s="273">
        <v>0</v>
      </c>
      <c r="F29" s="273">
        <v>0</v>
      </c>
    </row>
    <row r="30" spans="1:6" ht="15.75" customHeight="1">
      <c r="A30" s="275">
        <v>20030001</v>
      </c>
      <c r="B30" s="374" t="s">
        <v>494</v>
      </c>
      <c r="C30" s="273">
        <f t="shared" si="0"/>
        <v>5744</v>
      </c>
      <c r="D30" s="273">
        <f>'24'!I36-E30-F30</f>
        <v>5744</v>
      </c>
      <c r="E30" s="273">
        <v>0</v>
      </c>
      <c r="F30" s="273">
        <v>0</v>
      </c>
    </row>
    <row r="31" spans="1:6" ht="15.75" customHeight="1">
      <c r="A31" s="275">
        <v>20030002</v>
      </c>
      <c r="B31" s="30" t="s">
        <v>495</v>
      </c>
      <c r="C31" s="273">
        <f t="shared" si="0"/>
        <v>97609</v>
      </c>
      <c r="D31" s="273">
        <f>'25'!I36-E31-F31</f>
        <v>63553</v>
      </c>
      <c r="E31" s="273">
        <v>0</v>
      </c>
      <c r="F31" s="273">
        <f>25426+2630+6000</f>
        <v>34056</v>
      </c>
    </row>
    <row r="32" spans="1:6" ht="15.75" customHeight="1">
      <c r="A32" s="275">
        <v>20030003</v>
      </c>
      <c r="B32" s="30" t="s">
        <v>496</v>
      </c>
      <c r="C32" s="273">
        <f t="shared" si="0"/>
        <v>981</v>
      </c>
      <c r="D32" s="273">
        <f>'26'!I36-E32-F32</f>
        <v>981</v>
      </c>
      <c r="E32" s="273">
        <v>0</v>
      </c>
      <c r="F32" s="273">
        <v>0</v>
      </c>
    </row>
    <row r="33" spans="1:6" ht="15.75" customHeight="1">
      <c r="A33" s="275">
        <v>20030004</v>
      </c>
      <c r="B33" s="374" t="s">
        <v>716</v>
      </c>
      <c r="C33" s="273">
        <f t="shared" si="0"/>
        <v>0</v>
      </c>
      <c r="D33" s="273">
        <f>'27'!I36-E33-F33</f>
        <v>0</v>
      </c>
      <c r="E33" s="273">
        <v>0</v>
      </c>
      <c r="F33" s="273">
        <v>0</v>
      </c>
    </row>
    <row r="34" spans="1:6" ht="15.75" customHeight="1">
      <c r="A34" s="275">
        <v>20030005</v>
      </c>
      <c r="B34" s="374" t="s">
        <v>733</v>
      </c>
      <c r="C34" s="273">
        <f t="shared" si="0"/>
        <v>44763</v>
      </c>
      <c r="D34" s="273">
        <f>'28'!I36-E34-F34</f>
        <v>9560</v>
      </c>
      <c r="E34" s="273">
        <v>0</v>
      </c>
      <c r="F34" s="273">
        <f>300+34903</f>
        <v>35203</v>
      </c>
    </row>
    <row r="35" spans="1:6" ht="15.75" customHeight="1">
      <c r="A35" s="275">
        <v>20030006</v>
      </c>
      <c r="B35" s="30" t="s">
        <v>536</v>
      </c>
      <c r="C35" s="273">
        <f t="shared" si="0"/>
        <v>14988</v>
      </c>
      <c r="D35" s="273">
        <f>'29'!I36-E35-F35</f>
        <v>6988</v>
      </c>
      <c r="E35" s="273">
        <v>0</v>
      </c>
      <c r="F35" s="273">
        <f>3000+5000</f>
        <v>8000</v>
      </c>
    </row>
    <row r="36" spans="1:6" ht="15.75" customHeight="1">
      <c r="A36" s="275">
        <v>20030007</v>
      </c>
      <c r="B36" s="30" t="s">
        <v>537</v>
      </c>
      <c r="C36" s="273">
        <f t="shared" si="0"/>
        <v>16491</v>
      </c>
      <c r="D36" s="273">
        <f>'30'!I36-E36-F36</f>
        <v>0</v>
      </c>
      <c r="E36" s="273">
        <v>0</v>
      </c>
      <c r="F36" s="273">
        <v>16491</v>
      </c>
    </row>
    <row r="37" spans="1:6" ht="15.75" customHeight="1">
      <c r="A37" s="275">
        <v>21010001</v>
      </c>
      <c r="B37" s="30" t="s">
        <v>270</v>
      </c>
      <c r="C37" s="273">
        <f t="shared" si="0"/>
        <v>1653</v>
      </c>
      <c r="D37" s="273">
        <f>'31'!I33-E37-F37</f>
        <v>1653</v>
      </c>
      <c r="E37" s="273">
        <v>0</v>
      </c>
      <c r="F37" s="273">
        <v>0</v>
      </c>
    </row>
    <row r="38" spans="1:6" ht="15.75" customHeight="1">
      <c r="A38" s="275">
        <v>22010001</v>
      </c>
      <c r="B38" s="30" t="s">
        <v>271</v>
      </c>
      <c r="C38" s="273">
        <f t="shared" si="0"/>
        <v>0</v>
      </c>
      <c r="D38" s="273">
        <f>'32'!I35-E38-F38</f>
        <v>0</v>
      </c>
      <c r="E38" s="273">
        <v>0</v>
      </c>
      <c r="F38" s="273">
        <v>0</v>
      </c>
    </row>
    <row r="39" spans="1:6" ht="15.75" customHeight="1">
      <c r="A39" s="275">
        <v>23010001</v>
      </c>
      <c r="B39" s="30" t="s">
        <v>272</v>
      </c>
      <c r="C39" s="273">
        <f t="shared" si="0"/>
        <v>0</v>
      </c>
      <c r="D39" s="273">
        <f>'33'!I34-E39-F39</f>
        <v>0</v>
      </c>
      <c r="E39" s="273">
        <v>0</v>
      </c>
      <c r="F39" s="273">
        <v>0</v>
      </c>
    </row>
    <row r="40" spans="1:6" ht="15.75" customHeight="1">
      <c r="A40" s="275">
        <v>24010001</v>
      </c>
      <c r="B40" s="30" t="s">
        <v>273</v>
      </c>
      <c r="C40" s="273">
        <f t="shared" si="0"/>
        <v>2997</v>
      </c>
      <c r="D40" s="273">
        <f>'34'!I36-E40-F40</f>
        <v>2997</v>
      </c>
      <c r="E40" s="273">
        <v>0</v>
      </c>
      <c r="F40" s="273">
        <v>0</v>
      </c>
    </row>
    <row r="41" spans="1:6" ht="15.75" customHeight="1">
      <c r="A41" s="275">
        <v>26010001</v>
      </c>
      <c r="B41" s="30" t="s">
        <v>274</v>
      </c>
      <c r="C41" s="273">
        <f t="shared" si="0"/>
        <v>405</v>
      </c>
      <c r="D41" s="273">
        <f>'35'!I36-E41-F41</f>
        <v>405</v>
      </c>
      <c r="E41" s="273">
        <v>0</v>
      </c>
      <c r="F41" s="273">
        <v>0</v>
      </c>
    </row>
    <row r="42" spans="1:6" ht="15.75" customHeight="1">
      <c r="A42" s="275">
        <v>27010001</v>
      </c>
      <c r="B42" s="30" t="s">
        <v>275</v>
      </c>
      <c r="C42" s="273">
        <f t="shared" si="0"/>
        <v>159</v>
      </c>
      <c r="D42" s="273">
        <f>'36'!I36-E42-F42</f>
        <v>0</v>
      </c>
      <c r="E42" s="273">
        <v>0</v>
      </c>
      <c r="F42" s="273">
        <v>159</v>
      </c>
    </row>
    <row r="43" spans="1:6" ht="15.75" customHeight="1">
      <c r="A43" s="275">
        <v>28010001</v>
      </c>
      <c r="B43" s="30" t="s">
        <v>276</v>
      </c>
      <c r="C43" s="273">
        <f t="shared" si="0"/>
        <v>17433</v>
      </c>
      <c r="D43" s="273">
        <f>'37'!I36-E43-F43</f>
        <v>17433</v>
      </c>
      <c r="E43" s="273">
        <v>0</v>
      </c>
      <c r="F43" s="273">
        <v>0</v>
      </c>
    </row>
    <row r="44" spans="1:6" s="70" customFormat="1" ht="15.75" customHeight="1">
      <c r="A44" s="131"/>
      <c r="B44" s="279" t="s">
        <v>512</v>
      </c>
      <c r="C44" s="280">
        <f>SUM(C7:C43)</f>
        <v>1914268</v>
      </c>
      <c r="D44" s="280">
        <f>SUM(D7:D43)</f>
        <v>569759</v>
      </c>
      <c r="E44" s="280">
        <f>SUM(E7:E43)</f>
        <v>952793</v>
      </c>
      <c r="F44" s="280">
        <f>SUM(F7:F43)</f>
        <v>391716</v>
      </c>
    </row>
    <row r="45" ht="18" customHeight="1"/>
  </sheetData>
  <sheetProtection/>
  <mergeCells count="4">
    <mergeCell ref="A2:F2"/>
    <mergeCell ref="D4:F4"/>
    <mergeCell ref="A4:A5"/>
    <mergeCell ref="B4:B5"/>
  </mergeCells>
  <printOptions/>
  <pageMargins left="1.31" right="0.32" top="0.56" bottom="0.53" header="0.5" footer="0.5"/>
  <pageSetup horizontalDpi="600" verticalDpi="600" orientation="landscape" paperSize="9" scale="71" r:id="rId1"/>
  <headerFooter alignWithMargins="0">
    <oddFooter>&amp;R48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27"/>
  <sheetViews>
    <sheetView tabSelected="1" workbookViewId="0" topLeftCell="A1">
      <selection activeCell="A7" sqref="A7:C8"/>
    </sheetView>
  </sheetViews>
  <sheetFormatPr defaultColWidth="9.140625" defaultRowHeight="15" customHeight="1"/>
  <cols>
    <col min="2" max="2" width="46.7109375" style="0" customWidth="1"/>
    <col min="3" max="3" width="24.57421875" style="0" customWidth="1"/>
    <col min="4" max="4" width="12.421875" style="0" customWidth="1"/>
  </cols>
  <sheetData>
    <row r="1" spans="1:3" ht="15" customHeight="1">
      <c r="A1" s="56"/>
      <c r="C1" s="56"/>
    </row>
    <row r="2" spans="1:3" ht="15" customHeight="1">
      <c r="A2" s="56"/>
      <c r="C2" s="56"/>
    </row>
    <row r="3" ht="15" customHeight="1">
      <c r="C3" t="s">
        <v>141</v>
      </c>
    </row>
    <row r="4" spans="7:8" ht="15" customHeight="1">
      <c r="G4" s="70"/>
      <c r="H4" s="70"/>
    </row>
    <row r="5" spans="1:3" ht="15" customHeight="1">
      <c r="A5" s="56"/>
      <c r="C5" s="56"/>
    </row>
    <row r="6" spans="1:3" ht="15" customHeight="1">
      <c r="A6" s="413" t="s">
        <v>762</v>
      </c>
      <c r="C6" s="56"/>
    </row>
    <row r="7" spans="1:3" ht="15" customHeight="1">
      <c r="A7" s="434"/>
      <c r="B7" s="434"/>
      <c r="C7" s="434"/>
    </row>
    <row r="8" spans="1:3" ht="15" customHeight="1">
      <c r="A8" s="434"/>
      <c r="B8" s="434"/>
      <c r="C8" s="434"/>
    </row>
    <row r="20" ht="15" customHeight="1">
      <c r="C20" s="57"/>
    </row>
    <row r="21" ht="15" customHeight="1">
      <c r="C21" s="414"/>
    </row>
    <row r="22" ht="15" customHeight="1">
      <c r="C22" s="414"/>
    </row>
    <row r="24" ht="15" customHeight="1">
      <c r="C24" s="57"/>
    </row>
    <row r="27" ht="15" customHeight="1">
      <c r="C27" s="57"/>
    </row>
    <row r="37" ht="12.75"/>
  </sheetData>
  <sheetProtection/>
  <mergeCells count="1">
    <mergeCell ref="A7:C8"/>
  </mergeCells>
  <printOptions/>
  <pageMargins left="0.89" right="0.75" top="1" bottom="1" header="0.5" footer="0.5"/>
  <pageSetup horizontalDpi="600" verticalDpi="600" orientation="portrait" paperSize="9" r:id="rId1"/>
  <headerFooter alignWithMargins="0"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3:L110"/>
  <sheetViews>
    <sheetView workbookViewId="0" topLeftCell="C1">
      <selection activeCell="G5" sqref="G5"/>
    </sheetView>
  </sheetViews>
  <sheetFormatPr defaultColWidth="9.140625" defaultRowHeight="12" customHeight="1"/>
  <cols>
    <col min="1" max="1" width="0.5625" style="13" hidden="1" customWidth="1"/>
    <col min="2" max="2" width="5.7109375" style="13" hidden="1" customWidth="1"/>
    <col min="3" max="3" width="10.7109375" style="24" customWidth="1"/>
    <col min="4" max="4" width="54.00390625" style="13" customWidth="1"/>
    <col min="5" max="5" width="17.28125" style="13" customWidth="1"/>
    <col min="6" max="7" width="15.7109375" style="13" customWidth="1"/>
    <col min="8" max="8" width="8.7109375" style="141" customWidth="1"/>
    <col min="9" max="9" width="9.140625" style="13" customWidth="1"/>
    <col min="10" max="10" width="13.140625" style="13" bestFit="1" customWidth="1"/>
    <col min="11" max="11" width="9.140625" style="13" customWidth="1"/>
    <col min="12" max="12" width="10.140625" style="13" bestFit="1" customWidth="1"/>
    <col min="13" max="16384" width="9.140625" style="13" customWidth="1"/>
  </cols>
  <sheetData>
    <row r="2" ht="2.25" customHeight="1"/>
    <row r="3" spans="3:8" s="1" customFormat="1" ht="30.75" customHeight="1" thickBot="1">
      <c r="C3" s="446" t="s">
        <v>78</v>
      </c>
      <c r="D3" s="446"/>
      <c r="E3" s="139"/>
      <c r="F3" s="139"/>
      <c r="G3" s="444"/>
      <c r="H3" s="445"/>
    </row>
    <row r="4" spans="2:8" s="1" customFormat="1" ht="51.75" customHeight="1">
      <c r="B4" s="3" t="s">
        <v>79</v>
      </c>
      <c r="C4" s="42" t="s">
        <v>81</v>
      </c>
      <c r="D4" s="43" t="s">
        <v>82</v>
      </c>
      <c r="E4" s="175" t="s">
        <v>738</v>
      </c>
      <c r="F4" s="175" t="s">
        <v>739</v>
      </c>
      <c r="G4" s="140" t="s">
        <v>748</v>
      </c>
      <c r="H4" s="142" t="s">
        <v>741</v>
      </c>
    </row>
    <row r="5" spans="2:8" s="2" customFormat="1" ht="13.5" customHeight="1">
      <c r="B5" s="8">
        <v>1</v>
      </c>
      <c r="C5" s="8">
        <v>1</v>
      </c>
      <c r="D5" s="9">
        <v>2</v>
      </c>
      <c r="E5" s="35">
        <v>3</v>
      </c>
      <c r="F5" s="35">
        <v>4</v>
      </c>
      <c r="G5" s="9">
        <v>5</v>
      </c>
      <c r="H5" s="151">
        <v>6</v>
      </c>
    </row>
    <row r="6" spans="2:10" s="2" customFormat="1" ht="13.5" customHeight="1">
      <c r="B6" s="8"/>
      <c r="C6" s="8"/>
      <c r="D6" s="27" t="s">
        <v>164</v>
      </c>
      <c r="E6" s="25">
        <f>E8+E14+E19+E22+E39+E74+E78+E85+E92</f>
        <v>39753660</v>
      </c>
      <c r="F6" s="25">
        <f>F8+F14+F19+F22+F39+F74+F78+F85+F92</f>
        <v>39753660</v>
      </c>
      <c r="G6" s="25">
        <f>G8+G14+G19+G22+G39+G74+G78+G85+G92</f>
        <v>38819279</v>
      </c>
      <c r="H6" s="169">
        <f>IF(F6=0,"",G6/F6*100)</f>
        <v>97.6495723915735</v>
      </c>
      <c r="J6" s="284"/>
    </row>
    <row r="7" spans="2:10" s="2" customFormat="1" ht="13.5" customHeight="1">
      <c r="B7" s="8"/>
      <c r="C7" s="8"/>
      <c r="D7" s="27"/>
      <c r="E7" s="25"/>
      <c r="F7" s="25"/>
      <c r="G7" s="25"/>
      <c r="H7" s="174">
        <f>IF(F7=0,"",G7/F7*100)</f>
      </c>
      <c r="J7" s="138"/>
    </row>
    <row r="8" spans="2:10" s="2" customFormat="1" ht="13.5" customHeight="1">
      <c r="B8" s="8"/>
      <c r="C8" s="8">
        <v>600000</v>
      </c>
      <c r="D8" s="27" t="s">
        <v>125</v>
      </c>
      <c r="E8" s="25">
        <f>E9+E10+E11+E12</f>
        <v>960000</v>
      </c>
      <c r="F8" s="25">
        <f>F9+F10+F11+F12</f>
        <v>960000</v>
      </c>
      <c r="G8" s="25">
        <f>G9+G10+G11+G12</f>
        <v>959916</v>
      </c>
      <c r="H8" s="169">
        <f>IF(F8=0,"",G8/F8*100)</f>
        <v>99.99125</v>
      </c>
      <c r="J8" s="284"/>
    </row>
    <row r="9" spans="2:12" s="2" customFormat="1" ht="13.5" customHeight="1">
      <c r="B9" s="8"/>
      <c r="C9" s="67">
        <v>600000</v>
      </c>
      <c r="D9" s="59" t="s">
        <v>99</v>
      </c>
      <c r="E9" s="66">
        <f>3!G8</f>
        <v>900000</v>
      </c>
      <c r="F9" s="66">
        <f>3!H8</f>
        <v>900000</v>
      </c>
      <c r="G9" s="66">
        <f>3!I8</f>
        <v>899916</v>
      </c>
      <c r="H9" s="174">
        <f>IF(F9=0,"",G9/F9*100)</f>
        <v>99.99066666666667</v>
      </c>
      <c r="L9" s="138"/>
    </row>
    <row r="10" spans="2:11" s="2" customFormat="1" ht="13.5" customHeight="1">
      <c r="B10" s="8"/>
      <c r="C10" s="67">
        <v>600000</v>
      </c>
      <c r="D10" s="59" t="s">
        <v>100</v>
      </c>
      <c r="E10" s="66">
        <f>3!G9</f>
        <v>30000</v>
      </c>
      <c r="F10" s="66">
        <f>3!H9</f>
        <v>30000</v>
      </c>
      <c r="G10" s="66">
        <f>3!I9</f>
        <v>30000</v>
      </c>
      <c r="H10" s="174">
        <f aca="true" t="shared" si="0" ref="H10:H72">IF(F10=0,"",G10/F10*100)</f>
        <v>100</v>
      </c>
      <c r="K10" s="138"/>
    </row>
    <row r="11" spans="2:12" s="2" customFormat="1" ht="13.5" customHeight="1">
      <c r="B11" s="8"/>
      <c r="C11" s="67">
        <v>600000</v>
      </c>
      <c r="D11" s="59" t="s">
        <v>126</v>
      </c>
      <c r="E11" s="66">
        <f>3!G10</f>
        <v>15000</v>
      </c>
      <c r="F11" s="66">
        <f>3!H10</f>
        <v>15000</v>
      </c>
      <c r="G11" s="66">
        <f>3!I10</f>
        <v>15000</v>
      </c>
      <c r="H11" s="174">
        <f t="shared" si="0"/>
        <v>100</v>
      </c>
      <c r="L11" s="138"/>
    </row>
    <row r="12" spans="2:8" s="2" customFormat="1" ht="13.5" customHeight="1">
      <c r="B12" s="8"/>
      <c r="C12" s="67">
        <v>600000</v>
      </c>
      <c r="D12" s="59" t="s">
        <v>112</v>
      </c>
      <c r="E12" s="66">
        <f>'16'!G8</f>
        <v>15000</v>
      </c>
      <c r="F12" s="66">
        <f>'16'!H8</f>
        <v>15000</v>
      </c>
      <c r="G12" s="66">
        <f>'16'!I8</f>
        <v>15000</v>
      </c>
      <c r="H12" s="174">
        <f t="shared" si="0"/>
        <v>100</v>
      </c>
    </row>
    <row r="13" spans="2:8" s="2" customFormat="1" ht="13.5" customHeight="1">
      <c r="B13" s="8"/>
      <c r="C13" s="67"/>
      <c r="D13" s="59"/>
      <c r="E13" s="135"/>
      <c r="F13" s="135"/>
      <c r="G13" s="135"/>
      <c r="H13" s="174">
        <f t="shared" si="0"/>
      </c>
    </row>
    <row r="14" spans="2:10" s="1" customFormat="1" ht="13.5" customHeight="1">
      <c r="B14" s="10"/>
      <c r="C14" s="8">
        <v>611000</v>
      </c>
      <c r="D14" s="12" t="s">
        <v>168</v>
      </c>
      <c r="E14" s="109">
        <f>SUM(E15:E17)</f>
        <v>19494060</v>
      </c>
      <c r="F14" s="109">
        <f>SUM(F15:F17)</f>
        <v>19494360</v>
      </c>
      <c r="G14" s="109">
        <f>SUM(G15:G17)</f>
        <v>19211475</v>
      </c>
      <c r="H14" s="169">
        <f t="shared" si="0"/>
        <v>98.54888798606366</v>
      </c>
      <c r="J14" s="92"/>
    </row>
    <row r="15" spans="2:10" ht="13.5" customHeight="1">
      <c r="B15" s="14"/>
      <c r="C15" s="37">
        <v>611100</v>
      </c>
      <c r="D15" s="26" t="s">
        <v>204</v>
      </c>
      <c r="E15" s="46">
        <f>1!G8+2!G8+3!G13+4!G8+5!G8+6!G8+8!G8+9!G8+'10'!G8+'11'!G8+'12'!G8+'13'!G8+'14'!G8+'15'!G8+'16'!G11+'17'!G8+'18'!G8+'19'!G8+'20'!G8+'22'!G8+'23'!G8+'21'!G8+'24'!G8+'25'!G8+'26'!G8+'27'!G8+'28'!G8+'29'!G8+'30'!G8+'31'!G8+'32'!G8+'33'!G8+'34'!G8+'35'!G8+'36'!G8+'37'!G8+7!G8</f>
        <v>15337700</v>
      </c>
      <c r="F15" s="46">
        <f>1!H8+2!H8+3!H13+4!H8+5!H8+6!H8+8!H8+9!H8+'10'!H8+'11'!H8+'12'!H8+'13'!H8+'14'!H8+'15'!H8+'16'!H11+'17'!H8+'18'!H8+'19'!H8+'20'!H8+'22'!H8+'23'!H8+'21'!H8+'24'!H8+'25'!H8+'26'!H8+'27'!H8+'28'!H8+'29'!H8+'30'!H8+'31'!H8+'32'!H8+'33'!H8+'34'!H8+'35'!H8+'36'!H8+'37'!H8+7!H8</f>
        <v>15338740</v>
      </c>
      <c r="G15" s="46">
        <f>1!I8+2!I8+3!I13+4!I8+5!I8+6!I8+8!I8+9!I8+'10'!I8+'11'!I8+'12'!I8+'13'!I8+'14'!I8+'15'!I8+'16'!I11+'17'!I8+'18'!I8+'19'!I8+'20'!I8+'22'!I8+'23'!I8+'21'!I8+'24'!I8+'25'!I8+'26'!I8+'27'!I8+'28'!I8+'29'!I8+'30'!I8+'31'!I8+'32'!I8+'33'!I8+'34'!I8+'35'!I8+'36'!I8+'37'!I8+7!I8</f>
        <v>15205712</v>
      </c>
      <c r="H15" s="174">
        <f t="shared" si="0"/>
        <v>99.13273189323243</v>
      </c>
      <c r="J15" s="91"/>
    </row>
    <row r="16" spans="2:10" ht="13.5" customHeight="1">
      <c r="B16" s="14"/>
      <c r="C16" s="37">
        <v>611200</v>
      </c>
      <c r="D16" s="26" t="s">
        <v>205</v>
      </c>
      <c r="E16" s="46">
        <f>1!G9+2!G9+3!G14+4!G9+5!G9+6!G9+8!G9+9!G9+'10'!G9+'11'!G9+'12'!G9+'13'!G9+'14'!G9+'15'!G9+'16'!G12+'17'!G9+'18'!G9+'19'!G9+'20'!G9+'22'!G9+'23'!G9+'21'!G9+'24'!G9+'25'!G9+'26'!G9+'27'!G9+'28'!G9+'29'!G9+'30'!G9+'31'!G9+'32'!G9+'33'!G9+'34'!G9+'35'!G9+'36'!G9+'37'!G9+7!G9</f>
        <v>3808190</v>
      </c>
      <c r="F16" s="46">
        <f>1!H9+2!H9+3!H14+4!H9+5!H9+6!H9+8!H9+9!H9+'10'!H9+'11'!H9+'12'!H9+'13'!H9+'14'!H9+'15'!H9+'16'!H12+'17'!H9+'18'!H9+'19'!H9+'20'!H9+'22'!H9+'23'!H9+'21'!H9+'24'!H9+'25'!H9+'26'!H9+'27'!H9+'28'!H9+'29'!H9+'30'!H9+'31'!H9+'32'!H9+'33'!H9+'34'!H9+'35'!H9+'36'!H9+'37'!H9+7!H9</f>
        <v>3807180</v>
      </c>
      <c r="G16" s="46">
        <f>1!I9+2!I9+3!I14+4!I9+5!I9+6!I9+8!I9+9!I9+'10'!I9+'11'!I9+'12'!I9+'13'!I9+'14'!I9+'15'!I9+'16'!I12+'17'!I9+'18'!I9+'19'!I9+'20'!I9+'22'!I9+'23'!I9+'21'!I9+'24'!I9+'25'!I9+'26'!I9+'27'!I9+'28'!I9+'29'!I9+'30'!I9+'31'!I9+'32'!I9+'33'!I9+'34'!I9+'35'!I9+'36'!I9+'37'!I9+7!I9</f>
        <v>3666020</v>
      </c>
      <c r="H16" s="174">
        <f t="shared" si="0"/>
        <v>96.29226881839051</v>
      </c>
      <c r="J16" s="91"/>
    </row>
    <row r="17" spans="2:10" ht="13.5" customHeight="1">
      <c r="B17" s="14"/>
      <c r="C17" s="37">
        <v>611200</v>
      </c>
      <c r="D17" s="366" t="s">
        <v>713</v>
      </c>
      <c r="E17" s="46">
        <f>1!G10+2!G10+3!G15+4!G10+5!G10+6!G10+8!G10+9!G10+'10'!G10+'11'!G10+'12'!G10+'13'!G10+'14'!G10+'15'!G10+'16'!G13+'17'!G10+'18'!G10+'19'!G10+'20'!G10+'22'!G10+'23'!G10+'21'!G10+'24'!G10+'25'!G10+'26'!G10+'27'!G10+'28'!G10+'29'!G10+'30'!G10+'31'!G10+'32'!G10+'33'!G10+'34'!G10+'35'!G10+'36'!G10+'37'!G10+7!G10</f>
        <v>348170</v>
      </c>
      <c r="F17" s="46">
        <f>1!H10+2!H10+3!H15+4!H10+5!H10+6!H10+8!H10+9!H10+'10'!H10+'11'!H10+'12'!H10+'13'!H10+'14'!H10+'15'!H10+'16'!H13+'17'!H10+'18'!H10+'19'!H10+'20'!H10+'22'!H10+'23'!H10+'21'!H10+'24'!H10+'25'!H10+'26'!H10+'27'!H10+'28'!H10+'29'!H10+'30'!H10+'31'!H10+'32'!H10+'33'!H10+'34'!H10+'35'!H10+'36'!H10+'37'!H10+7!H10</f>
        <v>348440</v>
      </c>
      <c r="G17" s="46">
        <f>1!I10+2!I10+3!I15+4!I10+5!I10+6!I10+8!I10+9!I10+'10'!I10+'11'!I10+'12'!I10+'13'!I10+'14'!I10+'15'!I10+'16'!I13+'17'!I10+'18'!I10+'19'!I10+'20'!I10+'22'!I10+'23'!I10+'21'!I10+'24'!I10+'25'!I10+'26'!I10+'27'!I10+'28'!I10+'29'!I10+'30'!I10+'31'!I10+'32'!I10+'33'!I10+'34'!I10+'35'!I10+'36'!I10+'37'!I10+7!I10</f>
        <v>339743</v>
      </c>
      <c r="H17" s="174">
        <f t="shared" si="0"/>
        <v>97.50401790839169</v>
      </c>
      <c r="J17" s="91"/>
    </row>
    <row r="18" spans="2:10" ht="13.5" customHeight="1">
      <c r="B18" s="14"/>
      <c r="C18" s="37"/>
      <c r="D18" s="15"/>
      <c r="E18" s="84"/>
      <c r="F18" s="84"/>
      <c r="G18" s="84"/>
      <c r="H18" s="174">
        <f t="shared" si="0"/>
      </c>
      <c r="J18" s="91"/>
    </row>
    <row r="19" spans="2:11" ht="13.5" customHeight="1">
      <c r="B19" s="14"/>
      <c r="C19" s="8">
        <v>612000</v>
      </c>
      <c r="D19" s="12" t="s">
        <v>167</v>
      </c>
      <c r="E19" s="20">
        <f>E20</f>
        <v>1817000</v>
      </c>
      <c r="F19" s="20">
        <f>F20</f>
        <v>1817170</v>
      </c>
      <c r="G19" s="20">
        <f>G20</f>
        <v>1792444</v>
      </c>
      <c r="H19" s="169">
        <f t="shared" si="0"/>
        <v>98.63931277756072</v>
      </c>
      <c r="J19" s="91"/>
      <c r="K19" s="91"/>
    </row>
    <row r="20" spans="2:8" s="1" customFormat="1" ht="13.5" customHeight="1">
      <c r="B20" s="17"/>
      <c r="C20" s="37">
        <v>612100</v>
      </c>
      <c r="D20" s="18" t="s">
        <v>85</v>
      </c>
      <c r="E20" s="46">
        <f>1!G13+2!G14+3!G19+4!G14+5!G14+6!G14+8!G14+9!G14+'10'!G14+'11'!G14+'12'!G14+'13'!G14+'14'!G14+'15'!G14+'16'!G17+'17'!G14+'18'!G14+'19'!G14+'20'!G14+'22'!G14+'23'!G14+'21'!G14+'24'!G14+'25'!G14+'26'!G14+'27'!G14+'28'!G14+'29'!G14+'30'!G14+'31'!G14+'32'!G13+'33'!G14+'34'!G14+'35'!G14+'36'!G14+'37'!G14+7!G14</f>
        <v>1817000</v>
      </c>
      <c r="F20" s="46">
        <f>1!H13+2!H14+3!H19+4!H14+5!H14+6!H14+8!H14+9!H14+'10'!H14+'11'!H14+'12'!H14+'13'!H14+'14'!H14+'15'!H14+'16'!H17+'17'!H14+'18'!H14+'19'!H14+'20'!H14+'22'!H14+'23'!H14+'21'!H14+'24'!H14+'25'!H14+'26'!H14+'27'!H14+'28'!H14+'29'!H14+'30'!H14+'31'!H14+'32'!H13+'33'!H14+'34'!H14+'35'!H14+'36'!H14+'37'!H14+7!H14</f>
        <v>1817170</v>
      </c>
      <c r="G20" s="46">
        <f>1!I13+2!I14+3!I19+4!I14+5!I14+6!I14+8!I14+9!I14+'10'!I14+'11'!I14+'12'!I14+'13'!I14+'14'!I14+'15'!I14+'16'!I17+'17'!I14+'18'!I14+'19'!I14+'20'!I14+'22'!I14+'23'!I14+'21'!I14+'24'!I14+'25'!I14+'26'!I14+'27'!I14+'28'!I14+'29'!I14+'30'!I14+'31'!I14+'32'!I13+'33'!I14+'34'!I14+'35'!I14+'36'!I14+'37'!I14+7!I14</f>
        <v>1792444</v>
      </c>
      <c r="H20" s="174">
        <f t="shared" si="0"/>
        <v>98.63931277756072</v>
      </c>
    </row>
    <row r="21" spans="2:8" ht="13.5" customHeight="1">
      <c r="B21" s="14"/>
      <c r="C21" s="37"/>
      <c r="D21" s="26"/>
      <c r="E21" s="46"/>
      <c r="F21" s="46"/>
      <c r="G21" s="46"/>
      <c r="H21" s="174">
        <f t="shared" si="0"/>
      </c>
    </row>
    <row r="22" spans="2:10" ht="13.5" customHeight="1">
      <c r="B22" s="14"/>
      <c r="C22" s="8">
        <v>613000</v>
      </c>
      <c r="D22" s="12" t="s">
        <v>169</v>
      </c>
      <c r="E22" s="20">
        <f>SUM(E23:E37)</f>
        <v>4674290</v>
      </c>
      <c r="F22" s="20">
        <f>SUM(F23:F37)</f>
        <v>4673820</v>
      </c>
      <c r="G22" s="20">
        <f>SUM(G23:G37)</f>
        <v>4372751</v>
      </c>
      <c r="H22" s="169">
        <f t="shared" si="0"/>
        <v>93.55839548805902</v>
      </c>
      <c r="J22" s="91"/>
    </row>
    <row r="23" spans="2:10" s="1" customFormat="1" ht="13.5" customHeight="1">
      <c r="B23" s="17"/>
      <c r="C23" s="37">
        <v>613100</v>
      </c>
      <c r="D23" s="15" t="s">
        <v>86</v>
      </c>
      <c r="E23" s="46">
        <f>1!G17+2!G18+3!G23+4!G18+5!G18+6!G18+8!G18+9!G18+'10'!G18+'11'!G18+'12'!G18+'13'!G18+'14'!G18+'15'!G18+'16'!G21+'17'!G18+'18'!G18+'19'!G18+'20'!G18+'22'!G18+'23'!G18+'21'!G18+'24'!G18+'25'!G18+'26'!G18+'27'!G18+'28'!G18+'29'!G18+'30'!G18+'31'!G18+'32'!G17+'33'!G18+'34'!G18+'35'!G18+'36'!G18+'37'!G18+7!G18</f>
        <v>154640</v>
      </c>
      <c r="F23" s="46">
        <f>1!H17+2!H18+3!H23+4!H18+5!H18+6!H18+8!H18+9!H18+'10'!H18+'11'!H18+'12'!H18+'13'!H18+'14'!H18+'15'!H18+'16'!H21+'17'!H18+'18'!H18+'19'!H18+'20'!H18+'22'!H18+'23'!H18+'21'!H18+'24'!H18+'25'!H18+'26'!H18+'27'!H18+'28'!H18+'29'!H18+'30'!H18+'31'!H18+'32'!H17+'33'!H18+'34'!H18+'35'!H18+'36'!H18+'37'!H18+7!H18</f>
        <v>153440</v>
      </c>
      <c r="G23" s="46">
        <f>1!I17+2!I18+3!I23+4!I18+5!I18+6!I18+8!I18+9!I18+'10'!I18+'11'!I18+'12'!I18+'13'!I18+'14'!I18+'15'!I18+'16'!I21+'17'!I18+'18'!I18+'19'!I18+'20'!I18+'22'!I18+'23'!I18+'21'!I18+'24'!I18+'25'!I18+'26'!I18+'27'!I18+'28'!I18+'29'!I18+'30'!I18+'31'!I18+'32'!I17+'33'!I18+'34'!I18+'35'!I18+'36'!I18+'37'!I18+7!I18</f>
        <v>140435</v>
      </c>
      <c r="H23" s="174">
        <f t="shared" si="0"/>
        <v>91.52437434827945</v>
      </c>
      <c r="J23" s="92"/>
    </row>
    <row r="24" spans="2:8" ht="13.5" customHeight="1">
      <c r="B24" s="14"/>
      <c r="C24" s="37">
        <v>613200</v>
      </c>
      <c r="D24" s="15" t="s">
        <v>87</v>
      </c>
      <c r="E24" s="46">
        <f>1!G18+2!G19+3!G24+4!G19+5!G19+6!G19+8!G19+9!G19+'10'!G19+'11'!G19+'12'!G19+'13'!G19+'14'!G19+'15'!G19+'16'!G22+'17'!G19+'18'!G19+'19'!G19+'20'!G19+'22'!G19+'23'!G19+'21'!G19+'24'!G19+'25'!G19+'26'!G19+'27'!G19+'28'!G19+'29'!G19+'30'!G19+'31'!G19+'32'!G18+'33'!G19+'34'!G19+'35'!G19+'36'!G19+'37'!G19+7!G19</f>
        <v>716800</v>
      </c>
      <c r="F24" s="46">
        <f>1!H18+2!H19+3!H24+4!H19+5!H19+6!H19+8!H19+9!H19+'10'!H19+'11'!H19+'12'!H19+'13'!H19+'14'!H19+'15'!H19+'16'!H22+'17'!H19+'18'!H19+'19'!H19+'20'!H19+'22'!H19+'23'!H19+'21'!H19+'24'!H19+'25'!H19+'26'!H19+'27'!H19+'28'!H19+'29'!H19+'30'!H19+'31'!H19+'32'!H18+'33'!H19+'34'!H19+'35'!H19+'36'!H19+'37'!H19+7!H19</f>
        <v>697920</v>
      </c>
      <c r="G24" s="46">
        <f>1!I18+2!I19+3!I24+4!I19+5!I19+6!I19+8!I19+9!I19+'10'!I19+'11'!I19+'12'!I19+'13'!I19+'14'!I19+'15'!I19+'16'!I22+'17'!I19+'18'!I19+'19'!I19+'20'!I19+'22'!I19+'23'!I19+'21'!I19+'24'!I19+'25'!I19+'26'!I19+'27'!I19+'28'!I19+'29'!I19+'30'!I19+'31'!I19+'32'!I18+'33'!I19+'34'!I19+'35'!I19+'36'!I19+'37'!I19+7!I19</f>
        <v>654023</v>
      </c>
      <c r="H24" s="174">
        <f t="shared" si="0"/>
        <v>93.71031063732232</v>
      </c>
    </row>
    <row r="25" spans="2:8" ht="13.5" customHeight="1">
      <c r="B25" s="14"/>
      <c r="C25" s="37">
        <v>613300</v>
      </c>
      <c r="D25" s="26" t="s">
        <v>206</v>
      </c>
      <c r="E25" s="46">
        <f>1!G19+2!G20+3!G25+4!G20+5!G20+6!G20+8!G20+9!G20+'10'!G20+'11'!G20+'12'!G20+'13'!G20+'14'!G20+'15'!G20+'16'!G23+'17'!G20+'18'!G20+'19'!G20+'20'!G20+'22'!G20+'23'!G20+'21'!G20+'24'!G20+'25'!G20+'26'!G20+'27'!G20+'28'!G20+'29'!G20+'30'!G20+'31'!G20+'32'!G19+'33'!G20+'34'!G20+'35'!G20+'36'!G20+'37'!G20+7!G20</f>
        <v>443900</v>
      </c>
      <c r="F25" s="46">
        <f>1!H19+2!H20+3!H25+4!H20+5!H20+6!H20+8!H20+9!H20+'10'!H20+'11'!H20+'12'!H20+'13'!H20+'14'!H20+'15'!H20+'16'!H23+'17'!H20+'18'!H20+'19'!H20+'20'!H20+'22'!H20+'23'!H20+'21'!H20+'24'!H20+'25'!H20+'26'!H20+'27'!H20+'28'!H20+'29'!H20+'30'!H20+'31'!H20+'32'!H19+'33'!H20+'34'!H20+'35'!H20+'36'!H20+'37'!H20+7!H20</f>
        <v>441700</v>
      </c>
      <c r="G25" s="46">
        <f>1!I19+2!I20+3!I25+4!I20+5!I20+6!I20+8!I20+9!I20+'10'!I20+'11'!I20+'12'!I20+'13'!I20+'14'!I20+'15'!I20+'16'!I23+'17'!I20+'18'!I20+'19'!I20+'20'!I20+'22'!I20+'23'!I20+'21'!I20+'24'!I20+'25'!I20+'26'!I20+'27'!I20+'28'!I20+'29'!I20+'30'!I20+'31'!I20+'32'!I19+'33'!I20+'34'!I20+'35'!I20+'36'!I20+'37'!I20+7!I20</f>
        <v>400141</v>
      </c>
      <c r="H25" s="174">
        <f t="shared" si="0"/>
        <v>90.59112519809825</v>
      </c>
    </row>
    <row r="26" spans="2:8" ht="13.5" customHeight="1">
      <c r="B26" s="14"/>
      <c r="C26" s="37">
        <v>613400</v>
      </c>
      <c r="D26" s="26" t="s">
        <v>170</v>
      </c>
      <c r="E26" s="46">
        <f>1!G20+2!G21+3!G26+4!G21+5!G21+6!G21+8!G21+9!G21+'10'!G21+'11'!G21+'12'!G21+'13'!G21+'14'!G21+'15'!G21+'16'!G24+'17'!G21+'18'!G21+'19'!G21+'20'!G21+'22'!G21+'23'!G21+'21'!G21+'24'!G21+'25'!G21+'26'!G21+'27'!G21+'28'!G21+'29'!G21+'30'!G21+'31'!G21+'32'!G20+'33'!G21+'34'!G21+'35'!G21+'36'!G21+'37'!G21+7!G21</f>
        <v>451500</v>
      </c>
      <c r="F26" s="46">
        <f>1!H20+2!H21+3!H26+4!H21+5!H21+6!H21+8!H21+9!H21+'10'!H21+'11'!H21+'12'!H21+'13'!H21+'14'!H21+'15'!H21+'16'!H24+'17'!H21+'18'!H21+'19'!H21+'20'!H21+'22'!H21+'23'!H21+'21'!H21+'24'!H21+'25'!H21+'26'!H21+'27'!H21+'28'!H21+'29'!H21+'30'!H21+'31'!H21+'32'!H20+'33'!H21+'34'!H21+'35'!H21+'36'!H21+'37'!H21+7!H21</f>
        <v>456750</v>
      </c>
      <c r="G26" s="46">
        <f>1!I20+2!I21+3!I26+4!I21+5!I21+6!I21+8!I21+9!I21+'10'!I21+'11'!I21+'12'!I21+'13'!I21+'14'!I21+'15'!I21+'16'!I24+'17'!I21+'18'!I21+'19'!I21+'20'!I21+'22'!I21+'23'!I21+'21'!I21+'24'!I21+'25'!I21+'26'!I21+'27'!I21+'28'!I21+'29'!I21+'30'!I21+'31'!I21+'32'!I20+'33'!I21+'34'!I21+'35'!I21+'36'!I21+'37'!I21+7!I21</f>
        <v>439840</v>
      </c>
      <c r="H26" s="174">
        <f t="shared" si="0"/>
        <v>96.29775588396278</v>
      </c>
    </row>
    <row r="27" spans="2:8" ht="13.5" customHeight="1">
      <c r="B27" s="14"/>
      <c r="C27" s="37">
        <v>613500</v>
      </c>
      <c r="D27" s="19" t="s">
        <v>88</v>
      </c>
      <c r="E27" s="118">
        <f>1!G21+2!G22+3!G27+4!G22+5!G22+6!G22+8!G22+9!G22+'10'!G22+'11'!G22+'12'!G22+'13'!G22+'14'!G22+'15'!G22+'16'!G25+'17'!G22+'18'!G22+'19'!G22+'20'!G22+'22'!G22+'23'!G22+'21'!G22+'24'!G22+'25'!G22+'26'!G22+'27'!G22+'28'!G22+'29'!G22+'30'!G22+'31'!G22+'32'!G21+'33'!G22+'34'!G22+'35'!G22+'36'!G22+'37'!G22+7!G22</f>
        <v>186310</v>
      </c>
      <c r="F27" s="118">
        <f>1!H21+2!H22+3!H27+4!H22+5!H22+6!H22+8!H22+9!H22+'10'!H22+'11'!H22+'12'!H22+'13'!H22+'14'!H22+'15'!H22+'16'!H25+'17'!H22+'18'!H22+'19'!H22+'20'!H22+'22'!H22+'23'!H22+'21'!H22+'24'!H22+'25'!H22+'26'!H22+'27'!H22+'28'!H22+'29'!H22+'30'!H22+'31'!H22+'32'!H21+'33'!H22+'34'!H22+'35'!H22+'36'!H22+'37'!H22+7!H22</f>
        <v>187040</v>
      </c>
      <c r="G27" s="118">
        <f>1!I21+2!I22+3!I27+4!I22+5!I22+6!I22+8!I22+9!I22+'10'!I22+'11'!I22+'12'!I22+'13'!I22+'14'!I22+'15'!I22+'16'!I25+'17'!I22+'18'!I22+'19'!I22+'20'!I22+'22'!I22+'23'!I22+'21'!I22+'24'!I22+'25'!I22+'26'!I22+'27'!I22+'28'!I22+'29'!I22+'30'!I22+'31'!I22+'32'!I21+'33'!I22+'34'!I22+'35'!I22+'36'!I22+'37'!I22+7!I22</f>
        <v>173992</v>
      </c>
      <c r="H27" s="174">
        <f t="shared" si="0"/>
        <v>93.02395209580838</v>
      </c>
    </row>
    <row r="28" spans="2:8" ht="13.5" customHeight="1">
      <c r="B28" s="14"/>
      <c r="C28" s="37">
        <v>613600</v>
      </c>
      <c r="D28" s="111" t="s">
        <v>207</v>
      </c>
      <c r="E28" s="118">
        <f>1!G22+2!G23+3!G28+4!G23+5!G23+6!G23+8!G23+9!G23+'10'!G23+'11'!G23+'12'!G23+'13'!G23+'14'!G23+'15'!G23+'16'!G26+'17'!G23+'18'!G23+'19'!G23+'20'!G23+'22'!G23+'23'!G23+'21'!G23+'24'!G23+'25'!G23+'26'!G23+'27'!G23+'28'!G23+'29'!G23+'30'!G23+'31'!G23+'32'!G22+'33'!G23+'34'!G23+'35'!G23+'36'!G23+'37'!G23+7!G23</f>
        <v>32500</v>
      </c>
      <c r="F28" s="118">
        <f>1!H22+2!H23+3!H28+4!H23+5!H23+6!H23+8!H23+9!H23+'10'!H23+'11'!H23+'12'!H23+'13'!H23+'14'!H23+'15'!H23+'16'!H26+'17'!H23+'18'!H23+'19'!H23+'20'!H23+'22'!H23+'23'!H23+'21'!H23+'24'!H23+'25'!H23+'26'!H23+'27'!H23+'28'!H23+'29'!H23+'30'!H23+'31'!H23+'32'!H22+'33'!H23+'34'!H23+'35'!H23+'36'!H23+'37'!H23+7!H23</f>
        <v>32010</v>
      </c>
      <c r="G28" s="118">
        <f>1!I22+2!I23+3!I28+4!I23+5!I23+6!I23+8!I23+9!I23+'10'!I23+'11'!I23+'12'!I23+'13'!I23+'14'!I23+'15'!I23+'16'!I26+'17'!I23+'18'!I23+'19'!I23+'20'!I23+'22'!I23+'23'!I23+'21'!I23+'24'!I23+'25'!I23+'26'!I23+'27'!I23+'28'!I23+'29'!I23+'30'!I23+'31'!I23+'32'!I22+'33'!I23+'34'!I23+'35'!I23+'36'!I23+'37'!I23+7!I23</f>
        <v>29769</v>
      </c>
      <c r="H28" s="174">
        <f t="shared" si="0"/>
        <v>92.99906279287723</v>
      </c>
    </row>
    <row r="29" spans="2:8" ht="13.5" customHeight="1">
      <c r="B29" s="14"/>
      <c r="C29" s="37">
        <v>613700</v>
      </c>
      <c r="D29" s="19" t="s">
        <v>89</v>
      </c>
      <c r="E29" s="118">
        <f>1!G23+2!G24+3!G29+4!G24+5!G24+6!G24+8!G24+9!G24+'10'!G24+'11'!G24+'12'!G24+'13'!G24+'14'!G24+'15'!G24+'16'!G27+'17'!G24+'18'!G24+'19'!G24+'20'!G24+'22'!G24+'23'!G24+'21'!G24+'24'!G24+'25'!G24+'26'!G24+'27'!G24+'28'!G24+'29'!G24+'30'!G24+'31'!G24+'32'!G23+'33'!G24+'34'!G24+'35'!G24+'36'!G24+'37'!G24+7!G24</f>
        <v>314750</v>
      </c>
      <c r="F29" s="118">
        <f>1!H23+2!H24+3!H29+4!H24+5!H24+6!H24+8!H24+9!H24+'10'!H24+'11'!H24+'12'!H24+'13'!H24+'14'!H24+'15'!H24+'16'!H27+'17'!H24+'18'!H24+'19'!H24+'20'!H24+'22'!H24+'23'!H24+'21'!H24+'24'!H24+'25'!H24+'26'!H24+'27'!H24+'28'!H24+'29'!H24+'30'!H24+'31'!H24+'32'!H23+'33'!H24+'34'!H24+'35'!H24+'36'!H24+'37'!H24+7!H24</f>
        <v>316610</v>
      </c>
      <c r="G29" s="118">
        <f>1!I23+2!I24+3!I29+4!I24+5!I24+6!I24+8!I24+9!I24+'10'!I24+'11'!I24+'12'!I24+'13'!I24+'14'!I24+'15'!I24+'16'!I27+'17'!I24+'18'!I24+'19'!I24+'20'!I24+'22'!I24+'23'!I24+'21'!I24+'24'!I24+'25'!I24+'26'!I24+'27'!I24+'28'!I24+'29'!I24+'30'!I24+'31'!I24+'32'!I23+'33'!I24+'34'!I24+'35'!I24+'36'!I24+'37'!I24+7!I24</f>
        <v>298899</v>
      </c>
      <c r="H29" s="174">
        <f t="shared" si="0"/>
        <v>94.40605160923535</v>
      </c>
    </row>
    <row r="30" spans="2:8" ht="13.5" customHeight="1">
      <c r="B30" s="14"/>
      <c r="C30" s="37">
        <v>613700</v>
      </c>
      <c r="D30" s="19" t="s">
        <v>90</v>
      </c>
      <c r="E30" s="118">
        <f>'18'!G25</f>
        <v>390000</v>
      </c>
      <c r="F30" s="118">
        <f>'18'!H25</f>
        <v>385000</v>
      </c>
      <c r="G30" s="118">
        <f>'18'!I25</f>
        <v>326942</v>
      </c>
      <c r="H30" s="174">
        <f t="shared" si="0"/>
        <v>84.92</v>
      </c>
    </row>
    <row r="31" spans="2:8" ht="13.5" customHeight="1">
      <c r="B31" s="14"/>
      <c r="C31" s="37">
        <v>613800</v>
      </c>
      <c r="D31" s="111" t="s">
        <v>171</v>
      </c>
      <c r="E31" s="118">
        <f>1!G24+2!G25+3!G30+4!G25+5!G25+6!G25+8!G25+9!G25+'10'!G25+'11'!G25+'12'!G25+'13'!G25+'14'!G25+'15'!G25+'16'!G28+'17'!G25+'18'!G26+'19'!G25+'20'!G25+'22'!G25+'23'!G25+'21'!G25+'24'!G25+'25'!G25+'26'!G25+'27'!G25+'28'!G25+'29'!G25+'30'!G25+'31'!G25+'32'!G24+'33'!G25+'34'!G25+'35'!G25+'36'!G25+'37'!G25+7!G25</f>
        <v>44140</v>
      </c>
      <c r="F31" s="118">
        <f>1!H24+2!H25+3!H30+4!H25+5!H25+6!H25+8!H25+9!H25+'10'!H25+'11'!H25+'12'!H25+'13'!H25+'14'!H25+'15'!H25+'16'!H28+'17'!H25+'18'!H26+'19'!H25+'20'!H25+'22'!H25+'23'!H25+'21'!H25+'24'!H25+'25'!H25+'26'!H25+'27'!H25+'28'!H25+'29'!H25+'30'!H25+'31'!H25+'32'!H24+'33'!H25+'34'!H25+'35'!H25+'36'!H25+'37'!H25+7!H25</f>
        <v>46010</v>
      </c>
      <c r="G31" s="118">
        <f>1!I24+2!I25+3!I30+4!I25+5!I25+6!I25+8!I25+9!I25+'10'!I25+'11'!I25+'12'!I25+'13'!I25+'14'!I25+'15'!I25+'16'!I28+'17'!I25+'18'!I26+'19'!I25+'20'!I25+'22'!I25+'23'!I25+'21'!I25+'24'!I25+'25'!I25+'26'!I25+'27'!I25+'28'!I25+'29'!I25+'30'!I25+'31'!I25+'32'!I24+'33'!I25+'34'!I25+'35'!I25+'36'!I25+'37'!I25+7!I25</f>
        <v>40265</v>
      </c>
      <c r="H31" s="174">
        <f t="shared" si="0"/>
        <v>87.5135840034775</v>
      </c>
    </row>
    <row r="32" spans="2:8" ht="13.5" customHeight="1">
      <c r="B32" s="14"/>
      <c r="C32" s="37">
        <v>613800</v>
      </c>
      <c r="D32" s="26" t="s">
        <v>192</v>
      </c>
      <c r="E32" s="46">
        <f>'20'!G26</f>
        <v>0</v>
      </c>
      <c r="F32" s="46">
        <f>'20'!H26</f>
        <v>0</v>
      </c>
      <c r="G32" s="46">
        <f>'20'!I26</f>
        <v>0</v>
      </c>
      <c r="H32" s="174">
        <f t="shared" si="0"/>
      </c>
    </row>
    <row r="33" spans="2:8" ht="13.5" customHeight="1">
      <c r="B33" s="14"/>
      <c r="C33" s="121">
        <v>613900</v>
      </c>
      <c r="D33" s="111" t="s">
        <v>172</v>
      </c>
      <c r="E33" s="122">
        <f>1!G25+2!G26+3!G31+4!G26+5!G26+6!G26+8!G26+9!G26+'10'!G26+'11'!G26+'12'!G26+'13'!G26+'14'!G26+'15'!G26+'16'!G29+'17'!G26+'18'!G27+'19'!G26+'20'!G27+'22'!G26+'23'!G26+'21'!G26+'24'!G26+'25'!G26+'26'!G26+'27'!G26+'28'!G26+'29'!G26+'30'!G26+'31'!G26+'32'!G25+'33'!G26+'34'!G26+'35'!G26+'36'!G26+'37'!G26+7!G26</f>
        <v>1400670</v>
      </c>
      <c r="F33" s="122">
        <f>1!H25+2!H26+3!H31+4!H26+5!H26+6!H26+8!H26+9!H26+'10'!H26+'11'!H26+'12'!H26+'13'!H26+'14'!H26+'15'!H26+'16'!H29+'17'!H26+'18'!H27+'19'!H26+'20'!H27+'22'!H26+'23'!H26+'21'!H26+'24'!H26+'25'!H26+'26'!H26+'27'!H26+'28'!H26+'29'!H26+'30'!H26+'31'!H26+'32'!H25+'33'!H26+'34'!H26+'35'!H26+'36'!H26+'37'!H26+7!H26</f>
        <v>1422660</v>
      </c>
      <c r="G33" s="122">
        <f>1!I25+2!I26+3!I31+4!I26+5!I26+6!I26+8!I26+9!I26+'10'!I26+'11'!I26+'12'!I26+'13'!I26+'14'!I26+'15'!I26+'16'!I29+'17'!I26+'18'!I27+'19'!I26+'20'!I27+'22'!I26+'23'!I26+'21'!I26+'24'!I26+'25'!I26+'26'!I26+'27'!I26+'28'!I26+'29'!I26+'30'!I26+'31'!I26+'32'!I25+'33'!I26+'34'!I26+'35'!I26+'36'!I26+'37'!I26+7!I26</f>
        <v>1340076</v>
      </c>
      <c r="H33" s="174">
        <f t="shared" si="0"/>
        <v>94.19509932099027</v>
      </c>
    </row>
    <row r="34" spans="2:8" ht="13.5" customHeight="1">
      <c r="B34" s="14"/>
      <c r="C34" s="37">
        <v>613900</v>
      </c>
      <c r="D34" s="26" t="s">
        <v>214</v>
      </c>
      <c r="E34" s="46">
        <f>3!G32</f>
        <v>36000</v>
      </c>
      <c r="F34" s="46">
        <f>3!H32</f>
        <v>31370</v>
      </c>
      <c r="G34" s="46">
        <f>3!I32</f>
        <v>31207</v>
      </c>
      <c r="H34" s="174">
        <f t="shared" si="0"/>
        <v>99.48039528211667</v>
      </c>
    </row>
    <row r="35" spans="2:8" ht="13.5" customHeight="1">
      <c r="B35" s="14"/>
      <c r="C35" s="37">
        <v>613900</v>
      </c>
      <c r="D35" s="26" t="s">
        <v>186</v>
      </c>
      <c r="E35" s="46">
        <f>'16'!G30</f>
        <v>73500</v>
      </c>
      <c r="F35" s="46">
        <f>'16'!H30</f>
        <v>73500</v>
      </c>
      <c r="G35" s="46">
        <f>'16'!I30</f>
        <v>69479</v>
      </c>
      <c r="H35" s="174">
        <f t="shared" si="0"/>
        <v>94.52925170068028</v>
      </c>
    </row>
    <row r="36" spans="2:8" ht="13.5" customHeight="1">
      <c r="B36" s="14"/>
      <c r="C36" s="37">
        <v>613900</v>
      </c>
      <c r="D36" s="26" t="s">
        <v>185</v>
      </c>
      <c r="E36" s="46">
        <f>'20'!G28</f>
        <v>57000</v>
      </c>
      <c r="F36" s="46">
        <f>'20'!H28</f>
        <v>57200</v>
      </c>
      <c r="G36" s="46">
        <f>'20'!I28</f>
        <v>57181</v>
      </c>
      <c r="H36" s="174">
        <f t="shared" si="0"/>
        <v>99.96678321678321</v>
      </c>
    </row>
    <row r="37" spans="2:8" ht="13.5" customHeight="1">
      <c r="B37" s="14"/>
      <c r="C37" s="37">
        <v>613900</v>
      </c>
      <c r="D37" s="366" t="s">
        <v>687</v>
      </c>
      <c r="E37" s="46">
        <f>1!G26+2!G27+3!G33+4!G27+5!G27+6!G27+8!G27+9!G27+'10'!G27+'11'!G27+'12'!G27+'13'!G27+'14'!G27+'15'!G27+'16'!G31+'17'!G27+'18'!G28+'19'!G27+'20'!G29+'22'!G27+'23'!G27+'21'!G27+'24'!G27+'25'!G27+'26'!G27+'27'!G27+'28'!G27+'29'!G27+'30'!G27+'31'!G27+'32'!G26+'33'!G27+'34'!G27+'35'!G27+'36'!G27+'37'!G27+7!G27</f>
        <v>372580</v>
      </c>
      <c r="F37" s="46">
        <f>1!H26+2!H27+3!H33+4!H27+5!H27+6!H27+8!H27+9!H27+'10'!H27+'11'!H27+'12'!H27+'13'!H27+'14'!H27+'15'!H27+'16'!H31+'17'!H27+'18'!H28+'19'!H27+'20'!H29+'22'!H27+'23'!H27+'21'!H27+'24'!H27+'25'!H27+'26'!H27+'27'!H27+'28'!H27+'29'!H27+'30'!H27+'31'!H27+'32'!H26+'33'!H27+'34'!H27+'35'!H27+'36'!H27+'37'!H27+7!H27</f>
        <v>372610</v>
      </c>
      <c r="G37" s="46">
        <f>1!I26+2!I27+3!I33+4!I27+5!I27+6!I27+8!I27+9!I27+'10'!I27+'11'!I27+'12'!I27+'13'!I27+'14'!I27+'15'!I27+'16'!I31+'17'!I27+'18'!I28+'19'!I27+'20'!I29+'22'!I27+'23'!I27+'21'!I27+'24'!I27+'25'!I27+'26'!I27+'27'!I27+'28'!I27+'29'!I27+'30'!I27+'31'!I27+'32'!I26+'33'!I27+'34'!I27+'35'!I27+'36'!I27+'37'!I27+7!I27</f>
        <v>370502</v>
      </c>
      <c r="H37" s="174">
        <f t="shared" si="0"/>
        <v>99.43426102359035</v>
      </c>
    </row>
    <row r="38" spans="2:8" ht="13.5" customHeight="1">
      <c r="B38" s="14"/>
      <c r="C38" s="37"/>
      <c r="D38" s="15"/>
      <c r="E38" s="84"/>
      <c r="F38" s="84"/>
      <c r="G38" s="84"/>
      <c r="H38" s="174">
        <f t="shared" si="0"/>
      </c>
    </row>
    <row r="39" spans="2:10" ht="13.5" customHeight="1">
      <c r="B39" s="14"/>
      <c r="C39" s="8">
        <v>614000</v>
      </c>
      <c r="D39" s="12" t="s">
        <v>208</v>
      </c>
      <c r="E39" s="109">
        <f>SUM(E40:E71)</f>
        <v>8676000</v>
      </c>
      <c r="F39" s="109">
        <f>SUM(F40:F71)</f>
        <v>8676000</v>
      </c>
      <c r="G39" s="109">
        <f>SUM(G40:G71)</f>
        <v>8516481</v>
      </c>
      <c r="H39" s="169">
        <f t="shared" si="0"/>
        <v>98.16137621023513</v>
      </c>
      <c r="J39" s="141"/>
    </row>
    <row r="40" spans="2:10" s="96" customFormat="1" ht="13.5" customHeight="1">
      <c r="B40" s="97"/>
      <c r="C40" s="67">
        <v>614100</v>
      </c>
      <c r="D40" s="18" t="s">
        <v>329</v>
      </c>
      <c r="E40" s="118">
        <f>3!G36</f>
        <v>290000</v>
      </c>
      <c r="F40" s="118">
        <f>3!H36</f>
        <v>290000</v>
      </c>
      <c r="G40" s="118">
        <f>3!I36</f>
        <v>290000</v>
      </c>
      <c r="H40" s="174">
        <f t="shared" si="0"/>
        <v>100</v>
      </c>
      <c r="J40" s="177"/>
    </row>
    <row r="41" spans="2:8" s="96" customFormat="1" ht="13.5" customHeight="1">
      <c r="B41" s="97"/>
      <c r="C41" s="67">
        <v>614100</v>
      </c>
      <c r="D41" s="117" t="s">
        <v>330</v>
      </c>
      <c r="E41" s="118">
        <f>3!G37</f>
        <v>200000</v>
      </c>
      <c r="F41" s="118">
        <f>3!H37</f>
        <v>200000</v>
      </c>
      <c r="G41" s="118">
        <f>3!I37</f>
        <v>200000</v>
      </c>
      <c r="H41" s="174">
        <f t="shared" si="0"/>
        <v>100</v>
      </c>
    </row>
    <row r="42" spans="2:8" s="1" customFormat="1" ht="13.5" customHeight="1">
      <c r="B42" s="17"/>
      <c r="C42" s="37">
        <v>614100</v>
      </c>
      <c r="D42" s="30" t="s">
        <v>337</v>
      </c>
      <c r="E42" s="46">
        <f>'16'!G34</f>
        <v>342000</v>
      </c>
      <c r="F42" s="46">
        <f>'16'!H34</f>
        <v>342000</v>
      </c>
      <c r="G42" s="46">
        <f>'16'!I34</f>
        <v>341991</v>
      </c>
      <c r="H42" s="174">
        <f t="shared" si="0"/>
        <v>99.99736842105264</v>
      </c>
    </row>
    <row r="43" spans="2:8" s="1" customFormat="1" ht="13.5" customHeight="1">
      <c r="B43" s="17"/>
      <c r="C43" s="33">
        <v>614100</v>
      </c>
      <c r="D43" s="26" t="s">
        <v>221</v>
      </c>
      <c r="E43" s="46">
        <f>'17'!G30</f>
        <v>490000</v>
      </c>
      <c r="F43" s="46">
        <f>'17'!H30</f>
        <v>490000</v>
      </c>
      <c r="G43" s="46">
        <f>'17'!I30</f>
        <v>490000</v>
      </c>
      <c r="H43" s="174">
        <f t="shared" si="0"/>
        <v>100</v>
      </c>
    </row>
    <row r="44" spans="2:8" s="1" customFormat="1" ht="13.5" customHeight="1">
      <c r="B44" s="17"/>
      <c r="C44" s="37">
        <v>614100</v>
      </c>
      <c r="D44" s="71" t="s">
        <v>181</v>
      </c>
      <c r="E44" s="46">
        <f>'18'!G31</f>
        <v>100000</v>
      </c>
      <c r="F44" s="46">
        <f>'18'!H31</f>
        <v>100000</v>
      </c>
      <c r="G44" s="46">
        <f>'18'!I31</f>
        <v>15000</v>
      </c>
      <c r="H44" s="174">
        <f t="shared" si="0"/>
        <v>15</v>
      </c>
    </row>
    <row r="45" spans="2:8" s="1" customFormat="1" ht="13.5" customHeight="1">
      <c r="B45" s="17"/>
      <c r="C45" s="37">
        <v>614100</v>
      </c>
      <c r="D45" s="71" t="s">
        <v>224</v>
      </c>
      <c r="E45" s="46">
        <f>'18'!G32</f>
        <v>0</v>
      </c>
      <c r="F45" s="46">
        <f>'18'!H32</f>
        <v>0</v>
      </c>
      <c r="G45" s="46">
        <f>'18'!I32</f>
        <v>0</v>
      </c>
      <c r="H45" s="174">
        <f t="shared" si="0"/>
      </c>
    </row>
    <row r="46" spans="2:8" s="1" customFormat="1" ht="13.5" customHeight="1">
      <c r="B46" s="17"/>
      <c r="C46" s="67">
        <v>614100</v>
      </c>
      <c r="D46" s="117" t="s">
        <v>166</v>
      </c>
      <c r="E46" s="46">
        <f>'19'!G30</f>
        <v>100000</v>
      </c>
      <c r="F46" s="46">
        <f>'19'!H30</f>
        <v>100000</v>
      </c>
      <c r="G46" s="46">
        <f>'19'!I30</f>
        <v>99893</v>
      </c>
      <c r="H46" s="174">
        <f t="shared" si="0"/>
        <v>99.893</v>
      </c>
    </row>
    <row r="47" spans="2:8" s="1" customFormat="1" ht="26.25" customHeight="1">
      <c r="B47" s="17"/>
      <c r="C47" s="33">
        <v>614100</v>
      </c>
      <c r="D47" s="115" t="s">
        <v>228</v>
      </c>
      <c r="E47" s="46">
        <f>'20'!G32</f>
        <v>158000</v>
      </c>
      <c r="F47" s="46">
        <f>'20'!H32</f>
        <v>158000</v>
      </c>
      <c r="G47" s="46">
        <f>'20'!I32</f>
        <v>140400</v>
      </c>
      <c r="H47" s="174">
        <f t="shared" si="0"/>
        <v>88.86075949367088</v>
      </c>
    </row>
    <row r="48" spans="2:8" s="1" customFormat="1" ht="13.5" customHeight="1">
      <c r="B48" s="17"/>
      <c r="C48" s="123" t="s">
        <v>110</v>
      </c>
      <c r="D48" s="116" t="s">
        <v>102</v>
      </c>
      <c r="E48" s="118">
        <f>'20'!G33</f>
        <v>300000</v>
      </c>
      <c r="F48" s="118">
        <f>'20'!H33</f>
        <v>300000</v>
      </c>
      <c r="G48" s="118">
        <f>'20'!I33</f>
        <v>300000</v>
      </c>
      <c r="H48" s="174">
        <f t="shared" si="0"/>
        <v>100</v>
      </c>
    </row>
    <row r="49" spans="2:8" s="1" customFormat="1" ht="13.5" customHeight="1">
      <c r="B49" s="17"/>
      <c r="C49" s="123" t="s">
        <v>110</v>
      </c>
      <c r="D49" s="116" t="s">
        <v>487</v>
      </c>
      <c r="E49" s="118">
        <f>'20'!G34</f>
        <v>291000</v>
      </c>
      <c r="F49" s="118">
        <f>'20'!H34</f>
        <v>291000</v>
      </c>
      <c r="G49" s="118">
        <f>'20'!I34</f>
        <v>290456</v>
      </c>
      <c r="H49" s="174">
        <f t="shared" si="0"/>
        <v>99.81305841924399</v>
      </c>
    </row>
    <row r="50" spans="2:8" s="1" customFormat="1" ht="12.75" customHeight="1">
      <c r="B50" s="17"/>
      <c r="C50" s="123" t="s">
        <v>108</v>
      </c>
      <c r="D50" s="176" t="s">
        <v>333</v>
      </c>
      <c r="E50" s="118">
        <f>3!G38</f>
        <v>100000</v>
      </c>
      <c r="F50" s="118">
        <f>3!H38</f>
        <v>100000</v>
      </c>
      <c r="G50" s="118">
        <f>3!I38</f>
        <v>95825</v>
      </c>
      <c r="H50" s="174">
        <f t="shared" si="0"/>
        <v>95.825</v>
      </c>
    </row>
    <row r="51" spans="2:8" s="1" customFormat="1" ht="13.5" customHeight="1">
      <c r="B51" s="17"/>
      <c r="C51" s="33">
        <v>614200</v>
      </c>
      <c r="D51" s="30" t="s">
        <v>101</v>
      </c>
      <c r="E51" s="45">
        <f>4!G30</f>
        <v>12000</v>
      </c>
      <c r="F51" s="45">
        <f>4!H30</f>
        <v>12000</v>
      </c>
      <c r="G51" s="45">
        <f>4!I30</f>
        <v>12000</v>
      </c>
      <c r="H51" s="174">
        <f t="shared" si="0"/>
        <v>100</v>
      </c>
    </row>
    <row r="52" spans="2:8" s="1" customFormat="1" ht="13.5" customHeight="1">
      <c r="B52" s="17"/>
      <c r="C52" s="33" t="s">
        <v>108</v>
      </c>
      <c r="D52" s="26" t="s">
        <v>107</v>
      </c>
      <c r="E52" s="46">
        <f>'17'!G31</f>
        <v>1872000</v>
      </c>
      <c r="F52" s="46">
        <f>'17'!H31</f>
        <v>1872000</v>
      </c>
      <c r="G52" s="46">
        <f>'17'!I31</f>
        <v>1850738</v>
      </c>
      <c r="H52" s="174">
        <f t="shared" si="0"/>
        <v>98.8642094017094</v>
      </c>
    </row>
    <row r="53" spans="2:8" s="1" customFormat="1" ht="13.5" customHeight="1">
      <c r="B53" s="17"/>
      <c r="C53" s="33" t="s">
        <v>108</v>
      </c>
      <c r="D53" s="30" t="s">
        <v>115</v>
      </c>
      <c r="E53" s="45">
        <f>'20'!G35</f>
        <v>120000</v>
      </c>
      <c r="F53" s="45">
        <f>'20'!H35</f>
        <v>120000</v>
      </c>
      <c r="G53" s="45">
        <f>'20'!I35</f>
        <v>118800</v>
      </c>
      <c r="H53" s="174">
        <f t="shared" si="0"/>
        <v>99</v>
      </c>
    </row>
    <row r="54" spans="2:8" s="1" customFormat="1" ht="26.25" customHeight="1">
      <c r="B54" s="17"/>
      <c r="C54" s="33" t="s">
        <v>108</v>
      </c>
      <c r="D54" s="73" t="s">
        <v>324</v>
      </c>
      <c r="E54" s="45">
        <f>'20'!G36</f>
        <v>15000</v>
      </c>
      <c r="F54" s="45">
        <f>'20'!H36</f>
        <v>15000</v>
      </c>
      <c r="G54" s="45">
        <f>'20'!I36</f>
        <v>15000</v>
      </c>
      <c r="H54" s="174">
        <f t="shared" si="0"/>
        <v>100</v>
      </c>
    </row>
    <row r="55" spans="2:8" s="1" customFormat="1" ht="13.5" customHeight="1">
      <c r="B55" s="17"/>
      <c r="C55" s="33">
        <v>614200</v>
      </c>
      <c r="D55" s="30" t="s">
        <v>118</v>
      </c>
      <c r="E55" s="45">
        <f>'31'!G30</f>
        <v>900000</v>
      </c>
      <c r="F55" s="45">
        <f>'31'!H30</f>
        <v>900000</v>
      </c>
      <c r="G55" s="45">
        <f>'31'!I30</f>
        <v>899490</v>
      </c>
      <c r="H55" s="174">
        <f t="shared" si="0"/>
        <v>99.94333333333333</v>
      </c>
    </row>
    <row r="56" spans="2:8" s="1" customFormat="1" ht="13.5" customHeight="1">
      <c r="B56" s="17"/>
      <c r="C56" s="33" t="s">
        <v>108</v>
      </c>
      <c r="D56" s="26" t="s">
        <v>119</v>
      </c>
      <c r="E56" s="45">
        <f>'33'!G30</f>
        <v>40000</v>
      </c>
      <c r="F56" s="45">
        <f>'33'!H30</f>
        <v>40000</v>
      </c>
      <c r="G56" s="45">
        <f>'33'!I30</f>
        <v>33928</v>
      </c>
      <c r="H56" s="174">
        <f t="shared" si="0"/>
        <v>84.82</v>
      </c>
    </row>
    <row r="57" spans="2:8" s="1" customFormat="1" ht="13.5" customHeight="1">
      <c r="B57" s="17"/>
      <c r="C57" s="33" t="s">
        <v>109</v>
      </c>
      <c r="D57" s="30" t="s">
        <v>98</v>
      </c>
      <c r="E57" s="46">
        <f>3!G45</f>
        <v>160000</v>
      </c>
      <c r="F57" s="46">
        <f>3!H45</f>
        <v>160000</v>
      </c>
      <c r="G57" s="46">
        <f>3!I45</f>
        <v>160000</v>
      </c>
      <c r="H57" s="174">
        <f t="shared" si="0"/>
        <v>100</v>
      </c>
    </row>
    <row r="58" spans="2:8" s="1" customFormat="1" ht="13.5" customHeight="1">
      <c r="B58" s="17"/>
      <c r="C58" s="33" t="s">
        <v>109</v>
      </c>
      <c r="D58" s="111" t="s">
        <v>111</v>
      </c>
      <c r="E58" s="45">
        <f>3!G39</f>
        <v>105000</v>
      </c>
      <c r="F58" s="45">
        <f>3!H39</f>
        <v>105000</v>
      </c>
      <c r="G58" s="45">
        <f>3!I39</f>
        <v>105000</v>
      </c>
      <c r="H58" s="174">
        <f t="shared" si="0"/>
        <v>100</v>
      </c>
    </row>
    <row r="59" spans="2:8" ht="12" customHeight="1">
      <c r="B59" s="14"/>
      <c r="C59" s="33" t="s">
        <v>109</v>
      </c>
      <c r="D59" s="111" t="s">
        <v>229</v>
      </c>
      <c r="E59" s="84">
        <f>3!G40</f>
        <v>30000</v>
      </c>
      <c r="F59" s="84">
        <f>3!H40</f>
        <v>30000</v>
      </c>
      <c r="G59" s="84">
        <f>3!I40</f>
        <v>30000</v>
      </c>
      <c r="H59" s="174">
        <f t="shared" si="0"/>
        <v>100</v>
      </c>
    </row>
    <row r="60" spans="2:8" s="1" customFormat="1" ht="12" customHeight="1">
      <c r="B60" s="17"/>
      <c r="C60" s="123" t="s">
        <v>109</v>
      </c>
      <c r="D60" s="111" t="s">
        <v>315</v>
      </c>
      <c r="E60" s="84">
        <f>3!G41</f>
        <v>15000</v>
      </c>
      <c r="F60" s="84">
        <f>3!H41</f>
        <v>15000</v>
      </c>
      <c r="G60" s="84">
        <f>3!I41</f>
        <v>15000</v>
      </c>
      <c r="H60" s="174">
        <f t="shared" si="0"/>
        <v>100</v>
      </c>
    </row>
    <row r="61" spans="2:8" s="1" customFormat="1" ht="12" customHeight="1">
      <c r="B61" s="28"/>
      <c r="C61" s="123" t="s">
        <v>109</v>
      </c>
      <c r="D61" s="111" t="s">
        <v>325</v>
      </c>
      <c r="E61" s="84">
        <f>3!G42</f>
        <v>15000</v>
      </c>
      <c r="F61" s="84">
        <f>3!H42</f>
        <v>15000</v>
      </c>
      <c r="G61" s="84">
        <f>3!I42</f>
        <v>15000</v>
      </c>
      <c r="H61" s="174">
        <f t="shared" si="0"/>
        <v>100</v>
      </c>
    </row>
    <row r="62" spans="2:8" s="1" customFormat="1" ht="12" customHeight="1">
      <c r="B62" s="28"/>
      <c r="C62" s="123" t="s">
        <v>109</v>
      </c>
      <c r="D62" s="111" t="s">
        <v>628</v>
      </c>
      <c r="E62" s="84">
        <f>3!G43</f>
        <v>5000</v>
      </c>
      <c r="F62" s="84">
        <f>3!H43</f>
        <v>5000</v>
      </c>
      <c r="G62" s="84">
        <f>3!I43</f>
        <v>5000</v>
      </c>
      <c r="H62" s="174">
        <f t="shared" si="0"/>
        <v>100</v>
      </c>
    </row>
    <row r="63" spans="2:8" s="1" customFormat="1" ht="12" customHeight="1">
      <c r="B63" s="28"/>
      <c r="C63" s="123" t="s">
        <v>109</v>
      </c>
      <c r="D63" s="111" t="s">
        <v>231</v>
      </c>
      <c r="E63" s="84">
        <f>3!G44</f>
        <v>30000</v>
      </c>
      <c r="F63" s="84">
        <f>3!H44</f>
        <v>30000</v>
      </c>
      <c r="G63" s="84">
        <f>3!I44</f>
        <v>30000</v>
      </c>
      <c r="H63" s="174">
        <f t="shared" si="0"/>
        <v>100</v>
      </c>
    </row>
    <row r="64" spans="2:8" ht="12" customHeight="1" thickBot="1">
      <c r="B64" s="21"/>
      <c r="C64" s="123" t="s">
        <v>109</v>
      </c>
      <c r="D64" s="116" t="s">
        <v>103</v>
      </c>
      <c r="E64" s="84">
        <f>'20'!G37</f>
        <v>30000</v>
      </c>
      <c r="F64" s="84">
        <f>'20'!H37</f>
        <v>30000</v>
      </c>
      <c r="G64" s="84">
        <f>'20'!I37</f>
        <v>30000</v>
      </c>
      <c r="H64" s="174">
        <f t="shared" si="0"/>
        <v>100</v>
      </c>
    </row>
    <row r="65" spans="3:8" ht="12" customHeight="1">
      <c r="C65" s="123" t="s">
        <v>109</v>
      </c>
      <c r="D65" s="116" t="s">
        <v>104</v>
      </c>
      <c r="E65" s="84">
        <f>'20'!G38</f>
        <v>150000</v>
      </c>
      <c r="F65" s="84">
        <f>'20'!H38</f>
        <v>150000</v>
      </c>
      <c r="G65" s="84">
        <f>'20'!I38</f>
        <v>150000</v>
      </c>
      <c r="H65" s="174">
        <f t="shared" si="0"/>
        <v>100</v>
      </c>
    </row>
    <row r="66" spans="3:8" ht="12" customHeight="1">
      <c r="C66" s="123" t="s">
        <v>212</v>
      </c>
      <c r="D66" s="116" t="s">
        <v>117</v>
      </c>
      <c r="E66" s="84">
        <f>'15'!G30</f>
        <v>700000</v>
      </c>
      <c r="F66" s="84">
        <f>'15'!H30</f>
        <v>700000</v>
      </c>
      <c r="G66" s="84">
        <f>'15'!I30</f>
        <v>699894</v>
      </c>
      <c r="H66" s="174">
        <f t="shared" si="0"/>
        <v>99.98485714285714</v>
      </c>
    </row>
    <row r="67" spans="3:8" ht="12" customHeight="1">
      <c r="C67" s="33" t="s">
        <v>212</v>
      </c>
      <c r="D67" s="30" t="s">
        <v>484</v>
      </c>
      <c r="E67" s="45">
        <f>'19'!G31</f>
        <v>800000</v>
      </c>
      <c r="F67" s="45">
        <f>'19'!H31</f>
        <v>800000</v>
      </c>
      <c r="G67" s="45">
        <f>'19'!I31</f>
        <v>787418</v>
      </c>
      <c r="H67" s="174">
        <f t="shared" si="0"/>
        <v>98.42725</v>
      </c>
    </row>
    <row r="68" spans="3:8" ht="12" customHeight="1">
      <c r="C68" s="33" t="s">
        <v>212</v>
      </c>
      <c r="D68" s="30" t="s">
        <v>485</v>
      </c>
      <c r="E68" s="45">
        <f>'19'!G32</f>
        <v>400000</v>
      </c>
      <c r="F68" s="45">
        <f>'19'!H32</f>
        <v>400000</v>
      </c>
      <c r="G68" s="45">
        <f>'19'!I32</f>
        <v>399977</v>
      </c>
      <c r="H68" s="174">
        <f t="shared" si="0"/>
        <v>99.99425</v>
      </c>
    </row>
    <row r="69" spans="3:8" ht="12" customHeight="1">
      <c r="C69" s="33" t="s">
        <v>212</v>
      </c>
      <c r="D69" s="30" t="s">
        <v>486</v>
      </c>
      <c r="E69" s="45">
        <f>'19'!G33</f>
        <v>800000</v>
      </c>
      <c r="F69" s="45">
        <f>'19'!H33</f>
        <v>800000</v>
      </c>
      <c r="G69" s="45">
        <f>'19'!I33</f>
        <v>794725</v>
      </c>
      <c r="H69" s="174">
        <f t="shared" si="0"/>
        <v>99.340625</v>
      </c>
    </row>
    <row r="70" spans="3:8" ht="12" customHeight="1">
      <c r="C70" s="33">
        <v>614800</v>
      </c>
      <c r="D70" s="30" t="s">
        <v>114</v>
      </c>
      <c r="E70" s="45">
        <f>'16'!G35</f>
        <v>50000</v>
      </c>
      <c r="F70" s="45">
        <f>'16'!H35</f>
        <v>50000</v>
      </c>
      <c r="G70" s="45">
        <f>'16'!I35</f>
        <v>49162</v>
      </c>
      <c r="H70" s="174">
        <f t="shared" si="0"/>
        <v>98.324</v>
      </c>
    </row>
    <row r="71" spans="3:8" ht="12" customHeight="1">
      <c r="C71" s="33">
        <v>614800</v>
      </c>
      <c r="D71" s="30" t="s">
        <v>627</v>
      </c>
      <c r="E71" s="45">
        <f>'16'!G36</f>
        <v>56000</v>
      </c>
      <c r="F71" s="45">
        <f>'16'!H36</f>
        <v>56000</v>
      </c>
      <c r="G71" s="45">
        <f>'16'!I36</f>
        <v>51784</v>
      </c>
      <c r="H71" s="174">
        <f t="shared" si="0"/>
        <v>92.47142857142858</v>
      </c>
    </row>
    <row r="72" spans="3:8" ht="12" customHeight="1">
      <c r="C72" s="17"/>
      <c r="D72" s="12"/>
      <c r="E72" s="20"/>
      <c r="F72" s="20"/>
      <c r="G72" s="20"/>
      <c r="H72" s="174">
        <f t="shared" si="0"/>
      </c>
    </row>
    <row r="73" spans="3:8" ht="12" customHeight="1">
      <c r="C73" s="14"/>
      <c r="D73" s="15"/>
      <c r="E73" s="45"/>
      <c r="F73" s="45"/>
      <c r="G73" s="45"/>
      <c r="H73" s="174">
        <f aca="true" t="shared" si="1" ref="H73:H98">IF(F73=0,"",G73/F73*100)</f>
      </c>
    </row>
    <row r="74" spans="3:8" ht="12" customHeight="1">
      <c r="C74" s="40">
        <v>615000</v>
      </c>
      <c r="D74" s="34" t="s">
        <v>91</v>
      </c>
      <c r="E74" s="20">
        <f>SUM(E75:E76)</f>
        <v>500000</v>
      </c>
      <c r="F74" s="20">
        <f>SUM(F75:F76)</f>
        <v>500000</v>
      </c>
      <c r="G74" s="20">
        <f>SUM(G75:G76)</f>
        <v>500000</v>
      </c>
      <c r="H74" s="169">
        <f t="shared" si="1"/>
        <v>100</v>
      </c>
    </row>
    <row r="75" spans="3:8" ht="12" customHeight="1">
      <c r="C75" s="82" t="s">
        <v>215</v>
      </c>
      <c r="D75" s="68" t="s">
        <v>91</v>
      </c>
      <c r="E75" s="46">
        <f>3!G48+'20'!G41</f>
        <v>500000</v>
      </c>
      <c r="F75" s="46">
        <f>3!H48+'20'!H41</f>
        <v>500000</v>
      </c>
      <c r="G75" s="46">
        <f>3!I48+'20'!I41</f>
        <v>500000</v>
      </c>
      <c r="H75" s="174">
        <f t="shared" si="1"/>
        <v>100</v>
      </c>
    </row>
    <row r="76" spans="3:8" ht="12" customHeight="1">
      <c r="C76" s="39"/>
      <c r="D76" s="30"/>
      <c r="E76" s="46"/>
      <c r="F76" s="46"/>
      <c r="G76" s="46"/>
      <c r="H76" s="174">
        <f t="shared" si="1"/>
      </c>
    </row>
    <row r="77" spans="3:8" ht="12" customHeight="1">
      <c r="C77" s="38"/>
      <c r="D77" s="30"/>
      <c r="E77" s="46"/>
      <c r="F77" s="46"/>
      <c r="G77" s="46"/>
      <c r="H77" s="174">
        <f t="shared" si="1"/>
      </c>
    </row>
    <row r="78" spans="3:8" ht="12" customHeight="1">
      <c r="C78" s="10" t="s">
        <v>105</v>
      </c>
      <c r="D78" s="34" t="s">
        <v>209</v>
      </c>
      <c r="E78" s="20">
        <f>SUM(E79:E82)</f>
        <v>93870</v>
      </c>
      <c r="F78" s="20">
        <f>SUM(F79:F82)</f>
        <v>93870</v>
      </c>
      <c r="G78" s="20">
        <f>SUM(G79:G82)</f>
        <v>93201</v>
      </c>
      <c r="H78" s="169">
        <f t="shared" si="1"/>
        <v>99.28731224033237</v>
      </c>
    </row>
    <row r="79" spans="3:8" ht="12" customHeight="1">
      <c r="C79" s="37">
        <v>616300</v>
      </c>
      <c r="D79" s="68" t="s">
        <v>200</v>
      </c>
      <c r="E79" s="46">
        <f>'20'!G44</f>
        <v>12560</v>
      </c>
      <c r="F79" s="46">
        <f>'20'!H44</f>
        <v>12560</v>
      </c>
      <c r="G79" s="46">
        <f>'20'!I44</f>
        <v>12557</v>
      </c>
      <c r="H79" s="174">
        <f t="shared" si="1"/>
        <v>99.97611464968152</v>
      </c>
    </row>
    <row r="80" spans="3:8" ht="12" customHeight="1">
      <c r="C80" s="37">
        <v>616300</v>
      </c>
      <c r="D80" s="68" t="s">
        <v>328</v>
      </c>
      <c r="E80" s="46">
        <f>'16'!G39</f>
        <v>14020</v>
      </c>
      <c r="F80" s="46">
        <f>'16'!H39</f>
        <v>14020</v>
      </c>
      <c r="G80" s="46">
        <f>'16'!I39</f>
        <v>14014</v>
      </c>
      <c r="H80" s="174">
        <f t="shared" si="1"/>
        <v>99.95720399429386</v>
      </c>
    </row>
    <row r="81" spans="3:8" ht="12" customHeight="1">
      <c r="C81" s="37">
        <v>616300</v>
      </c>
      <c r="D81" s="68" t="s">
        <v>218</v>
      </c>
      <c r="E81" s="46">
        <f>'16'!G40</f>
        <v>23440</v>
      </c>
      <c r="F81" s="46">
        <f>'16'!H40</f>
        <v>23440</v>
      </c>
      <c r="G81" s="46">
        <f>'16'!I40</f>
        <v>23437</v>
      </c>
      <c r="H81" s="174">
        <f t="shared" si="1"/>
        <v>99.98720136518772</v>
      </c>
    </row>
    <row r="82" spans="3:8" ht="12" customHeight="1">
      <c r="C82" s="37">
        <v>616300</v>
      </c>
      <c r="D82" s="68" t="s">
        <v>223</v>
      </c>
      <c r="E82" s="46">
        <f>'16'!G41</f>
        <v>43850</v>
      </c>
      <c r="F82" s="46">
        <f>'16'!H41</f>
        <v>43850</v>
      </c>
      <c r="G82" s="46">
        <f>'16'!I41</f>
        <v>43193</v>
      </c>
      <c r="H82" s="174">
        <f t="shared" si="1"/>
        <v>98.50171037628279</v>
      </c>
    </row>
    <row r="83" spans="3:8" ht="12" customHeight="1">
      <c r="C83" s="37"/>
      <c r="D83" s="68"/>
      <c r="E83" s="46"/>
      <c r="F83" s="46"/>
      <c r="G83" s="46"/>
      <c r="H83" s="174">
        <f t="shared" si="1"/>
      </c>
    </row>
    <row r="84" spans="3:8" ht="12" customHeight="1">
      <c r="C84" s="37"/>
      <c r="D84" s="15"/>
      <c r="E84" s="45"/>
      <c r="F84" s="45"/>
      <c r="G84" s="45"/>
      <c r="H84" s="174">
        <f t="shared" si="1"/>
      </c>
    </row>
    <row r="85" spans="3:8" ht="12" customHeight="1">
      <c r="C85" s="8">
        <v>821000</v>
      </c>
      <c r="D85" s="12" t="s">
        <v>92</v>
      </c>
      <c r="E85" s="20">
        <f>SUM(E86:E89)</f>
        <v>2079690</v>
      </c>
      <c r="F85" s="20">
        <f>SUM(F86:F89)</f>
        <v>2079690</v>
      </c>
      <c r="G85" s="20">
        <f>SUM(G86:G89)</f>
        <v>1914268</v>
      </c>
      <c r="H85" s="169">
        <f t="shared" si="1"/>
        <v>92.04583375406912</v>
      </c>
    </row>
    <row r="86" spans="3:8" ht="12" customHeight="1">
      <c r="C86" s="121">
        <v>821200</v>
      </c>
      <c r="D86" s="19" t="s">
        <v>93</v>
      </c>
      <c r="E86" s="118">
        <f>1!G37+2!G37+3!G51+4!G38+5!G37+6!G37+7!G37+8!G37+9!G37+'10'!G37+'11'!G37+'12'!G37+'13'!G37+'14'!G37+'15'!G33+'16'!G44+'17'!G35+'18'!G38+'19'!G36+'20'!G47+'21'!G37+'22'!G37+'23'!G37+'24'!G37+'25'!G37+'26'!G37+'27'!G37+'28'!G37+'29'!G37+'30'!G37+'31'!G34+'32'!G36+'33'!G35+'34'!G37+'35'!G37+'36'!G37+'37'!G37</f>
        <v>183080</v>
      </c>
      <c r="F86" s="118">
        <f>1!H37+2!H37+3!H51+4!H38+5!H37+6!H37+7!H37+8!H37+9!H37+'10'!H37+'11'!H37+'12'!H37+'13'!H37+'14'!H37+'15'!H33+'16'!H44+'17'!H35+'18'!H38+'19'!H36+'20'!H47+'21'!H37+'22'!H37+'23'!H37+'24'!H37+'25'!H37+'26'!H37+'27'!H37+'28'!H37+'29'!H37+'30'!H37+'31'!H34+'32'!H36+'33'!H35+'34'!H37+'35'!H37+'36'!H37+'37'!H37</f>
        <v>181700</v>
      </c>
      <c r="G86" s="118">
        <f>1!I37+2!I37+3!I51+4!I38+5!I37+6!I37+7!I37+8!I37+9!I37+'10'!I37+'11'!I37+'12'!I37+'13'!I37+'14'!I37+'15'!I33+'16'!I44+'17'!I35+'18'!I38+'19'!I36+'20'!I47+'21'!I37+'22'!I37+'23'!I37+'24'!I37+'25'!I37+'26'!I37+'27'!I37+'28'!I37+'29'!I37+'30'!I37+'31'!I34+'32'!I36+'33'!I35+'34'!I37+'35'!I37+'36'!I37+'37'!I37</f>
        <v>165450</v>
      </c>
      <c r="H86" s="174">
        <f t="shared" si="1"/>
        <v>91.05668684645019</v>
      </c>
    </row>
    <row r="87" spans="3:8" ht="12" customHeight="1">
      <c r="C87" s="121">
        <v>821300</v>
      </c>
      <c r="D87" s="19" t="s">
        <v>94</v>
      </c>
      <c r="E87" s="118">
        <f>1!G38+2!G38+3!G52+4!G39+5!G38+6!G38+7!G38+8!G38+9!G38+'10'!G38+'11'!G38+'12'!G38+'13'!G38+'14'!G38+'15'!G34+'16'!G45+'17'!G36+'18'!G39+'19'!G37+'20'!G48+'21'!G38+'22'!G38+'23'!G38+'24'!G38+'25'!G38+'26'!G38+'27'!G38+'28'!G38+'29'!G38+'30'!G38+'31'!G35+'32'!G37+'33'!G36+'34'!G38+'35'!G38+'36'!G38+'37'!G38</f>
        <v>529780</v>
      </c>
      <c r="F87" s="118">
        <f>1!H38+2!H38+3!H52+4!H39+5!H38+6!H38+7!H38+8!H38+9!H38+'10'!H38+'11'!H38+'12'!H38+'13'!H38+'14'!H38+'15'!H34+'16'!H45+'17'!H36+'18'!H39+'19'!H37+'20'!H48+'21'!H38+'22'!H38+'23'!H38+'24'!H38+'25'!H38+'26'!H38+'27'!H38+'28'!H38+'29'!H38+'30'!H38+'31'!H35+'32'!H37+'33'!H36+'34'!H38+'35'!H38+'36'!H38+'37'!H38</f>
        <v>531160</v>
      </c>
      <c r="G87" s="118">
        <f>1!I38+2!I38+3!I52+4!I39+5!I38+6!I38+7!I38+8!I38+9!I38+'10'!I38+'11'!I38+'12'!I38+'13'!I38+'14'!I38+'15'!I34+'16'!I45+'17'!I36+'18'!I39+'19'!I37+'20'!I48+'21'!I38+'22'!I38+'23'!I38+'24'!I38+'25'!I38+'26'!I38+'27'!I38+'28'!I38+'29'!I38+'30'!I38+'31'!I35+'32'!I37+'33'!I36+'34'!I38+'35'!I38+'36'!I38+'37'!I38</f>
        <v>510857</v>
      </c>
      <c r="H87" s="174">
        <f t="shared" si="1"/>
        <v>96.17761126590858</v>
      </c>
    </row>
    <row r="88" spans="3:8" ht="12" customHeight="1">
      <c r="C88" s="121">
        <v>821500</v>
      </c>
      <c r="D88" s="319" t="s">
        <v>629</v>
      </c>
      <c r="E88" s="118">
        <f>3!G53</f>
        <v>286830</v>
      </c>
      <c r="F88" s="118">
        <f>3!H53</f>
        <v>286830</v>
      </c>
      <c r="G88" s="118">
        <f>3!I53</f>
        <v>188154</v>
      </c>
      <c r="H88" s="174">
        <f t="shared" si="1"/>
        <v>65.59774082208975</v>
      </c>
    </row>
    <row r="89" spans="3:8" ht="12" customHeight="1">
      <c r="C89" s="121">
        <v>821600</v>
      </c>
      <c r="D89" s="111" t="s">
        <v>106</v>
      </c>
      <c r="E89" s="118">
        <f>'18'!G40</f>
        <v>1080000</v>
      </c>
      <c r="F89" s="118">
        <f>'18'!H40</f>
        <v>1080000</v>
      </c>
      <c r="G89" s="118">
        <f>'18'!I40</f>
        <v>1049807</v>
      </c>
      <c r="H89" s="174">
        <f t="shared" si="1"/>
        <v>97.20435185185185</v>
      </c>
    </row>
    <row r="90" spans="3:8" ht="12" customHeight="1">
      <c r="C90" s="37"/>
      <c r="D90" s="15"/>
      <c r="E90" s="45"/>
      <c r="F90" s="45"/>
      <c r="G90" s="45"/>
      <c r="H90" s="174">
        <f t="shared" si="1"/>
      </c>
    </row>
    <row r="91" spans="3:8" ht="12" customHeight="1">
      <c r="C91" s="37"/>
      <c r="D91" s="26"/>
      <c r="E91" s="46"/>
      <c r="F91" s="46"/>
      <c r="G91" s="46"/>
      <c r="H91" s="174">
        <f t="shared" si="1"/>
      </c>
    </row>
    <row r="92" spans="3:8" ht="12" customHeight="1">
      <c r="C92" s="8">
        <v>823000</v>
      </c>
      <c r="D92" s="12" t="s">
        <v>210</v>
      </c>
      <c r="E92" s="20">
        <f>SUM(E93:E94)</f>
        <v>1458750</v>
      </c>
      <c r="F92" s="20">
        <f>SUM(F93:F94)</f>
        <v>1458750</v>
      </c>
      <c r="G92" s="20">
        <f>SUM(G93:G94)</f>
        <v>1458743</v>
      </c>
      <c r="H92" s="169">
        <f t="shared" si="1"/>
        <v>99.99952013710369</v>
      </c>
    </row>
    <row r="93" spans="3:8" ht="12" customHeight="1">
      <c r="C93" s="37">
        <v>823300</v>
      </c>
      <c r="D93" s="26" t="s">
        <v>222</v>
      </c>
      <c r="E93" s="45">
        <f>'20'!G51</f>
        <v>74130</v>
      </c>
      <c r="F93" s="45">
        <f>'20'!H51</f>
        <v>74130</v>
      </c>
      <c r="G93" s="45">
        <f>'20'!I51</f>
        <v>74128</v>
      </c>
      <c r="H93" s="174">
        <f t="shared" si="1"/>
        <v>99.9973020369621</v>
      </c>
    </row>
    <row r="94" spans="3:8" ht="12" customHeight="1">
      <c r="C94" s="37">
        <v>823300</v>
      </c>
      <c r="D94" s="26" t="s">
        <v>327</v>
      </c>
      <c r="E94" s="46">
        <f>'16'!G48</f>
        <v>1384620</v>
      </c>
      <c r="F94" s="46">
        <f>'16'!H48</f>
        <v>1384620</v>
      </c>
      <c r="G94" s="46">
        <f>'16'!I48</f>
        <v>1384615</v>
      </c>
      <c r="H94" s="174">
        <f t="shared" si="1"/>
        <v>99.99963889009258</v>
      </c>
    </row>
    <row r="95" spans="3:8" ht="12" customHeight="1">
      <c r="C95" s="37"/>
      <c r="D95" s="15"/>
      <c r="E95" s="45"/>
      <c r="F95" s="45"/>
      <c r="G95" s="45"/>
      <c r="H95" s="155">
        <f t="shared" si="1"/>
      </c>
    </row>
    <row r="96" spans="3:8" ht="12" customHeight="1">
      <c r="C96" s="37"/>
      <c r="D96" s="15"/>
      <c r="E96" s="45"/>
      <c r="F96" s="45"/>
      <c r="G96" s="45"/>
      <c r="H96" s="155">
        <f t="shared" si="1"/>
      </c>
    </row>
    <row r="97" spans="3:8" ht="12" customHeight="1">
      <c r="C97" s="8"/>
      <c r="D97" s="12" t="s">
        <v>95</v>
      </c>
      <c r="E97" s="135" t="s">
        <v>727</v>
      </c>
      <c r="F97" s="135" t="s">
        <v>727</v>
      </c>
      <c r="G97" s="135" t="s">
        <v>759</v>
      </c>
      <c r="H97" s="171"/>
    </row>
    <row r="98" spans="3:8" ht="12" customHeight="1">
      <c r="C98" s="8"/>
      <c r="D98" s="12" t="s">
        <v>116</v>
      </c>
      <c r="E98" s="20">
        <f>1!G42+2!G42+3!G56+4!G43+5!G42+6!G42+7!G42+8!G42+9!G42+'10'!G42+'11'!G42+'12'!G42+'13'!G42+'14'!G42+'15'!G38+'16'!G51+'17'!G40+'18'!G43+'19'!G41+'20'!G55+'21'!G42+'22'!G42+'23'!G42+'24'!G42+'25'!G42+'26'!G42+'27'!G42+'28'!G42+'29'!G42+'30'!G42+'31'!G39+'32'!G41+'33'!G40+'34'!G42+'35'!G42+'36'!G42+'37'!G42</f>
        <v>39753660</v>
      </c>
      <c r="F98" s="20">
        <f>1!H42+2!H42+3!H56+4!H43+5!H42+6!H42+7!H42+8!H42+9!H42+'10'!H42+'11'!H42+'12'!H42+'13'!H42+'14'!H42+'15'!H38+'16'!H51+'17'!H40+'18'!H43+'19'!H41+'20'!H55+'21'!H42+'22'!H42+'23'!H42+'24'!H42+'25'!H42+'26'!H42+'27'!H42+'28'!H42+'29'!H42+'30'!H42+'31'!H39+'32'!H41+'33'!H40+'34'!H42+'35'!H42+'36'!H42+'37'!H42</f>
        <v>39753660</v>
      </c>
      <c r="G98" s="20">
        <f>1!I42+2!I42+3!I56+4!I43+5!I42+6!I42+7!I42+8!I42+9!I42+'10'!I42+'11'!I42+'12'!I42+'13'!I42+'14'!I42+'15'!I38+'16'!I51+'17'!I40+'18'!I43+'19'!I41+'20'!I55+'21'!I42+'22'!I42+'23'!I42+'24'!I42+'25'!I42+'26'!I42+'27'!I42+'28'!I42+'29'!I42+'30'!I42+'31'!I39+'32'!I41+'33'!I40+'34'!I42+'35'!I42+'36'!I42+'37'!I42</f>
        <v>38819279</v>
      </c>
      <c r="H98" s="156">
        <f t="shared" si="1"/>
        <v>97.6495723915735</v>
      </c>
    </row>
    <row r="99" spans="3:8" ht="12" customHeight="1" thickBot="1">
      <c r="C99" s="41"/>
      <c r="D99" s="22"/>
      <c r="E99" s="36"/>
      <c r="F99" s="36"/>
      <c r="G99" s="22"/>
      <c r="H99" s="157"/>
    </row>
    <row r="100" spans="3:8" ht="12" customHeight="1" thickBot="1">
      <c r="C100" s="79"/>
      <c r="D100" s="80"/>
      <c r="E100" s="80"/>
      <c r="F100" s="80"/>
      <c r="G100" s="80"/>
      <c r="H100" s="145"/>
    </row>
    <row r="102" spans="3:7" ht="12" customHeight="1">
      <c r="C102" s="105"/>
      <c r="F102" s="91"/>
      <c r="G102" s="91"/>
    </row>
    <row r="103" ht="12" customHeight="1">
      <c r="C103" s="48"/>
    </row>
    <row r="104" ht="12" customHeight="1">
      <c r="C104" s="106"/>
    </row>
    <row r="105" ht="12" customHeight="1">
      <c r="C105" s="107"/>
    </row>
    <row r="106" spans="3:8" ht="12" customHeight="1">
      <c r="C106" s="447"/>
      <c r="D106" s="447"/>
      <c r="E106" s="447"/>
      <c r="F106" s="447"/>
      <c r="G106" s="447"/>
      <c r="H106" s="447"/>
    </row>
    <row r="107" spans="3:8" ht="12" customHeight="1">
      <c r="C107" s="447"/>
      <c r="D107" s="447"/>
      <c r="E107" s="49"/>
      <c r="F107" s="49"/>
      <c r="G107" s="49"/>
      <c r="H107" s="146"/>
    </row>
    <row r="108" ht="12" customHeight="1">
      <c r="C108" s="107"/>
    </row>
    <row r="109" spans="3:8" ht="12" customHeight="1">
      <c r="C109" s="448"/>
      <c r="D109" s="434"/>
      <c r="E109" s="434"/>
      <c r="F109" s="434"/>
      <c r="G109" s="434"/>
      <c r="H109" s="434"/>
    </row>
    <row r="110" spans="3:8" ht="27" customHeight="1">
      <c r="C110" s="449"/>
      <c r="D110" s="449"/>
      <c r="E110" s="449"/>
      <c r="F110" s="449"/>
      <c r="G110" s="449"/>
      <c r="H110" s="449"/>
    </row>
  </sheetData>
  <sheetProtection/>
  <mergeCells count="6">
    <mergeCell ref="G3:H3"/>
    <mergeCell ref="C3:D3"/>
    <mergeCell ref="C106:H106"/>
    <mergeCell ref="C107:D107"/>
    <mergeCell ref="C109:H109"/>
    <mergeCell ref="C110:H110"/>
  </mergeCells>
  <printOptions/>
  <pageMargins left="0.46" right="0.15748031496062992" top="0.5511811023622047" bottom="0.7874015748031497" header="0.5118110236220472" footer="0.3937007874015748"/>
  <pageSetup firstPageNumber="6" useFirstPageNumber="1" horizontalDpi="600" verticalDpi="600" orientation="portrait" paperSize="9" scale="79" r:id="rId1"/>
  <headerFooter alignWithMargins="0">
    <oddFooter>&amp;R&amp;P</oddFooter>
  </headerFooter>
  <rowBreaks count="1" manualBreakCount="1">
    <brk id="57" min="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M47"/>
  <sheetViews>
    <sheetView workbookViewId="0" topLeftCell="B1">
      <selection activeCell="J41" sqref="J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2" spans="2:10" ht="15" customHeight="1">
      <c r="B2" s="450" t="s">
        <v>120</v>
      </c>
      <c r="C2" s="450"/>
      <c r="D2" s="450"/>
      <c r="E2" s="450"/>
      <c r="F2" s="450"/>
      <c r="G2" s="450"/>
      <c r="H2" s="450"/>
      <c r="I2" s="450"/>
      <c r="J2" s="450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69" t="s">
        <v>738</v>
      </c>
      <c r="H4" s="69" t="s">
        <v>739</v>
      </c>
      <c r="I4" s="69" t="s">
        <v>737</v>
      </c>
      <c r="J4" s="150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>
        <v>10</v>
      </c>
      <c r="C6" s="11" t="s">
        <v>83</v>
      </c>
      <c r="D6" s="11" t="s">
        <v>84</v>
      </c>
      <c r="E6" s="9"/>
      <c r="F6" s="9"/>
      <c r="G6" s="35"/>
      <c r="H6" s="35"/>
      <c r="I6" s="9"/>
      <c r="J6" s="152"/>
    </row>
    <row r="7" spans="2:12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415800</v>
      </c>
      <c r="H7" s="20">
        <f>SUM(H8:H10)</f>
        <v>415800</v>
      </c>
      <c r="I7" s="20">
        <f>SUM(I8:I10)</f>
        <v>409773</v>
      </c>
      <c r="J7" s="153">
        <f>IF(H7=0,"",I7/H7*100)</f>
        <v>98.55050505050505</v>
      </c>
      <c r="L7" s="90"/>
    </row>
    <row r="8" spans="2:12" ht="12.75" customHeight="1">
      <c r="B8" s="14"/>
      <c r="C8" s="15"/>
      <c r="D8" s="15"/>
      <c r="E8" s="16">
        <v>611100</v>
      </c>
      <c r="F8" s="26" t="s">
        <v>204</v>
      </c>
      <c r="G8" s="395">
        <v>318500</v>
      </c>
      <c r="H8" s="84">
        <f>314000+4500</f>
        <v>318500</v>
      </c>
      <c r="I8" s="84">
        <v>314798</v>
      </c>
      <c r="J8" s="154">
        <f aca="true" t="shared" si="0" ref="J8:J42">IF(H8=0,"",I8/H8*100)</f>
        <v>98.83767660910519</v>
      </c>
      <c r="K8" s="83"/>
      <c r="L8" s="90"/>
    </row>
    <row r="9" spans="2:12" ht="12.75" customHeight="1">
      <c r="B9" s="14"/>
      <c r="C9" s="15"/>
      <c r="D9" s="15"/>
      <c r="E9" s="16">
        <v>611200</v>
      </c>
      <c r="F9" s="26" t="s">
        <v>205</v>
      </c>
      <c r="G9" s="395">
        <v>75700</v>
      </c>
      <c r="H9" s="84">
        <f>72100+15*240</f>
        <v>75700</v>
      </c>
      <c r="I9" s="84">
        <v>73865</v>
      </c>
      <c r="J9" s="154">
        <f t="shared" si="0"/>
        <v>97.57595772787319</v>
      </c>
      <c r="L9" s="90"/>
    </row>
    <row r="10" spans="2:12" ht="12.75" customHeight="1">
      <c r="B10" s="14"/>
      <c r="C10" s="15"/>
      <c r="D10" s="15"/>
      <c r="E10" s="16">
        <v>611200</v>
      </c>
      <c r="F10" s="366" t="s">
        <v>667</v>
      </c>
      <c r="G10" s="110">
        <v>21600</v>
      </c>
      <c r="H10" s="84">
        <v>21600</v>
      </c>
      <c r="I10" s="84">
        <v>21110</v>
      </c>
      <c r="J10" s="154">
        <f t="shared" si="0"/>
        <v>97.73148148148148</v>
      </c>
      <c r="L10" s="90"/>
    </row>
    <row r="11" spans="2:12" ht="12.75" customHeight="1">
      <c r="B11" s="14"/>
      <c r="C11" s="15"/>
      <c r="D11" s="15"/>
      <c r="E11" s="16"/>
      <c r="F11" s="15"/>
      <c r="G11" s="45"/>
      <c r="H11" s="45"/>
      <c r="I11" s="45"/>
      <c r="J11" s="153">
        <f t="shared" si="0"/>
      </c>
      <c r="L11" s="90"/>
    </row>
    <row r="12" spans="2:12" ht="12.75" customHeight="1">
      <c r="B12" s="17"/>
      <c r="C12" s="12"/>
      <c r="D12" s="12"/>
      <c r="E12" s="9">
        <v>612000</v>
      </c>
      <c r="F12" s="12" t="s">
        <v>167</v>
      </c>
      <c r="G12" s="20">
        <f>G13</f>
        <v>34100</v>
      </c>
      <c r="H12" s="20">
        <f>H13+H14</f>
        <v>34100</v>
      </c>
      <c r="I12" s="20">
        <f>I13+I14</f>
        <v>33269</v>
      </c>
      <c r="J12" s="153">
        <f t="shared" si="0"/>
        <v>97.56304985337243</v>
      </c>
      <c r="L12" s="90"/>
    </row>
    <row r="13" spans="2:12" s="1" customFormat="1" ht="12.75" customHeight="1">
      <c r="B13" s="14"/>
      <c r="C13" s="15"/>
      <c r="D13" s="15"/>
      <c r="E13" s="16">
        <v>612100</v>
      </c>
      <c r="F13" s="18" t="s">
        <v>85</v>
      </c>
      <c r="G13" s="46">
        <v>34100</v>
      </c>
      <c r="H13" s="84">
        <f>33600+500</f>
        <v>34100</v>
      </c>
      <c r="I13" s="84">
        <v>33269</v>
      </c>
      <c r="J13" s="154">
        <f t="shared" si="0"/>
        <v>97.56304985337243</v>
      </c>
      <c r="L13" s="90"/>
    </row>
    <row r="14" spans="2:12" ht="12.75" customHeight="1">
      <c r="B14" s="14"/>
      <c r="C14" s="15"/>
      <c r="D14" s="15"/>
      <c r="E14" s="16"/>
      <c r="F14" s="15"/>
      <c r="G14" s="45"/>
      <c r="H14" s="45"/>
      <c r="I14" s="45"/>
      <c r="J14" s="153">
        <f t="shared" si="0"/>
      </c>
      <c r="L14" s="90"/>
    </row>
    <row r="15" spans="2:12" ht="12.75" customHeight="1">
      <c r="B15" s="14"/>
      <c r="C15" s="15"/>
      <c r="D15" s="15"/>
      <c r="E15" s="16"/>
      <c r="F15" s="15"/>
      <c r="G15" s="45"/>
      <c r="H15" s="45"/>
      <c r="I15" s="45"/>
      <c r="J15" s="153">
        <f t="shared" si="0"/>
      </c>
      <c r="L15" s="90"/>
    </row>
    <row r="16" spans="2:12" ht="12.75" customHeight="1">
      <c r="B16" s="17"/>
      <c r="C16" s="12"/>
      <c r="D16" s="12"/>
      <c r="E16" s="9">
        <v>613000</v>
      </c>
      <c r="F16" s="12" t="s">
        <v>169</v>
      </c>
      <c r="G16" s="20">
        <f>SUM(G17:G26)</f>
        <v>288840</v>
      </c>
      <c r="H16" s="51">
        <f>SUM(H17:H26)</f>
        <v>288840</v>
      </c>
      <c r="I16" s="51">
        <f>SUM(I17:I26)</f>
        <v>288035</v>
      </c>
      <c r="J16" s="153">
        <f t="shared" si="0"/>
        <v>99.72129898905969</v>
      </c>
      <c r="L16" s="90"/>
    </row>
    <row r="17" spans="2:12" s="1" customFormat="1" ht="12.75" customHeight="1">
      <c r="B17" s="14"/>
      <c r="C17" s="15"/>
      <c r="D17" s="15"/>
      <c r="E17" s="16">
        <v>613100</v>
      </c>
      <c r="F17" s="15" t="s">
        <v>86</v>
      </c>
      <c r="G17" s="45">
        <v>6000</v>
      </c>
      <c r="H17" s="45">
        <v>6000</v>
      </c>
      <c r="I17" s="45">
        <v>5985</v>
      </c>
      <c r="J17" s="154">
        <f t="shared" si="0"/>
        <v>99.75</v>
      </c>
      <c r="L17" s="90"/>
    </row>
    <row r="18" spans="2:12" ht="12.75" customHeight="1">
      <c r="B18" s="14"/>
      <c r="C18" s="15"/>
      <c r="D18" s="15"/>
      <c r="E18" s="16">
        <v>613200</v>
      </c>
      <c r="F18" s="15" t="s">
        <v>87</v>
      </c>
      <c r="G18" s="45">
        <v>13600</v>
      </c>
      <c r="H18" s="45">
        <f>13600-140</f>
        <v>13460</v>
      </c>
      <c r="I18" s="45">
        <v>13456</v>
      </c>
      <c r="J18" s="154">
        <f t="shared" si="0"/>
        <v>99.9702823179792</v>
      </c>
      <c r="L18" s="90"/>
    </row>
    <row r="19" spans="2:12" ht="12.75" customHeight="1">
      <c r="B19" s="14"/>
      <c r="C19" s="15"/>
      <c r="D19" s="15"/>
      <c r="E19" s="16">
        <v>613300</v>
      </c>
      <c r="F19" s="26" t="s">
        <v>206</v>
      </c>
      <c r="G19" s="395">
        <v>7300</v>
      </c>
      <c r="H19" s="45">
        <f>7300+530</f>
        <v>7830</v>
      </c>
      <c r="I19" s="45">
        <v>7695</v>
      </c>
      <c r="J19" s="154">
        <f t="shared" si="0"/>
        <v>98.27586206896551</v>
      </c>
      <c r="L19" s="90"/>
    </row>
    <row r="20" spans="2:12" ht="12.75" customHeight="1">
      <c r="B20" s="14"/>
      <c r="C20" s="15"/>
      <c r="D20" s="15"/>
      <c r="E20" s="16">
        <v>613400</v>
      </c>
      <c r="F20" s="26" t="s">
        <v>170</v>
      </c>
      <c r="G20" s="395">
        <v>5500</v>
      </c>
      <c r="H20" s="84">
        <f>5500-150</f>
        <v>5350</v>
      </c>
      <c r="I20" s="84">
        <v>5348</v>
      </c>
      <c r="J20" s="154">
        <f t="shared" si="0"/>
        <v>99.96261682242991</v>
      </c>
      <c r="L20" s="90"/>
    </row>
    <row r="21" spans="2:12" ht="12.75" customHeight="1">
      <c r="B21" s="14"/>
      <c r="C21" s="15"/>
      <c r="D21" s="15"/>
      <c r="E21" s="16">
        <v>613500</v>
      </c>
      <c r="F21" s="15" t="s">
        <v>88</v>
      </c>
      <c r="G21" s="45">
        <v>10000</v>
      </c>
      <c r="H21" s="84">
        <f>10000+810</f>
        <v>10810</v>
      </c>
      <c r="I21" s="84">
        <v>10805</v>
      </c>
      <c r="J21" s="154">
        <f t="shared" si="0"/>
        <v>99.95374653098983</v>
      </c>
      <c r="L21" s="90"/>
    </row>
    <row r="22" spans="2:12" ht="12.75" customHeight="1">
      <c r="B22" s="14"/>
      <c r="C22" s="15"/>
      <c r="D22" s="15"/>
      <c r="E22" s="16">
        <v>613600</v>
      </c>
      <c r="F22" s="26" t="s">
        <v>207</v>
      </c>
      <c r="G22" s="395">
        <v>0</v>
      </c>
      <c r="H22" s="45">
        <v>0</v>
      </c>
      <c r="I22" s="45">
        <v>0</v>
      </c>
      <c r="J22" s="154">
        <f t="shared" si="0"/>
      </c>
      <c r="L22" s="90"/>
    </row>
    <row r="23" spans="2:12" ht="12.75" customHeight="1">
      <c r="B23" s="14"/>
      <c r="C23" s="15"/>
      <c r="D23" s="15"/>
      <c r="E23" s="16">
        <v>613700</v>
      </c>
      <c r="F23" s="15" t="s">
        <v>89</v>
      </c>
      <c r="G23" s="45">
        <v>8000</v>
      </c>
      <c r="H23" s="45">
        <f>8000-890</f>
        <v>7110</v>
      </c>
      <c r="I23" s="45">
        <v>7107</v>
      </c>
      <c r="J23" s="154">
        <f t="shared" si="0"/>
        <v>99.957805907173</v>
      </c>
      <c r="L23" s="90"/>
    </row>
    <row r="24" spans="2:12" ht="12.75" customHeight="1">
      <c r="B24" s="14"/>
      <c r="C24" s="15"/>
      <c r="D24" s="15"/>
      <c r="E24" s="16">
        <v>613800</v>
      </c>
      <c r="F24" s="26" t="s">
        <v>171</v>
      </c>
      <c r="G24" s="395">
        <v>340</v>
      </c>
      <c r="H24" s="45">
        <v>340</v>
      </c>
      <c r="I24" s="45">
        <v>339</v>
      </c>
      <c r="J24" s="154">
        <f t="shared" si="0"/>
        <v>99.70588235294117</v>
      </c>
      <c r="L24" s="134"/>
    </row>
    <row r="25" spans="2:12" ht="12.75" customHeight="1">
      <c r="B25" s="14"/>
      <c r="C25" s="15"/>
      <c r="D25" s="15"/>
      <c r="E25" s="16">
        <v>613900</v>
      </c>
      <c r="F25" s="26" t="s">
        <v>172</v>
      </c>
      <c r="G25" s="395">
        <v>215400</v>
      </c>
      <c r="H25" s="84">
        <f>215400-390</f>
        <v>215010</v>
      </c>
      <c r="I25" s="84">
        <v>214371</v>
      </c>
      <c r="J25" s="154">
        <f t="shared" si="0"/>
        <v>99.70280452071997</v>
      </c>
      <c r="K25" s="91"/>
      <c r="L25" s="133"/>
    </row>
    <row r="26" spans="2:13" ht="12.75" customHeight="1">
      <c r="B26" s="14"/>
      <c r="C26" s="15"/>
      <c r="D26" s="15"/>
      <c r="E26" s="16">
        <v>613900</v>
      </c>
      <c r="F26" s="366" t="s">
        <v>668</v>
      </c>
      <c r="G26" s="110">
        <v>22700</v>
      </c>
      <c r="H26" s="45">
        <f>22700+230</f>
        <v>22930</v>
      </c>
      <c r="I26" s="45">
        <v>22929</v>
      </c>
      <c r="J26" s="154">
        <f t="shared" si="0"/>
        <v>99.99563890100305</v>
      </c>
      <c r="K26" s="290"/>
      <c r="L26" s="90"/>
      <c r="M26" s="83"/>
    </row>
    <row r="27" spans="2:12" ht="12.75" customHeight="1">
      <c r="B27" s="14"/>
      <c r="C27" s="15"/>
      <c r="D27" s="15"/>
      <c r="E27" s="16"/>
      <c r="F27" s="15"/>
      <c r="G27" s="45"/>
      <c r="H27" s="45"/>
      <c r="I27" s="45"/>
      <c r="J27" s="153">
        <f t="shared" si="0"/>
      </c>
      <c r="L27" s="90"/>
    </row>
    <row r="28" spans="2:12" ht="12.75" customHeight="1">
      <c r="B28" s="17"/>
      <c r="C28" s="12"/>
      <c r="D28" s="12"/>
      <c r="E28" s="9"/>
      <c r="F28" s="12"/>
      <c r="G28" s="20"/>
      <c r="H28" s="20"/>
      <c r="I28" s="20"/>
      <c r="J28" s="153">
        <f t="shared" si="0"/>
      </c>
      <c r="L28" s="90"/>
    </row>
    <row r="29" spans="2:12" s="1" customFormat="1" ht="12.75" customHeight="1">
      <c r="B29" s="14"/>
      <c r="C29" s="15"/>
      <c r="D29" s="15"/>
      <c r="E29" s="16"/>
      <c r="F29" s="26"/>
      <c r="G29" s="395"/>
      <c r="H29" s="45"/>
      <c r="I29" s="45"/>
      <c r="J29" s="154">
        <f t="shared" si="0"/>
      </c>
      <c r="L29" s="90"/>
    </row>
    <row r="30" spans="2:12" ht="12.75" customHeight="1">
      <c r="B30" s="14"/>
      <c r="C30" s="15"/>
      <c r="D30" s="15"/>
      <c r="E30" s="16"/>
      <c r="F30" s="26"/>
      <c r="G30" s="395"/>
      <c r="H30" s="45"/>
      <c r="I30" s="45"/>
      <c r="J30" s="153">
        <f t="shared" si="0"/>
      </c>
      <c r="L30" s="90"/>
    </row>
    <row r="31" spans="2:12" ht="12.75" customHeight="1">
      <c r="B31" s="14"/>
      <c r="C31" s="15"/>
      <c r="D31" s="15"/>
      <c r="E31" s="16"/>
      <c r="F31" s="15"/>
      <c r="G31" s="45"/>
      <c r="H31" s="45"/>
      <c r="I31" s="45"/>
      <c r="J31" s="153">
        <f t="shared" si="0"/>
      </c>
      <c r="L31" s="90"/>
    </row>
    <row r="32" spans="2:12" ht="12.75" customHeight="1">
      <c r="B32" s="14"/>
      <c r="C32" s="15"/>
      <c r="D32" s="15"/>
      <c r="E32" s="16"/>
      <c r="F32" s="15"/>
      <c r="G32" s="45"/>
      <c r="H32" s="45"/>
      <c r="I32" s="45"/>
      <c r="J32" s="153">
        <f t="shared" si="0"/>
      </c>
      <c r="L32" s="90"/>
    </row>
    <row r="33" spans="2:12" ht="12.75" customHeight="1">
      <c r="B33" s="14"/>
      <c r="C33" s="15"/>
      <c r="D33" s="15"/>
      <c r="E33" s="16"/>
      <c r="F33" s="15"/>
      <c r="G33" s="45"/>
      <c r="H33" s="45"/>
      <c r="I33" s="45"/>
      <c r="J33" s="153">
        <f t="shared" si="0"/>
      </c>
      <c r="L33" s="90"/>
    </row>
    <row r="34" spans="2:12" ht="12.75" customHeight="1">
      <c r="B34" s="14"/>
      <c r="C34" s="15"/>
      <c r="D34" s="15"/>
      <c r="E34" s="16"/>
      <c r="F34" s="19"/>
      <c r="G34" s="84"/>
      <c r="H34" s="45"/>
      <c r="I34" s="45"/>
      <c r="J34" s="153">
        <f t="shared" si="0"/>
      </c>
      <c r="L34" s="90"/>
    </row>
    <row r="35" spans="2:12" ht="12.75" customHeight="1">
      <c r="B35" s="14"/>
      <c r="C35" s="15"/>
      <c r="D35" s="15"/>
      <c r="E35" s="16"/>
      <c r="F35" s="15"/>
      <c r="G35" s="45"/>
      <c r="H35" s="45"/>
      <c r="I35" s="45"/>
      <c r="J35" s="153">
        <f t="shared" si="0"/>
      </c>
      <c r="L35" s="90"/>
    </row>
    <row r="36" spans="2:12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4000</v>
      </c>
      <c r="H36" s="20">
        <f>SUM(H37:H38)</f>
        <v>4000</v>
      </c>
      <c r="I36" s="20">
        <f>SUM(I37:I38)</f>
        <v>2086</v>
      </c>
      <c r="J36" s="153">
        <f t="shared" si="0"/>
        <v>52.15</v>
      </c>
      <c r="L36" s="90"/>
    </row>
    <row r="37" spans="2:12" s="1" customFormat="1" ht="12.75" customHeight="1">
      <c r="B37" s="14"/>
      <c r="C37" s="15"/>
      <c r="D37" s="15"/>
      <c r="E37" s="16">
        <v>821200</v>
      </c>
      <c r="F37" s="15" t="s">
        <v>93</v>
      </c>
      <c r="G37" s="45">
        <v>2000</v>
      </c>
      <c r="H37" s="84">
        <v>2000</v>
      </c>
      <c r="I37" s="84">
        <v>820</v>
      </c>
      <c r="J37" s="154">
        <f t="shared" si="0"/>
        <v>41</v>
      </c>
      <c r="L37" s="90"/>
    </row>
    <row r="38" spans="2:12" ht="12.75" customHeight="1">
      <c r="B38" s="14"/>
      <c r="C38" s="15"/>
      <c r="D38" s="15"/>
      <c r="E38" s="16">
        <v>821300</v>
      </c>
      <c r="F38" s="15" t="s">
        <v>94</v>
      </c>
      <c r="G38" s="45">
        <v>2000</v>
      </c>
      <c r="H38" s="84">
        <v>2000</v>
      </c>
      <c r="I38" s="84">
        <v>1266</v>
      </c>
      <c r="J38" s="154">
        <f t="shared" si="0"/>
        <v>63.3</v>
      </c>
      <c r="K38" s="83"/>
      <c r="L38" s="90"/>
    </row>
    <row r="39" spans="2:12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  <c r="L39" s="90"/>
    </row>
    <row r="40" spans="2:12" ht="12.75" customHeight="1">
      <c r="B40" s="14"/>
      <c r="C40" s="15"/>
      <c r="D40" s="15"/>
      <c r="E40" s="16"/>
      <c r="F40" s="15"/>
      <c r="G40" s="45"/>
      <c r="H40" s="45"/>
      <c r="I40" s="45"/>
      <c r="J40" s="154">
        <f t="shared" si="0"/>
      </c>
      <c r="L40" s="90"/>
    </row>
    <row r="41" spans="2:12" ht="12.75" customHeight="1">
      <c r="B41" s="17"/>
      <c r="C41" s="12"/>
      <c r="D41" s="12"/>
      <c r="E41" s="9"/>
      <c r="F41" s="12" t="s">
        <v>95</v>
      </c>
      <c r="G41" s="20">
        <v>15</v>
      </c>
      <c r="H41" s="109">
        <v>15</v>
      </c>
      <c r="I41" s="109">
        <v>15</v>
      </c>
      <c r="J41" s="154"/>
      <c r="L41" s="90"/>
    </row>
    <row r="42" spans="2:12" s="1" customFormat="1" ht="12.75" customHeight="1">
      <c r="B42" s="17"/>
      <c r="C42" s="12"/>
      <c r="D42" s="12"/>
      <c r="E42" s="9"/>
      <c r="F42" s="12" t="s">
        <v>116</v>
      </c>
      <c r="G42" s="20">
        <f>G7+G12+G16+G28+G36</f>
        <v>742740</v>
      </c>
      <c r="H42" s="20">
        <f>H7+H12+H16+H28+H36</f>
        <v>742740</v>
      </c>
      <c r="I42" s="20">
        <f>I7+I12+I16+I28+I36</f>
        <v>733163</v>
      </c>
      <c r="J42" s="153">
        <f t="shared" si="0"/>
        <v>98.71058513073216</v>
      </c>
      <c r="L42" s="90"/>
    </row>
    <row r="43" spans="2:10" s="1" customFormat="1" ht="12.75" customHeight="1">
      <c r="B43" s="17"/>
      <c r="C43" s="12"/>
      <c r="D43" s="12"/>
      <c r="E43" s="9"/>
      <c r="F43" s="12" t="s">
        <v>96</v>
      </c>
      <c r="G43" s="12"/>
      <c r="H43" s="20"/>
      <c r="I43" s="20"/>
      <c r="J43" s="156"/>
    </row>
    <row r="44" spans="2:10" s="1" customFormat="1" ht="12.75" customHeight="1">
      <c r="B44" s="17"/>
      <c r="C44" s="12"/>
      <c r="D44" s="12"/>
      <c r="E44" s="9"/>
      <c r="F44" s="12" t="s">
        <v>97</v>
      </c>
      <c r="G44" s="12"/>
      <c r="H44" s="20"/>
      <c r="I44" s="20"/>
      <c r="J44" s="156"/>
    </row>
    <row r="45" spans="2:10" s="1" customFormat="1" ht="12.75" customHeight="1" thickBot="1">
      <c r="B45" s="21"/>
      <c r="C45" s="22"/>
      <c r="D45" s="22"/>
      <c r="E45" s="23"/>
      <c r="F45" s="22"/>
      <c r="G45" s="36"/>
      <c r="H45" s="50"/>
      <c r="I45" s="47"/>
      <c r="J45" s="157"/>
    </row>
    <row r="46" ht="12.75" customHeight="1"/>
    <row r="47" ht="12.75">
      <c r="B47" s="83"/>
    </row>
  </sheetData>
  <sheetProtection/>
  <mergeCells count="2">
    <mergeCell ref="B2:J2"/>
    <mergeCell ref="F3:H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L47"/>
  <sheetViews>
    <sheetView workbookViewId="0" topLeftCell="A13">
      <selection activeCell="I41" sqref="I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121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>
        <v>10</v>
      </c>
      <c r="C6" s="11" t="s">
        <v>83</v>
      </c>
      <c r="D6" s="11" t="s">
        <v>122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40820</v>
      </c>
      <c r="H7" s="20">
        <f>SUM(H8:H11)</f>
        <v>40900</v>
      </c>
      <c r="I7" s="20">
        <f>SUM(I8:I11)</f>
        <v>40801</v>
      </c>
      <c r="J7" s="153">
        <f aca="true" t="shared" si="0" ref="J7:J44">IF(H7=0,"",I7/H7*100)</f>
        <v>99.75794621026894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30500</v>
      </c>
      <c r="H8" s="84">
        <f>30500+620</f>
        <v>31120</v>
      </c>
      <c r="I8" s="84">
        <v>31114</v>
      </c>
      <c r="J8" s="154">
        <f t="shared" si="0"/>
        <v>99.98071979434448</v>
      </c>
      <c r="K8" s="290"/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5">
        <v>10320</v>
      </c>
      <c r="H9" s="84">
        <f>9600+3*240-540</f>
        <v>9780</v>
      </c>
      <c r="I9" s="84">
        <v>9687</v>
      </c>
      <c r="J9" s="154">
        <f t="shared" si="0"/>
        <v>99.04907975460124</v>
      </c>
      <c r="K9" s="91"/>
    </row>
    <row r="10" spans="2:12" ht="12.75" customHeight="1">
      <c r="B10" s="14"/>
      <c r="C10" s="15"/>
      <c r="D10" s="15"/>
      <c r="E10" s="16">
        <v>611200</v>
      </c>
      <c r="F10" s="366" t="s">
        <v>669</v>
      </c>
      <c r="G10" s="110">
        <v>0</v>
      </c>
      <c r="H10" s="84">
        <v>0</v>
      </c>
      <c r="I10" s="84">
        <v>0</v>
      </c>
      <c r="J10" s="154">
        <f t="shared" si="0"/>
      </c>
      <c r="L10" s="90"/>
    </row>
    <row r="11" spans="2:10" ht="12.75" customHeight="1">
      <c r="B11" s="14"/>
      <c r="C11" s="15"/>
      <c r="D11" s="15"/>
      <c r="E11" s="16"/>
      <c r="F11" s="26"/>
      <c r="G11" s="395"/>
      <c r="H11" s="84"/>
      <c r="I11" s="84"/>
      <c r="J11" s="153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109"/>
      <c r="I12" s="109"/>
      <c r="J12" s="153">
        <f t="shared" si="0"/>
      </c>
    </row>
    <row r="13" spans="2:10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3400</v>
      </c>
      <c r="H13" s="109">
        <f>H14</f>
        <v>3320</v>
      </c>
      <c r="I13" s="109">
        <f>I14</f>
        <v>3311</v>
      </c>
      <c r="J13" s="153">
        <f t="shared" si="0"/>
        <v>99.7289156626506</v>
      </c>
    </row>
    <row r="14" spans="2:11" ht="12.75" customHeight="1">
      <c r="B14" s="14"/>
      <c r="C14" s="15"/>
      <c r="D14" s="15"/>
      <c r="E14" s="16">
        <v>612100</v>
      </c>
      <c r="F14" s="18" t="s">
        <v>85</v>
      </c>
      <c r="G14" s="46">
        <v>3400</v>
      </c>
      <c r="H14" s="84">
        <f>3400-80</f>
        <v>3320</v>
      </c>
      <c r="I14" s="84">
        <v>3311</v>
      </c>
      <c r="J14" s="154">
        <f t="shared" si="0"/>
        <v>99.7289156626506</v>
      </c>
      <c r="K14" s="91"/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3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51"/>
      <c r="I16" s="51"/>
      <c r="J16" s="153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1050</v>
      </c>
      <c r="H17" s="51">
        <f>SUM(H18:H27)</f>
        <v>1050</v>
      </c>
      <c r="I17" s="51">
        <f>SUM(I18:I27)</f>
        <v>991</v>
      </c>
      <c r="J17" s="153">
        <f t="shared" si="0"/>
        <v>94.38095238095238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500</v>
      </c>
      <c r="H18" s="45">
        <v>500</v>
      </c>
      <c r="I18" s="45">
        <v>487</v>
      </c>
      <c r="J18" s="154">
        <f t="shared" si="0"/>
        <v>97.39999999999999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0</v>
      </c>
      <c r="H20" s="45">
        <v>0</v>
      </c>
      <c r="I20" s="45">
        <v>0</v>
      </c>
      <c r="J20" s="154">
        <f t="shared" si="0"/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0</v>
      </c>
      <c r="H21" s="45">
        <v>0</v>
      </c>
      <c r="I21" s="45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0</v>
      </c>
      <c r="H24" s="45">
        <v>0</v>
      </c>
      <c r="I24" s="45">
        <v>0</v>
      </c>
      <c r="J24" s="154">
        <f t="shared" si="0"/>
      </c>
    </row>
    <row r="25" spans="2:10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172</v>
      </c>
      <c r="G26" s="45">
        <v>550</v>
      </c>
      <c r="H26" s="45">
        <v>550</v>
      </c>
      <c r="I26" s="45">
        <v>504</v>
      </c>
      <c r="J26" s="154">
        <f t="shared" si="0"/>
        <v>91.63636363636364</v>
      </c>
    </row>
    <row r="27" spans="2:10" ht="12.75" customHeight="1">
      <c r="B27" s="14"/>
      <c r="C27" s="15"/>
      <c r="D27" s="15"/>
      <c r="E27" s="16">
        <v>613900</v>
      </c>
      <c r="F27" s="366" t="s">
        <v>670</v>
      </c>
      <c r="G27" s="110">
        <v>0</v>
      </c>
      <c r="H27" s="46">
        <v>0</v>
      </c>
      <c r="I27" s="46">
        <v>0</v>
      </c>
      <c r="J27" s="154">
        <f t="shared" si="0"/>
      </c>
    </row>
    <row r="28" spans="2:10" s="1" customFormat="1" ht="12.75" customHeight="1">
      <c r="B28" s="17"/>
      <c r="C28" s="12"/>
      <c r="D28" s="12"/>
      <c r="E28" s="9"/>
      <c r="F28" s="12"/>
      <c r="G28" s="20"/>
      <c r="H28" s="45"/>
      <c r="I28" s="45"/>
      <c r="J28" s="153">
        <f t="shared" si="0"/>
      </c>
    </row>
    <row r="29" spans="2:10" ht="12.75" customHeight="1">
      <c r="B29" s="14"/>
      <c r="C29" s="15"/>
      <c r="D29" s="15"/>
      <c r="E29" s="16"/>
      <c r="F29" s="26"/>
      <c r="G29" s="395"/>
      <c r="H29" s="45"/>
      <c r="I29" s="45"/>
      <c r="J29" s="153">
        <f t="shared" si="0"/>
      </c>
    </row>
    <row r="30" spans="2:10" ht="12.75" customHeight="1">
      <c r="B30" s="14"/>
      <c r="C30" s="15"/>
      <c r="D30" s="15"/>
      <c r="E30" s="16"/>
      <c r="F30" s="15"/>
      <c r="G30" s="45"/>
      <c r="H30" s="45"/>
      <c r="I30" s="45"/>
      <c r="J30" s="153">
        <f t="shared" si="0"/>
      </c>
    </row>
    <row r="31" spans="2:10" ht="12.75" customHeight="1">
      <c r="B31" s="14"/>
      <c r="C31" s="15"/>
      <c r="D31" s="15"/>
      <c r="E31" s="16"/>
      <c r="F31" s="15"/>
      <c r="G31" s="45"/>
      <c r="H31" s="45"/>
      <c r="I31" s="45"/>
      <c r="J31" s="153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53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53">
        <f t="shared" si="0"/>
      </c>
    </row>
    <row r="34" spans="2:10" ht="12.75" customHeight="1">
      <c r="B34" s="14"/>
      <c r="C34" s="15"/>
      <c r="D34" s="15"/>
      <c r="E34" s="16"/>
      <c r="F34" s="19"/>
      <c r="G34" s="84"/>
      <c r="H34" s="45"/>
      <c r="I34" s="45"/>
      <c r="J34" s="153">
        <f t="shared" si="0"/>
      </c>
    </row>
    <row r="35" spans="2:10" ht="12.75" customHeight="1">
      <c r="B35" s="14"/>
      <c r="C35" s="15"/>
      <c r="D35" s="15"/>
      <c r="E35" s="16"/>
      <c r="F35" s="15"/>
      <c r="G35" s="45"/>
      <c r="H35" s="20"/>
      <c r="I35" s="20"/>
      <c r="J35" s="153">
        <f t="shared" si="0"/>
      </c>
    </row>
    <row r="36" spans="2:10" s="1" customFormat="1" ht="12.75" customHeight="1">
      <c r="B36" s="17"/>
      <c r="C36" s="12"/>
      <c r="D36" s="12"/>
      <c r="E36" s="9">
        <v>821000</v>
      </c>
      <c r="F36" s="12" t="s">
        <v>92</v>
      </c>
      <c r="G36" s="20">
        <f>SUM(G37:G38)</f>
        <v>0</v>
      </c>
      <c r="H36" s="20">
        <f>SUM(H37:H38)</f>
        <v>0</v>
      </c>
      <c r="I36" s="20">
        <f>SUM(I37:I38)</f>
        <v>0</v>
      </c>
      <c r="J36" s="153">
        <f t="shared" si="0"/>
      </c>
    </row>
    <row r="37" spans="2:10" ht="12.75" customHeight="1">
      <c r="B37" s="14"/>
      <c r="C37" s="15"/>
      <c r="D37" s="15"/>
      <c r="E37" s="16">
        <v>821200</v>
      </c>
      <c r="F37" s="15" t="s">
        <v>93</v>
      </c>
      <c r="G37" s="45">
        <v>0</v>
      </c>
      <c r="H37" s="84">
        <v>0</v>
      </c>
      <c r="I37" s="84">
        <v>0</v>
      </c>
      <c r="J37" s="154">
        <f t="shared" si="0"/>
      </c>
    </row>
    <row r="38" spans="2:10" ht="12.75" customHeight="1">
      <c r="B38" s="14"/>
      <c r="C38" s="15"/>
      <c r="D38" s="15"/>
      <c r="E38" s="16">
        <v>821300</v>
      </c>
      <c r="F38" s="15" t="s">
        <v>94</v>
      </c>
      <c r="G38" s="45">
        <v>0</v>
      </c>
      <c r="H38" s="45">
        <v>0</v>
      </c>
      <c r="I38" s="45">
        <v>0</v>
      </c>
      <c r="J38" s="154">
        <f t="shared" si="0"/>
      </c>
    </row>
    <row r="39" spans="2:10" ht="12.75" customHeight="1">
      <c r="B39" s="14"/>
      <c r="C39" s="15"/>
      <c r="D39" s="15"/>
      <c r="E39" s="16"/>
      <c r="F39" s="15"/>
      <c r="G39" s="45"/>
      <c r="H39" s="45"/>
      <c r="I39" s="45"/>
      <c r="J39" s="154">
        <f t="shared" si="0"/>
      </c>
    </row>
    <row r="40" spans="2:10" ht="12.75" customHeight="1">
      <c r="B40" s="14"/>
      <c r="C40" s="15"/>
      <c r="D40" s="15"/>
      <c r="E40" s="16"/>
      <c r="F40" s="15"/>
      <c r="G40" s="45"/>
      <c r="H40" s="20"/>
      <c r="I40" s="20"/>
      <c r="J40" s="154">
        <f t="shared" si="0"/>
      </c>
    </row>
    <row r="41" spans="2:10" s="1" customFormat="1" ht="12.75" customHeight="1">
      <c r="B41" s="17"/>
      <c r="C41" s="12"/>
      <c r="D41" s="12"/>
      <c r="E41" s="9"/>
      <c r="F41" s="12" t="s">
        <v>95</v>
      </c>
      <c r="G41" s="20">
        <v>3</v>
      </c>
      <c r="H41" s="20">
        <v>3</v>
      </c>
      <c r="I41" s="20">
        <v>3</v>
      </c>
      <c r="J41" s="154"/>
    </row>
    <row r="42" spans="2:10" s="1" customFormat="1" ht="12.75" customHeight="1">
      <c r="B42" s="17"/>
      <c r="C42" s="12"/>
      <c r="D42" s="12"/>
      <c r="E42" s="9"/>
      <c r="F42" s="12" t="s">
        <v>116</v>
      </c>
      <c r="G42" s="20">
        <f>G7+G13+G17+G36</f>
        <v>45270</v>
      </c>
      <c r="H42" s="20">
        <f>H7+H13+H17+H36</f>
        <v>45270</v>
      </c>
      <c r="I42" s="20">
        <f>I7+I13+I17+I36</f>
        <v>45103</v>
      </c>
      <c r="J42" s="153">
        <f t="shared" si="0"/>
        <v>99.63110227523745</v>
      </c>
    </row>
    <row r="43" spans="2:10" s="1" customFormat="1" ht="12.75" customHeight="1">
      <c r="B43" s="17"/>
      <c r="C43" s="12"/>
      <c r="D43" s="12"/>
      <c r="E43" s="9"/>
      <c r="F43" s="12" t="s">
        <v>96</v>
      </c>
      <c r="G43" s="20">
        <f>G42+1!G42</f>
        <v>788010</v>
      </c>
      <c r="H43" s="20">
        <f>H42+1!H42</f>
        <v>788010</v>
      </c>
      <c r="I43" s="20">
        <f>I42+1!I42</f>
        <v>778266</v>
      </c>
      <c r="J43" s="153">
        <f t="shared" si="0"/>
        <v>98.76346746868695</v>
      </c>
    </row>
    <row r="44" spans="2:10" s="1" customFormat="1" ht="12.75" customHeight="1">
      <c r="B44" s="17"/>
      <c r="C44" s="12"/>
      <c r="D44" s="12"/>
      <c r="E44" s="9"/>
      <c r="F44" s="12" t="s">
        <v>97</v>
      </c>
      <c r="G44" s="20">
        <f>G43+1!G43</f>
        <v>788010</v>
      </c>
      <c r="H44" s="20">
        <f>H43+1!H43</f>
        <v>788010</v>
      </c>
      <c r="I44" s="20">
        <f>I43+1!I43</f>
        <v>778266</v>
      </c>
      <c r="J44" s="153">
        <f t="shared" si="0"/>
        <v>98.76346746868695</v>
      </c>
    </row>
    <row r="45" spans="2:10" ht="12.75" customHeight="1" thickBot="1">
      <c r="B45" s="21"/>
      <c r="C45" s="22"/>
      <c r="D45" s="22"/>
      <c r="E45" s="23"/>
      <c r="F45" s="22"/>
      <c r="G45" s="36"/>
      <c r="H45" s="50"/>
      <c r="I45" s="22"/>
      <c r="J45" s="157"/>
    </row>
    <row r="47" ht="12.75">
      <c r="B47" s="83"/>
    </row>
  </sheetData>
  <sheetProtection/>
  <mergeCells count="2">
    <mergeCell ref="B2:I2"/>
    <mergeCell ref="F3:H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77" r:id="rId1"/>
  <headerFooter alignWithMargins="0"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N62"/>
  <sheetViews>
    <sheetView workbookViewId="0" topLeftCell="B17">
      <selection activeCell="G36" sqref="G3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ht="15" customHeight="1">
      <c r="B2" s="452" t="s">
        <v>123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84</v>
      </c>
      <c r="E6" s="9"/>
      <c r="F6" s="9"/>
      <c r="G6" s="9"/>
      <c r="H6" s="9"/>
      <c r="I6" s="162"/>
      <c r="J6" s="152"/>
    </row>
    <row r="7" spans="2:10" s="2" customFormat="1" ht="12.75" customHeight="1">
      <c r="B7" s="10"/>
      <c r="C7" s="11"/>
      <c r="D7" s="11"/>
      <c r="E7" s="9">
        <v>600000</v>
      </c>
      <c r="F7" s="27" t="s">
        <v>125</v>
      </c>
      <c r="G7" s="398">
        <f>SUM(G8:G10)</f>
        <v>945000</v>
      </c>
      <c r="H7" s="163">
        <f>H8+H9+H10</f>
        <v>945000</v>
      </c>
      <c r="I7" s="163">
        <f>I8+I9+I10</f>
        <v>944916</v>
      </c>
      <c r="J7" s="201">
        <f aca="true" t="shared" si="0" ref="J7:J56">IF(H7=0,"",I7/H7*100)</f>
        <v>99.99111111111111</v>
      </c>
    </row>
    <row r="8" spans="2:10" s="2" customFormat="1" ht="12.75" customHeight="1">
      <c r="B8" s="10"/>
      <c r="C8" s="11"/>
      <c r="D8" s="11"/>
      <c r="E8" s="58">
        <v>600000</v>
      </c>
      <c r="F8" s="59" t="s">
        <v>99</v>
      </c>
      <c r="G8" s="397">
        <v>900000</v>
      </c>
      <c r="H8" s="161">
        <v>900000</v>
      </c>
      <c r="I8" s="161">
        <v>899916</v>
      </c>
      <c r="J8" s="154">
        <f t="shared" si="0"/>
        <v>99.99066666666667</v>
      </c>
    </row>
    <row r="9" spans="2:10" s="2" customFormat="1" ht="12.75" customHeight="1">
      <c r="B9" s="10"/>
      <c r="C9" s="11"/>
      <c r="D9" s="11"/>
      <c r="E9" s="58">
        <v>600000</v>
      </c>
      <c r="F9" s="59" t="s">
        <v>100</v>
      </c>
      <c r="G9" s="397">
        <v>30000</v>
      </c>
      <c r="H9" s="161">
        <v>30000</v>
      </c>
      <c r="I9" s="161">
        <v>30000</v>
      </c>
      <c r="J9" s="154">
        <f t="shared" si="0"/>
        <v>100</v>
      </c>
    </row>
    <row r="10" spans="2:10" s="2" customFormat="1" ht="12.75" customHeight="1">
      <c r="B10" s="10"/>
      <c r="C10" s="11"/>
      <c r="D10" s="11"/>
      <c r="E10" s="58">
        <v>600000</v>
      </c>
      <c r="F10" s="59" t="s">
        <v>126</v>
      </c>
      <c r="G10" s="397">
        <v>15000</v>
      </c>
      <c r="H10" s="161">
        <v>15000</v>
      </c>
      <c r="I10" s="161">
        <v>15000</v>
      </c>
      <c r="J10" s="154">
        <f t="shared" si="0"/>
        <v>100</v>
      </c>
    </row>
    <row r="11" spans="2:10" s="2" customFormat="1" ht="12.75" customHeight="1">
      <c r="B11" s="10"/>
      <c r="C11" s="11"/>
      <c r="D11" s="11"/>
      <c r="E11" s="9"/>
      <c r="F11" s="9"/>
      <c r="G11" s="398"/>
      <c r="H11" s="164"/>
      <c r="I11" s="164"/>
      <c r="J11" s="154">
        <f t="shared" si="0"/>
      </c>
    </row>
    <row r="12" spans="2:10" s="1" customFormat="1" ht="12.75" customHeight="1">
      <c r="B12" s="17"/>
      <c r="C12" s="12"/>
      <c r="D12" s="12"/>
      <c r="E12" s="9">
        <v>611000</v>
      </c>
      <c r="F12" s="12" t="s">
        <v>168</v>
      </c>
      <c r="G12" s="398">
        <f>SUM(G13:G15)</f>
        <v>136800</v>
      </c>
      <c r="H12" s="164">
        <f>SUM(H13:H16)</f>
        <v>136800</v>
      </c>
      <c r="I12" s="164">
        <f>SUM(I13:I16)</f>
        <v>133071</v>
      </c>
      <c r="J12" s="201">
        <f t="shared" si="0"/>
        <v>97.27412280701755</v>
      </c>
    </row>
    <row r="13" spans="2:10" ht="12.75" customHeight="1">
      <c r="B13" s="14"/>
      <c r="C13" s="15"/>
      <c r="D13" s="15"/>
      <c r="E13" s="16">
        <v>611100</v>
      </c>
      <c r="F13" s="26" t="s">
        <v>204</v>
      </c>
      <c r="G13" s="399">
        <v>109100</v>
      </c>
      <c r="H13" s="158">
        <v>109100</v>
      </c>
      <c r="I13" s="158">
        <v>108004</v>
      </c>
      <c r="J13" s="154">
        <f t="shared" si="0"/>
        <v>98.99541704857928</v>
      </c>
    </row>
    <row r="14" spans="2:11" ht="12.75" customHeight="1">
      <c r="B14" s="14"/>
      <c r="C14" s="15"/>
      <c r="D14" s="15"/>
      <c r="E14" s="16">
        <v>611200</v>
      </c>
      <c r="F14" s="15" t="s">
        <v>205</v>
      </c>
      <c r="G14" s="400">
        <v>24300</v>
      </c>
      <c r="H14" s="158">
        <f>23100+5*240</f>
        <v>24300</v>
      </c>
      <c r="I14" s="158">
        <v>21819</v>
      </c>
      <c r="J14" s="154">
        <f t="shared" si="0"/>
        <v>89.79012345679013</v>
      </c>
      <c r="K14" s="91"/>
    </row>
    <row r="15" spans="2:12" ht="12.75" customHeight="1">
      <c r="B15" s="14"/>
      <c r="C15" s="15"/>
      <c r="D15" s="15"/>
      <c r="E15" s="16">
        <v>611200</v>
      </c>
      <c r="F15" s="366" t="s">
        <v>665</v>
      </c>
      <c r="G15" s="401">
        <v>3400</v>
      </c>
      <c r="H15" s="161">
        <v>3400</v>
      </c>
      <c r="I15" s="161">
        <v>3248</v>
      </c>
      <c r="J15" s="154">
        <f t="shared" si="0"/>
        <v>95.52941176470588</v>
      </c>
      <c r="L15" s="90"/>
    </row>
    <row r="16" spans="2:10" ht="12.75" customHeight="1">
      <c r="B16" s="14"/>
      <c r="C16" s="15"/>
      <c r="D16" s="15"/>
      <c r="E16" s="16"/>
      <c r="F16" s="26"/>
      <c r="G16" s="399"/>
      <c r="H16" s="159"/>
      <c r="I16" s="159"/>
      <c r="J16" s="154">
        <f t="shared" si="0"/>
      </c>
    </row>
    <row r="17" spans="2:10" ht="12.75" customHeight="1">
      <c r="B17" s="14"/>
      <c r="C17" s="15"/>
      <c r="D17" s="15"/>
      <c r="E17" s="16"/>
      <c r="F17" s="15"/>
      <c r="G17" s="400"/>
      <c r="H17" s="158"/>
      <c r="I17" s="158"/>
      <c r="J17" s="154">
        <f t="shared" si="0"/>
      </c>
    </row>
    <row r="18" spans="2:10" s="1" customFormat="1" ht="12.75" customHeight="1">
      <c r="B18" s="17"/>
      <c r="C18" s="12"/>
      <c r="D18" s="12"/>
      <c r="E18" s="9">
        <v>612000</v>
      </c>
      <c r="F18" s="12" t="s">
        <v>167</v>
      </c>
      <c r="G18" s="398">
        <f>G19</f>
        <v>11900</v>
      </c>
      <c r="H18" s="164">
        <f>H19+H20</f>
        <v>11900</v>
      </c>
      <c r="I18" s="164">
        <f>I19+I20</f>
        <v>11409</v>
      </c>
      <c r="J18" s="201">
        <f t="shared" si="0"/>
        <v>95.87394957983193</v>
      </c>
    </row>
    <row r="19" spans="2:10" ht="12.75" customHeight="1">
      <c r="B19" s="14"/>
      <c r="C19" s="15"/>
      <c r="D19" s="15"/>
      <c r="E19" s="16">
        <v>612100</v>
      </c>
      <c r="F19" s="18" t="s">
        <v>85</v>
      </c>
      <c r="G19" s="397">
        <v>11900</v>
      </c>
      <c r="H19" s="158">
        <v>11900</v>
      </c>
      <c r="I19" s="158">
        <v>11409</v>
      </c>
      <c r="J19" s="154">
        <f t="shared" si="0"/>
        <v>95.87394957983193</v>
      </c>
    </row>
    <row r="20" spans="2:10" ht="12.75" customHeight="1">
      <c r="B20" s="14"/>
      <c r="C20" s="15"/>
      <c r="D20" s="15"/>
      <c r="E20" s="16"/>
      <c r="F20" s="15"/>
      <c r="G20" s="400"/>
      <c r="H20" s="158"/>
      <c r="I20" s="158"/>
      <c r="J20" s="154">
        <f t="shared" si="0"/>
      </c>
    </row>
    <row r="21" spans="2:10" ht="12.75" customHeight="1">
      <c r="B21" s="14"/>
      <c r="C21" s="15"/>
      <c r="D21" s="15"/>
      <c r="E21" s="16"/>
      <c r="F21" s="15"/>
      <c r="G21" s="400"/>
      <c r="H21" s="158"/>
      <c r="I21" s="158"/>
      <c r="J21" s="154">
        <f t="shared" si="0"/>
      </c>
    </row>
    <row r="22" spans="2:10" s="1" customFormat="1" ht="12.75" customHeight="1">
      <c r="B22" s="17"/>
      <c r="C22" s="12"/>
      <c r="D22" s="12"/>
      <c r="E22" s="9">
        <v>613000</v>
      </c>
      <c r="F22" s="12" t="s">
        <v>169</v>
      </c>
      <c r="G22" s="398">
        <f>SUM(G23:G33)</f>
        <v>209500</v>
      </c>
      <c r="H22" s="159">
        <f>SUM(H23:H33)</f>
        <v>211700</v>
      </c>
      <c r="I22" s="159">
        <f>SUM(I23:I33)</f>
        <v>211316</v>
      </c>
      <c r="J22" s="201">
        <f t="shared" si="0"/>
        <v>99.81861124232404</v>
      </c>
    </row>
    <row r="23" spans="2:11" ht="12.75" customHeight="1">
      <c r="B23" s="14"/>
      <c r="C23" s="15"/>
      <c r="D23" s="15"/>
      <c r="E23" s="16">
        <v>613100</v>
      </c>
      <c r="F23" s="15" t="s">
        <v>86</v>
      </c>
      <c r="G23" s="400">
        <v>14000</v>
      </c>
      <c r="H23" s="158">
        <f>14000-1010</f>
        <v>12990</v>
      </c>
      <c r="I23" s="158">
        <v>12982</v>
      </c>
      <c r="J23" s="154">
        <f t="shared" si="0"/>
        <v>99.93841416474211</v>
      </c>
      <c r="K23" s="91"/>
    </row>
    <row r="24" spans="2:14" ht="12.75" customHeight="1">
      <c r="B24" s="14"/>
      <c r="C24" s="15"/>
      <c r="D24" s="15"/>
      <c r="E24" s="16">
        <v>613200</v>
      </c>
      <c r="F24" s="15" t="s">
        <v>87</v>
      </c>
      <c r="G24" s="400">
        <v>0</v>
      </c>
      <c r="H24" s="158">
        <v>0</v>
      </c>
      <c r="I24" s="158">
        <v>0</v>
      </c>
      <c r="J24" s="154">
        <f t="shared" si="0"/>
      </c>
      <c r="K24" s="91"/>
      <c r="N24" s="91"/>
    </row>
    <row r="25" spans="2:11" ht="12.75" customHeight="1">
      <c r="B25" s="14"/>
      <c r="C25" s="15"/>
      <c r="D25" s="15"/>
      <c r="E25" s="16">
        <v>613300</v>
      </c>
      <c r="F25" s="26" t="s">
        <v>206</v>
      </c>
      <c r="G25" s="399">
        <v>5500</v>
      </c>
      <c r="H25" s="158">
        <f>5500-620</f>
        <v>4880</v>
      </c>
      <c r="I25" s="158">
        <v>4715</v>
      </c>
      <c r="J25" s="154">
        <f t="shared" si="0"/>
        <v>96.6188524590164</v>
      </c>
      <c r="K25" s="91"/>
    </row>
    <row r="26" spans="2:11" ht="12.75" customHeight="1">
      <c r="B26" s="14"/>
      <c r="C26" s="15"/>
      <c r="D26" s="15"/>
      <c r="E26" s="16">
        <v>613400</v>
      </c>
      <c r="F26" s="15" t="s">
        <v>170</v>
      </c>
      <c r="G26" s="400">
        <v>1500</v>
      </c>
      <c r="H26" s="158">
        <f>1500-880</f>
        <v>620</v>
      </c>
      <c r="I26" s="158">
        <v>619</v>
      </c>
      <c r="J26" s="154">
        <f t="shared" si="0"/>
        <v>99.83870967741936</v>
      </c>
      <c r="K26" s="91"/>
    </row>
    <row r="27" spans="2:11" ht="12.75" customHeight="1">
      <c r="B27" s="14"/>
      <c r="C27" s="15"/>
      <c r="D27" s="15"/>
      <c r="E27" s="16">
        <v>613500</v>
      </c>
      <c r="F27" s="15" t="s">
        <v>88</v>
      </c>
      <c r="G27" s="400">
        <v>1500</v>
      </c>
      <c r="H27" s="160">
        <f>1500</f>
        <v>1500</v>
      </c>
      <c r="I27" s="160">
        <v>1500</v>
      </c>
      <c r="J27" s="154">
        <f t="shared" si="0"/>
        <v>100</v>
      </c>
      <c r="K27" s="91"/>
    </row>
    <row r="28" spans="2:11" ht="12.75" customHeight="1">
      <c r="B28" s="14"/>
      <c r="C28" s="15"/>
      <c r="D28" s="15"/>
      <c r="E28" s="16">
        <v>613600</v>
      </c>
      <c r="F28" s="26" t="s">
        <v>207</v>
      </c>
      <c r="G28" s="399">
        <v>0</v>
      </c>
      <c r="H28" s="158">
        <v>0</v>
      </c>
      <c r="I28" s="158">
        <v>0</v>
      </c>
      <c r="J28" s="154">
        <f t="shared" si="0"/>
      </c>
      <c r="K28" s="91"/>
    </row>
    <row r="29" spans="2:11" ht="12.75" customHeight="1">
      <c r="B29" s="14"/>
      <c r="C29" s="15"/>
      <c r="D29" s="15"/>
      <c r="E29" s="16">
        <v>613700</v>
      </c>
      <c r="F29" s="15" t="s">
        <v>89</v>
      </c>
      <c r="G29" s="400">
        <v>7000</v>
      </c>
      <c r="H29" s="158">
        <f>7000-1620</f>
        <v>5380</v>
      </c>
      <c r="I29" s="158">
        <v>5374</v>
      </c>
      <c r="J29" s="154">
        <f t="shared" si="0"/>
        <v>99.88847583643123</v>
      </c>
      <c r="K29" s="91"/>
    </row>
    <row r="30" spans="2:11" ht="12.75" customHeight="1">
      <c r="B30" s="14"/>
      <c r="C30" s="15"/>
      <c r="D30" s="15"/>
      <c r="E30" s="16">
        <v>613800</v>
      </c>
      <c r="F30" s="15" t="s">
        <v>171</v>
      </c>
      <c r="G30" s="400">
        <v>2600</v>
      </c>
      <c r="H30" s="161">
        <f>2600-180</f>
        <v>2420</v>
      </c>
      <c r="I30" s="161">
        <v>2416</v>
      </c>
      <c r="J30" s="154">
        <f t="shared" si="0"/>
        <v>99.83471074380165</v>
      </c>
      <c r="K30" s="91"/>
    </row>
    <row r="31" spans="2:13" ht="12.75" customHeight="1">
      <c r="B31" s="14"/>
      <c r="C31" s="15"/>
      <c r="D31" s="15"/>
      <c r="E31" s="120">
        <v>613900</v>
      </c>
      <c r="F31" s="19" t="s">
        <v>172</v>
      </c>
      <c r="G31" s="402">
        <v>138100</v>
      </c>
      <c r="H31" s="161">
        <f>138100+11060+80</f>
        <v>149240</v>
      </c>
      <c r="I31" s="161">
        <v>149236</v>
      </c>
      <c r="J31" s="154">
        <f t="shared" si="0"/>
        <v>99.99731975341732</v>
      </c>
      <c r="K31" s="393"/>
      <c r="L31" s="91"/>
      <c r="M31" s="91"/>
    </row>
    <row r="32" spans="2:12" ht="12.75" customHeight="1">
      <c r="B32" s="14"/>
      <c r="C32" s="15"/>
      <c r="D32" s="15"/>
      <c r="E32" s="16">
        <v>613900</v>
      </c>
      <c r="F32" s="26" t="s">
        <v>213</v>
      </c>
      <c r="G32" s="399">
        <v>36000</v>
      </c>
      <c r="H32" s="161">
        <f>36000-4550-80</f>
        <v>31370</v>
      </c>
      <c r="I32" s="161">
        <v>31207</v>
      </c>
      <c r="J32" s="154">
        <f t="shared" si="0"/>
        <v>99.48039528211667</v>
      </c>
      <c r="K32" s="95"/>
      <c r="L32" s="91"/>
    </row>
    <row r="33" spans="2:11" ht="12.75" customHeight="1">
      <c r="B33" s="14"/>
      <c r="C33" s="15"/>
      <c r="D33" s="15"/>
      <c r="E33" s="16">
        <v>613900</v>
      </c>
      <c r="F33" s="319" t="s">
        <v>666</v>
      </c>
      <c r="G33" s="403">
        <v>3300</v>
      </c>
      <c r="H33" s="158">
        <v>3300</v>
      </c>
      <c r="I33" s="158">
        <v>3267</v>
      </c>
      <c r="J33" s="154">
        <f t="shared" si="0"/>
        <v>99</v>
      </c>
      <c r="K33" s="95"/>
    </row>
    <row r="34" spans="2:10" ht="12.75" customHeight="1">
      <c r="B34" s="14"/>
      <c r="C34" s="15"/>
      <c r="D34" s="15"/>
      <c r="E34" s="16"/>
      <c r="F34" s="15"/>
      <c r="G34" s="400"/>
      <c r="H34" s="158"/>
      <c r="I34" s="158"/>
      <c r="J34" s="154">
        <f t="shared" si="0"/>
      </c>
    </row>
    <row r="35" spans="2:10" s="1" customFormat="1" ht="12.75" customHeight="1">
      <c r="B35" s="17"/>
      <c r="C35" s="12"/>
      <c r="D35" s="12"/>
      <c r="E35" s="9">
        <v>614000</v>
      </c>
      <c r="F35" s="12" t="s">
        <v>208</v>
      </c>
      <c r="G35" s="398">
        <f>SUM(G36:G45)</f>
        <v>950000</v>
      </c>
      <c r="H35" s="164">
        <f>SUM(H36:H45)</f>
        <v>950000</v>
      </c>
      <c r="I35" s="164">
        <f>SUM(I36:I45)</f>
        <v>945825</v>
      </c>
      <c r="J35" s="201">
        <f t="shared" si="0"/>
        <v>99.56052631578947</v>
      </c>
    </row>
    <row r="36" spans="2:10" s="96" customFormat="1" ht="12.75" customHeight="1">
      <c r="B36" s="97"/>
      <c r="C36" s="18"/>
      <c r="D36" s="18"/>
      <c r="E36" s="58">
        <v>614100</v>
      </c>
      <c r="F36" s="18" t="s">
        <v>329</v>
      </c>
      <c r="G36" s="397">
        <v>290000</v>
      </c>
      <c r="H36" s="160">
        <v>290000</v>
      </c>
      <c r="I36" s="160">
        <v>290000</v>
      </c>
      <c r="J36" s="154">
        <f t="shared" si="0"/>
        <v>100</v>
      </c>
    </row>
    <row r="37" spans="2:10" s="96" customFormat="1" ht="12.75" customHeight="1">
      <c r="B37" s="97"/>
      <c r="C37" s="18"/>
      <c r="D37" s="18"/>
      <c r="E37" s="58">
        <v>614100</v>
      </c>
      <c r="F37" s="117" t="s">
        <v>330</v>
      </c>
      <c r="G37" s="404">
        <v>200000</v>
      </c>
      <c r="H37" s="160">
        <v>200000</v>
      </c>
      <c r="I37" s="160">
        <v>200000</v>
      </c>
      <c r="J37" s="154">
        <f t="shared" si="0"/>
        <v>100</v>
      </c>
    </row>
    <row r="38" spans="2:14" s="199" customFormat="1" ht="26.25" customHeight="1">
      <c r="B38" s="194"/>
      <c r="C38" s="195"/>
      <c r="D38" s="195"/>
      <c r="E38" s="196">
        <v>614200</v>
      </c>
      <c r="F38" s="197" t="s">
        <v>331</v>
      </c>
      <c r="G38" s="405">
        <v>100000</v>
      </c>
      <c r="H38" s="198">
        <v>100000</v>
      </c>
      <c r="I38" s="198">
        <v>95825</v>
      </c>
      <c r="J38" s="154">
        <f t="shared" si="0"/>
        <v>95.825</v>
      </c>
      <c r="N38" s="200"/>
    </row>
    <row r="39" spans="2:10" ht="12.75" customHeight="1">
      <c r="B39" s="14"/>
      <c r="C39" s="15"/>
      <c r="D39" s="15"/>
      <c r="E39" s="16">
        <v>614300</v>
      </c>
      <c r="F39" s="29" t="s">
        <v>111</v>
      </c>
      <c r="G39" s="406">
        <v>105000</v>
      </c>
      <c r="H39" s="165">
        <v>105000</v>
      </c>
      <c r="I39" s="165">
        <v>105000</v>
      </c>
      <c r="J39" s="154">
        <f t="shared" si="0"/>
        <v>100</v>
      </c>
    </row>
    <row r="40" spans="2:10" ht="12.75" customHeight="1">
      <c r="B40" s="14"/>
      <c r="C40" s="15"/>
      <c r="D40" s="15"/>
      <c r="E40" s="16">
        <v>614300</v>
      </c>
      <c r="F40" s="111" t="s">
        <v>229</v>
      </c>
      <c r="G40" s="407">
        <v>30000</v>
      </c>
      <c r="H40" s="165">
        <v>30000</v>
      </c>
      <c r="I40" s="165">
        <v>30000</v>
      </c>
      <c r="J40" s="154">
        <f t="shared" si="0"/>
        <v>100</v>
      </c>
    </row>
    <row r="41" spans="2:10" ht="12.75" customHeight="1">
      <c r="B41" s="14"/>
      <c r="C41" s="15"/>
      <c r="D41" s="15"/>
      <c r="E41" s="16">
        <v>614300</v>
      </c>
      <c r="F41" s="111" t="s">
        <v>315</v>
      </c>
      <c r="G41" s="407">
        <v>15000</v>
      </c>
      <c r="H41" s="165">
        <v>15000</v>
      </c>
      <c r="I41" s="165">
        <v>15000</v>
      </c>
      <c r="J41" s="154">
        <f t="shared" si="0"/>
        <v>100</v>
      </c>
    </row>
    <row r="42" spans="2:10" ht="12.75" customHeight="1">
      <c r="B42" s="14"/>
      <c r="C42" s="15"/>
      <c r="D42" s="15"/>
      <c r="E42" s="16">
        <v>614300</v>
      </c>
      <c r="F42" s="111" t="s">
        <v>326</v>
      </c>
      <c r="G42" s="404">
        <v>15000</v>
      </c>
      <c r="H42" s="165">
        <v>15000</v>
      </c>
      <c r="I42" s="165">
        <v>15000</v>
      </c>
      <c r="J42" s="154">
        <f t="shared" si="0"/>
        <v>100</v>
      </c>
    </row>
    <row r="43" spans="2:10" ht="24.75" customHeight="1">
      <c r="B43" s="14"/>
      <c r="C43" s="15"/>
      <c r="D43" s="15"/>
      <c r="E43" s="16">
        <v>614300</v>
      </c>
      <c r="F43" s="320" t="s">
        <v>626</v>
      </c>
      <c r="G43" s="408">
        <v>5000</v>
      </c>
      <c r="H43" s="165">
        <v>5000</v>
      </c>
      <c r="I43" s="165">
        <v>5000</v>
      </c>
      <c r="J43" s="154">
        <f t="shared" si="0"/>
        <v>100</v>
      </c>
    </row>
    <row r="44" spans="2:10" ht="12.75" customHeight="1">
      <c r="B44" s="14"/>
      <c r="C44" s="15"/>
      <c r="D44" s="15"/>
      <c r="E44" s="16">
        <v>614300</v>
      </c>
      <c r="F44" s="111" t="s">
        <v>231</v>
      </c>
      <c r="G44" s="409">
        <v>30000</v>
      </c>
      <c r="H44" s="165">
        <v>30000</v>
      </c>
      <c r="I44" s="165">
        <v>30000</v>
      </c>
      <c r="J44" s="154">
        <f t="shared" si="0"/>
        <v>100</v>
      </c>
    </row>
    <row r="45" spans="2:10" ht="12.75" customHeight="1">
      <c r="B45" s="14"/>
      <c r="C45" s="15"/>
      <c r="D45" s="15"/>
      <c r="E45" s="16">
        <v>614300</v>
      </c>
      <c r="F45" s="319" t="s">
        <v>98</v>
      </c>
      <c r="G45" s="410">
        <v>160000</v>
      </c>
      <c r="H45" s="165">
        <v>160000</v>
      </c>
      <c r="I45" s="165">
        <v>160000</v>
      </c>
      <c r="J45" s="154">
        <f t="shared" si="0"/>
        <v>100</v>
      </c>
    </row>
    <row r="46" spans="2:10" ht="12.75" customHeight="1">
      <c r="B46" s="14"/>
      <c r="C46" s="15"/>
      <c r="D46" s="15"/>
      <c r="E46" s="16"/>
      <c r="F46" s="111"/>
      <c r="G46" s="409"/>
      <c r="H46" s="165"/>
      <c r="I46" s="165"/>
      <c r="J46" s="154">
        <f t="shared" si="0"/>
      </c>
    </row>
    <row r="47" spans="2:10" ht="12.75" customHeight="1">
      <c r="B47" s="14"/>
      <c r="C47" s="15"/>
      <c r="D47" s="15"/>
      <c r="E47" s="9">
        <v>615000</v>
      </c>
      <c r="F47" s="12" t="s">
        <v>91</v>
      </c>
      <c r="G47" s="398">
        <f>G48</f>
        <v>500000</v>
      </c>
      <c r="H47" s="164">
        <f>H48</f>
        <v>500000</v>
      </c>
      <c r="I47" s="164">
        <f>I48</f>
        <v>500000</v>
      </c>
      <c r="J47" s="201">
        <f t="shared" si="0"/>
        <v>100</v>
      </c>
    </row>
    <row r="48" spans="2:10" ht="12.75" customHeight="1">
      <c r="B48" s="14"/>
      <c r="C48" s="15"/>
      <c r="D48" s="15"/>
      <c r="E48" s="58">
        <v>615100</v>
      </c>
      <c r="F48" s="18" t="s">
        <v>91</v>
      </c>
      <c r="G48" s="397">
        <v>500000</v>
      </c>
      <c r="H48" s="160">
        <v>500000</v>
      </c>
      <c r="I48" s="160">
        <v>500000</v>
      </c>
      <c r="J48" s="154">
        <f t="shared" si="0"/>
        <v>100</v>
      </c>
    </row>
    <row r="49" spans="2:10" ht="12.75" customHeight="1">
      <c r="B49" s="14"/>
      <c r="C49" s="15"/>
      <c r="D49" s="15"/>
      <c r="E49" s="16"/>
      <c r="F49" s="19"/>
      <c r="G49" s="402"/>
      <c r="H49" s="161"/>
      <c r="I49" s="161"/>
      <c r="J49" s="154">
        <f t="shared" si="0"/>
      </c>
    </row>
    <row r="50" spans="2:10" ht="12.75" customHeight="1">
      <c r="B50" s="17"/>
      <c r="C50" s="12"/>
      <c r="D50" s="12"/>
      <c r="E50" s="9">
        <v>821000</v>
      </c>
      <c r="F50" s="12" t="s">
        <v>92</v>
      </c>
      <c r="G50" s="25">
        <f>SUM(G51:G53)</f>
        <v>354830</v>
      </c>
      <c r="H50" s="20">
        <f>SUM(H51:H53)</f>
        <v>354830</v>
      </c>
      <c r="I50" s="20">
        <f>SUM(I51:I53)</f>
        <v>254766</v>
      </c>
      <c r="J50" s="201">
        <f t="shared" si="0"/>
        <v>71.79945325930728</v>
      </c>
    </row>
    <row r="51" spans="2:10" ht="12.75" customHeight="1">
      <c r="B51" s="14"/>
      <c r="C51" s="15"/>
      <c r="D51" s="15"/>
      <c r="E51" s="16">
        <v>821200</v>
      </c>
      <c r="F51" s="15" t="s">
        <v>93</v>
      </c>
      <c r="G51" s="411">
        <v>8800</v>
      </c>
      <c r="H51" s="45">
        <f>8800-900</f>
        <v>7900</v>
      </c>
      <c r="I51" s="45">
        <v>6570</v>
      </c>
      <c r="J51" s="154">
        <f t="shared" si="0"/>
        <v>83.16455696202532</v>
      </c>
    </row>
    <row r="52" spans="2:10" ht="12.75" customHeight="1">
      <c r="B52" s="14"/>
      <c r="C52" s="15"/>
      <c r="D52" s="15"/>
      <c r="E52" s="16">
        <v>821300</v>
      </c>
      <c r="F52" s="15" t="s">
        <v>94</v>
      </c>
      <c r="G52" s="411">
        <v>59200</v>
      </c>
      <c r="H52" s="46">
        <f>59200+900</f>
        <v>60100</v>
      </c>
      <c r="I52" s="46">
        <v>60042</v>
      </c>
      <c r="J52" s="154">
        <f t="shared" si="0"/>
        <v>99.9034941763727</v>
      </c>
    </row>
    <row r="53" spans="2:10" ht="12.75" customHeight="1">
      <c r="B53" s="14"/>
      <c r="C53" s="15"/>
      <c r="D53" s="15"/>
      <c r="E53" s="16">
        <v>821500</v>
      </c>
      <c r="F53" s="15" t="s">
        <v>629</v>
      </c>
      <c r="G53" s="411">
        <v>286830</v>
      </c>
      <c r="H53" s="170">
        <v>286830</v>
      </c>
      <c r="I53" s="170">
        <v>188154</v>
      </c>
      <c r="J53" s="154">
        <f t="shared" si="0"/>
        <v>65.59774082208975</v>
      </c>
    </row>
    <row r="54" spans="2:10" s="1" customFormat="1" ht="12.75" customHeight="1">
      <c r="B54" s="14"/>
      <c r="C54" s="15"/>
      <c r="D54" s="15"/>
      <c r="E54" s="16"/>
      <c r="F54" s="15"/>
      <c r="G54" s="411"/>
      <c r="H54" s="20"/>
      <c r="I54" s="20"/>
      <c r="J54" s="154">
        <f t="shared" si="0"/>
      </c>
    </row>
    <row r="55" spans="2:10" ht="12.75" customHeight="1">
      <c r="B55" s="17"/>
      <c r="C55" s="12"/>
      <c r="D55" s="12"/>
      <c r="E55" s="9"/>
      <c r="F55" s="12" t="s">
        <v>95</v>
      </c>
      <c r="G55" s="25">
        <v>5</v>
      </c>
      <c r="H55" s="20">
        <v>5</v>
      </c>
      <c r="I55" s="20">
        <v>5</v>
      </c>
      <c r="J55" s="154"/>
    </row>
    <row r="56" spans="2:10" ht="12.75" customHeight="1">
      <c r="B56" s="17"/>
      <c r="C56" s="12"/>
      <c r="D56" s="12"/>
      <c r="E56" s="9"/>
      <c r="F56" s="12" t="s">
        <v>116</v>
      </c>
      <c r="G56" s="20">
        <f>G7+G12+G18+G22+G35+G47+G50</f>
        <v>3108030</v>
      </c>
      <c r="H56" s="20">
        <f>H7+H12+H18+H22+H35+H47+H50</f>
        <v>3110230</v>
      </c>
      <c r="I56" s="20">
        <f>I7+I12+I18+I22+I35+I47+I50</f>
        <v>3001303</v>
      </c>
      <c r="J56" s="201">
        <f t="shared" si="0"/>
        <v>96.49778312214853</v>
      </c>
    </row>
    <row r="57" spans="2:10" ht="12.75" customHeight="1">
      <c r="B57" s="17"/>
      <c r="C57" s="12"/>
      <c r="D57" s="12"/>
      <c r="E57" s="9"/>
      <c r="F57" s="12" t="s">
        <v>96</v>
      </c>
      <c r="G57" s="12"/>
      <c r="H57" s="20"/>
      <c r="I57" s="15"/>
      <c r="J57" s="155"/>
    </row>
    <row r="58" spans="2:10" ht="12.75" customHeight="1">
      <c r="B58" s="17"/>
      <c r="C58" s="12"/>
      <c r="D58" s="12"/>
      <c r="E58" s="9"/>
      <c r="F58" s="12" t="s">
        <v>97</v>
      </c>
      <c r="G58" s="12"/>
      <c r="H58" s="20"/>
      <c r="I58" s="15"/>
      <c r="J58" s="155"/>
    </row>
    <row r="59" spans="2:10" s="1" customFormat="1" ht="12.75" customHeight="1" thickBot="1">
      <c r="B59" s="21"/>
      <c r="C59" s="22"/>
      <c r="D59" s="22"/>
      <c r="E59" s="23"/>
      <c r="F59" s="22"/>
      <c r="G59" s="22"/>
      <c r="H59" s="47"/>
      <c r="I59" s="22"/>
      <c r="J59" s="157"/>
    </row>
    <row r="60" spans="2:10" s="1" customFormat="1" ht="12.75" customHeight="1">
      <c r="B60" s="13"/>
      <c r="C60" s="13"/>
      <c r="D60" s="13"/>
      <c r="E60" s="24"/>
      <c r="F60" s="13"/>
      <c r="G60" s="13"/>
      <c r="H60" s="13"/>
      <c r="I60" s="13"/>
      <c r="J60" s="141"/>
    </row>
    <row r="61" spans="2:10" s="1" customFormat="1" ht="12.75" customHeight="1">
      <c r="B61" s="13"/>
      <c r="C61" s="13"/>
      <c r="D61" s="13"/>
      <c r="E61" s="24"/>
      <c r="F61" s="13"/>
      <c r="G61" s="13"/>
      <c r="H61" s="13"/>
      <c r="I61" s="13"/>
      <c r="J61" s="141"/>
    </row>
    <row r="62" spans="2:10" s="1" customFormat="1" ht="12.75" customHeight="1">
      <c r="B62" s="13"/>
      <c r="C62" s="13"/>
      <c r="D62" s="13"/>
      <c r="E62" s="24"/>
      <c r="F62" s="13"/>
      <c r="G62" s="13"/>
      <c r="H62" s="13"/>
      <c r="I62" s="13"/>
      <c r="J62" s="141"/>
    </row>
    <row r="63" ht="12.75" customHeight="1"/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48"/>
  <sheetViews>
    <sheetView workbookViewId="0" topLeftCell="A10">
      <selection activeCell="I43" sqref="I4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7" width="16.421875" style="13" customWidth="1"/>
    <col min="8" max="9" width="15.7109375" style="13" customWidth="1"/>
    <col min="10" max="10" width="8.7109375" style="141" customWidth="1"/>
    <col min="11" max="16384" width="9.140625" style="13" customWidth="1"/>
  </cols>
  <sheetData>
    <row r="2" spans="2:10" s="113" customFormat="1" ht="15" customHeight="1">
      <c r="B2" s="452" t="s">
        <v>127</v>
      </c>
      <c r="C2" s="452"/>
      <c r="D2" s="452"/>
      <c r="E2" s="452"/>
      <c r="F2" s="452"/>
      <c r="G2" s="452"/>
      <c r="H2" s="452"/>
      <c r="I2" s="452"/>
      <c r="J2" s="148"/>
    </row>
    <row r="3" spans="5:10" s="1" customFormat="1" ht="16.5" thickBot="1">
      <c r="E3" s="2"/>
      <c r="F3" s="451"/>
      <c r="G3" s="451"/>
      <c r="H3" s="451"/>
      <c r="I3" s="182"/>
      <c r="J3" s="183"/>
    </row>
    <row r="4" spans="2:10" s="1" customFormat="1" ht="76.5" customHeight="1">
      <c r="B4" s="3" t="s">
        <v>79</v>
      </c>
      <c r="C4" s="4" t="s">
        <v>80</v>
      </c>
      <c r="D4" s="5" t="s">
        <v>113</v>
      </c>
      <c r="E4" s="6" t="s">
        <v>81</v>
      </c>
      <c r="F4" s="7" t="s">
        <v>82</v>
      </c>
      <c r="G4" s="318" t="s">
        <v>738</v>
      </c>
      <c r="H4" s="318" t="s">
        <v>739</v>
      </c>
      <c r="I4" s="318" t="s">
        <v>737</v>
      </c>
      <c r="J4" s="412" t="s">
        <v>740</v>
      </c>
    </row>
    <row r="5" spans="2:10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5">
        <v>6</v>
      </c>
      <c r="H5" s="35">
        <v>7</v>
      </c>
      <c r="I5" s="9">
        <v>8</v>
      </c>
      <c r="J5" s="151">
        <v>9</v>
      </c>
    </row>
    <row r="6" spans="2:10" s="2" customFormat="1" ht="12.75" customHeight="1">
      <c r="B6" s="10" t="s">
        <v>124</v>
      </c>
      <c r="C6" s="11" t="s">
        <v>83</v>
      </c>
      <c r="D6" s="11" t="s">
        <v>122</v>
      </c>
      <c r="E6" s="9"/>
      <c r="F6" s="9"/>
      <c r="G6" s="35"/>
      <c r="H6" s="35"/>
      <c r="I6" s="9"/>
      <c r="J6" s="152"/>
    </row>
    <row r="7" spans="2:10" s="1" customFormat="1" ht="12.75" customHeight="1">
      <c r="B7" s="17"/>
      <c r="C7" s="12"/>
      <c r="D7" s="12"/>
      <c r="E7" s="9">
        <v>611000</v>
      </c>
      <c r="F7" s="12" t="s">
        <v>168</v>
      </c>
      <c r="G7" s="20">
        <f>SUM(G8:G10)</f>
        <v>6240</v>
      </c>
      <c r="H7" s="20">
        <f>SUM(H8:H11)</f>
        <v>6460</v>
      </c>
      <c r="I7" s="20">
        <f>SUM(I8:I11)</f>
        <v>6445</v>
      </c>
      <c r="J7" s="201">
        <f aca="true" t="shared" si="0" ref="J7:J43">IF(H7=0,"",I7/H7*100)</f>
        <v>99.76780185758514</v>
      </c>
    </row>
    <row r="8" spans="2:11" ht="12.75" customHeight="1">
      <c r="B8" s="14"/>
      <c r="C8" s="15"/>
      <c r="D8" s="15"/>
      <c r="E8" s="16">
        <v>611100</v>
      </c>
      <c r="F8" s="26" t="s">
        <v>204</v>
      </c>
      <c r="G8" s="395">
        <v>2000</v>
      </c>
      <c r="H8" s="84">
        <f>2000+420</f>
        <v>2420</v>
      </c>
      <c r="I8" s="84">
        <v>2412</v>
      </c>
      <c r="J8" s="154">
        <f t="shared" si="0"/>
        <v>99.6694214876033</v>
      </c>
      <c r="K8" s="91"/>
    </row>
    <row r="9" spans="2:11" ht="12.75" customHeight="1">
      <c r="B9" s="14"/>
      <c r="C9" s="15"/>
      <c r="D9" s="15"/>
      <c r="E9" s="16">
        <v>611200</v>
      </c>
      <c r="F9" s="15" t="s">
        <v>205</v>
      </c>
      <c r="G9" s="45">
        <v>840</v>
      </c>
      <c r="H9" s="84">
        <f>600+240-50</f>
        <v>790</v>
      </c>
      <c r="I9" s="84">
        <v>785</v>
      </c>
      <c r="J9" s="154">
        <f t="shared" si="0"/>
        <v>99.36708860759494</v>
      </c>
      <c r="K9" s="91"/>
    </row>
    <row r="10" spans="2:12" ht="12.75" customHeight="1">
      <c r="B10" s="14"/>
      <c r="C10" s="15"/>
      <c r="D10" s="15"/>
      <c r="E10" s="16">
        <v>611200</v>
      </c>
      <c r="F10" s="366" t="s">
        <v>665</v>
      </c>
      <c r="G10" s="110">
        <v>3400</v>
      </c>
      <c r="H10" s="84">
        <f>3400-150</f>
        <v>3250</v>
      </c>
      <c r="I10" s="84">
        <v>3248</v>
      </c>
      <c r="J10" s="154">
        <f t="shared" si="0"/>
        <v>99.93846153846154</v>
      </c>
      <c r="K10" s="91"/>
      <c r="L10" s="90"/>
    </row>
    <row r="11" spans="2:10" ht="12.75" customHeight="1">
      <c r="B11" s="14"/>
      <c r="C11" s="15"/>
      <c r="D11" s="15"/>
      <c r="E11" s="16"/>
      <c r="F11" s="26"/>
      <c r="G11" s="395"/>
      <c r="H11" s="45"/>
      <c r="I11" s="45"/>
      <c r="J11" s="154">
        <f t="shared" si="0"/>
      </c>
    </row>
    <row r="12" spans="2:10" ht="12.75" customHeight="1">
      <c r="B12" s="14"/>
      <c r="C12" s="15"/>
      <c r="D12" s="15"/>
      <c r="E12" s="16"/>
      <c r="F12" s="15"/>
      <c r="G12" s="45"/>
      <c r="H12" s="20"/>
      <c r="I12" s="20"/>
      <c r="J12" s="154">
        <f t="shared" si="0"/>
      </c>
    </row>
    <row r="13" spans="2:13" s="1" customFormat="1" ht="12.75" customHeight="1">
      <c r="B13" s="17"/>
      <c r="C13" s="12"/>
      <c r="D13" s="12"/>
      <c r="E13" s="9">
        <v>612000</v>
      </c>
      <c r="F13" s="12" t="s">
        <v>167</v>
      </c>
      <c r="G13" s="20">
        <f>G14</f>
        <v>300</v>
      </c>
      <c r="H13" s="20">
        <f>H14</f>
        <v>300</v>
      </c>
      <c r="I13" s="20">
        <f>I14</f>
        <v>260</v>
      </c>
      <c r="J13" s="201">
        <f t="shared" si="0"/>
        <v>86.66666666666667</v>
      </c>
      <c r="M13" s="96"/>
    </row>
    <row r="14" spans="2:13" ht="12.75" customHeight="1">
      <c r="B14" s="14"/>
      <c r="C14" s="15"/>
      <c r="D14" s="15"/>
      <c r="E14" s="16">
        <v>612100</v>
      </c>
      <c r="F14" s="18" t="s">
        <v>85</v>
      </c>
      <c r="G14" s="46">
        <v>300</v>
      </c>
      <c r="H14" s="84">
        <v>300</v>
      </c>
      <c r="I14" s="84">
        <v>260</v>
      </c>
      <c r="J14" s="154">
        <f t="shared" si="0"/>
        <v>86.66666666666667</v>
      </c>
      <c r="K14" s="91"/>
      <c r="M14" s="83"/>
    </row>
    <row r="15" spans="2:10" ht="12.75" customHeight="1">
      <c r="B15" s="14"/>
      <c r="C15" s="15"/>
      <c r="D15" s="15"/>
      <c r="E15" s="16"/>
      <c r="F15" s="15"/>
      <c r="G15" s="45"/>
      <c r="H15" s="45"/>
      <c r="I15" s="45"/>
      <c r="J15" s="154">
        <f t="shared" si="0"/>
      </c>
    </row>
    <row r="16" spans="2:10" ht="12.75" customHeight="1">
      <c r="B16" s="14"/>
      <c r="C16" s="15"/>
      <c r="D16" s="15"/>
      <c r="E16" s="16"/>
      <c r="F16" s="15"/>
      <c r="G16" s="45"/>
      <c r="H16" s="51"/>
      <c r="I16" s="51"/>
      <c r="J16" s="154">
        <f t="shared" si="0"/>
      </c>
    </row>
    <row r="17" spans="2:10" s="1" customFormat="1" ht="12.75" customHeight="1">
      <c r="B17" s="17"/>
      <c r="C17" s="12"/>
      <c r="D17" s="12"/>
      <c r="E17" s="9">
        <v>613000</v>
      </c>
      <c r="F17" s="12" t="s">
        <v>169</v>
      </c>
      <c r="G17" s="20">
        <f>SUM(G18:G27)</f>
        <v>14100</v>
      </c>
      <c r="H17" s="51">
        <f>SUM(H18:H27)</f>
        <v>13880</v>
      </c>
      <c r="I17" s="51">
        <f>SUM(I18:I27)</f>
        <v>11772</v>
      </c>
      <c r="J17" s="201">
        <f t="shared" si="0"/>
        <v>84.81268011527378</v>
      </c>
    </row>
    <row r="18" spans="2:10" ht="12.75" customHeight="1">
      <c r="B18" s="14"/>
      <c r="C18" s="15"/>
      <c r="D18" s="15"/>
      <c r="E18" s="16">
        <v>613100</v>
      </c>
      <c r="F18" s="15" t="s">
        <v>86</v>
      </c>
      <c r="G18" s="45">
        <v>300</v>
      </c>
      <c r="H18" s="45">
        <f>300-220</f>
        <v>80</v>
      </c>
      <c r="I18" s="45">
        <v>0</v>
      </c>
      <c r="J18" s="154">
        <f t="shared" si="0"/>
        <v>0</v>
      </c>
    </row>
    <row r="19" spans="2:10" ht="12.75" customHeight="1">
      <c r="B19" s="14"/>
      <c r="C19" s="15"/>
      <c r="D19" s="15"/>
      <c r="E19" s="16">
        <v>613200</v>
      </c>
      <c r="F19" s="15" t="s">
        <v>87</v>
      </c>
      <c r="G19" s="45">
        <v>0</v>
      </c>
      <c r="H19" s="45">
        <v>0</v>
      </c>
      <c r="I19" s="45">
        <v>0</v>
      </c>
      <c r="J19" s="154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206</v>
      </c>
      <c r="G20" s="395">
        <v>1100</v>
      </c>
      <c r="H20" s="45">
        <v>1100</v>
      </c>
      <c r="I20" s="45">
        <v>1084</v>
      </c>
      <c r="J20" s="154">
        <f t="shared" si="0"/>
        <v>98.54545454545455</v>
      </c>
    </row>
    <row r="21" spans="2:10" ht="12.75" customHeight="1">
      <c r="B21" s="14"/>
      <c r="C21" s="15"/>
      <c r="D21" s="15"/>
      <c r="E21" s="16">
        <v>613400</v>
      </c>
      <c r="F21" s="15" t="s">
        <v>170</v>
      </c>
      <c r="G21" s="45">
        <v>0</v>
      </c>
      <c r="H21" s="45">
        <v>0</v>
      </c>
      <c r="I21" s="45">
        <v>0</v>
      </c>
      <c r="J21" s="154">
        <f t="shared" si="0"/>
      </c>
    </row>
    <row r="22" spans="2:10" ht="12.75" customHeight="1">
      <c r="B22" s="14"/>
      <c r="C22" s="15"/>
      <c r="D22" s="15"/>
      <c r="E22" s="16">
        <v>613500</v>
      </c>
      <c r="F22" s="15" t="s">
        <v>88</v>
      </c>
      <c r="G22" s="45">
        <v>0</v>
      </c>
      <c r="H22" s="45">
        <v>0</v>
      </c>
      <c r="I22" s="45">
        <v>0</v>
      </c>
      <c r="J22" s="154">
        <f t="shared" si="0"/>
      </c>
    </row>
    <row r="23" spans="2:10" ht="12.75" customHeight="1">
      <c r="B23" s="14"/>
      <c r="C23" s="15"/>
      <c r="D23" s="15"/>
      <c r="E23" s="16">
        <v>613600</v>
      </c>
      <c r="F23" s="26" t="s">
        <v>207</v>
      </c>
      <c r="G23" s="395">
        <v>0</v>
      </c>
      <c r="H23" s="45">
        <v>0</v>
      </c>
      <c r="I23" s="45">
        <v>0</v>
      </c>
      <c r="J23" s="154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89</v>
      </c>
      <c r="G24" s="45">
        <v>400</v>
      </c>
      <c r="H24" s="45">
        <v>400</v>
      </c>
      <c r="I24" s="45">
        <v>0</v>
      </c>
      <c r="J24" s="154">
        <f t="shared" si="0"/>
        <v>0</v>
      </c>
    </row>
    <row r="25" spans="2:11" ht="12.75" customHeight="1">
      <c r="B25" s="14"/>
      <c r="C25" s="15"/>
      <c r="D25" s="15"/>
      <c r="E25" s="16">
        <v>613800</v>
      </c>
      <c r="F25" s="15" t="s">
        <v>171</v>
      </c>
      <c r="G25" s="45">
        <v>0</v>
      </c>
      <c r="H25" s="45">
        <v>0</v>
      </c>
      <c r="I25" s="45">
        <v>0</v>
      </c>
      <c r="J25" s="154">
        <f t="shared" si="0"/>
      </c>
      <c r="K25" s="83"/>
    </row>
    <row r="26" spans="2:11" ht="12.75" customHeight="1">
      <c r="B26" s="14"/>
      <c r="C26" s="15"/>
      <c r="D26" s="15"/>
      <c r="E26" s="16">
        <v>613900</v>
      </c>
      <c r="F26" s="15" t="s">
        <v>172</v>
      </c>
      <c r="G26" s="45">
        <v>9000</v>
      </c>
      <c r="H26" s="84">
        <v>9000</v>
      </c>
      <c r="I26" s="84">
        <v>7423</v>
      </c>
      <c r="J26" s="154">
        <f t="shared" si="0"/>
        <v>82.47777777777779</v>
      </c>
      <c r="K26" s="91"/>
    </row>
    <row r="27" spans="2:11" ht="12.75" customHeight="1">
      <c r="B27" s="14"/>
      <c r="C27" s="15"/>
      <c r="D27" s="15"/>
      <c r="E27" s="16">
        <v>613900</v>
      </c>
      <c r="F27" s="366" t="s">
        <v>666</v>
      </c>
      <c r="G27" s="110">
        <v>3300</v>
      </c>
      <c r="H27" s="45">
        <v>3300</v>
      </c>
      <c r="I27" s="45">
        <v>3265</v>
      </c>
      <c r="J27" s="154">
        <f t="shared" si="0"/>
        <v>98.93939393939394</v>
      </c>
      <c r="K27" s="91"/>
    </row>
    <row r="28" spans="2:10" ht="12.75" customHeight="1">
      <c r="B28" s="14"/>
      <c r="C28" s="15"/>
      <c r="D28" s="15"/>
      <c r="E28" s="16"/>
      <c r="F28" s="15"/>
      <c r="G28" s="45"/>
      <c r="H28" s="20"/>
      <c r="I28" s="20"/>
      <c r="J28" s="154">
        <f t="shared" si="0"/>
      </c>
    </row>
    <row r="29" spans="2:10" s="1" customFormat="1" ht="12.75" customHeight="1">
      <c r="B29" s="17"/>
      <c r="C29" s="12"/>
      <c r="D29" s="12"/>
      <c r="E29" s="61">
        <v>614000</v>
      </c>
      <c r="F29" s="12" t="s">
        <v>208</v>
      </c>
      <c r="G29" s="20">
        <f>G30</f>
        <v>12000</v>
      </c>
      <c r="H29" s="20">
        <f>H30</f>
        <v>12000</v>
      </c>
      <c r="I29" s="20">
        <f>I30</f>
        <v>12000</v>
      </c>
      <c r="J29" s="201">
        <f t="shared" si="0"/>
        <v>100</v>
      </c>
    </row>
    <row r="30" spans="2:10" ht="12.75" customHeight="1">
      <c r="B30" s="14"/>
      <c r="C30" s="15"/>
      <c r="D30" s="31"/>
      <c r="E30" s="63">
        <v>614200</v>
      </c>
      <c r="F30" s="60" t="s">
        <v>101</v>
      </c>
      <c r="G30" s="396">
        <v>12000</v>
      </c>
      <c r="H30" s="84">
        <v>12000</v>
      </c>
      <c r="I30" s="84">
        <v>12000</v>
      </c>
      <c r="J30" s="154">
        <f t="shared" si="0"/>
        <v>100</v>
      </c>
    </row>
    <row r="31" spans="2:10" ht="12.75" customHeight="1">
      <c r="B31" s="14"/>
      <c r="C31" s="15"/>
      <c r="D31" s="15"/>
      <c r="E31" s="62"/>
      <c r="F31" s="15"/>
      <c r="G31" s="45"/>
      <c r="H31" s="45"/>
      <c r="I31" s="45"/>
      <c r="J31" s="154">
        <f t="shared" si="0"/>
      </c>
    </row>
    <row r="32" spans="2:10" ht="12.75" customHeight="1">
      <c r="B32" s="14"/>
      <c r="C32" s="15"/>
      <c r="D32" s="15"/>
      <c r="E32" s="16"/>
      <c r="F32" s="15"/>
      <c r="G32" s="45"/>
      <c r="H32" s="45"/>
      <c r="I32" s="45"/>
      <c r="J32" s="154">
        <f t="shared" si="0"/>
      </c>
    </row>
    <row r="33" spans="2:10" ht="12.75" customHeight="1">
      <c r="B33" s="14"/>
      <c r="C33" s="15"/>
      <c r="D33" s="15"/>
      <c r="E33" s="16"/>
      <c r="F33" s="15"/>
      <c r="G33" s="45"/>
      <c r="H33" s="45"/>
      <c r="I33" s="45"/>
      <c r="J33" s="154">
        <f t="shared" si="0"/>
      </c>
    </row>
    <row r="34" spans="2:10" ht="12.75" customHeight="1">
      <c r="B34" s="14"/>
      <c r="C34" s="15"/>
      <c r="D34" s="15"/>
      <c r="E34" s="16"/>
      <c r="F34" s="15"/>
      <c r="G34" s="45"/>
      <c r="H34" s="45"/>
      <c r="I34" s="45"/>
      <c r="J34" s="154">
        <f t="shared" si="0"/>
      </c>
    </row>
    <row r="35" spans="2:10" ht="12.75" customHeight="1">
      <c r="B35" s="14"/>
      <c r="C35" s="15"/>
      <c r="D35" s="15"/>
      <c r="E35" s="16"/>
      <c r="F35" s="19"/>
      <c r="G35" s="84"/>
      <c r="H35" s="45"/>
      <c r="I35" s="45"/>
      <c r="J35" s="154">
        <f t="shared" si="0"/>
      </c>
    </row>
    <row r="36" spans="2:10" ht="12.75" customHeight="1">
      <c r="B36" s="14"/>
      <c r="C36" s="15"/>
      <c r="D36" s="15"/>
      <c r="E36" s="16"/>
      <c r="F36" s="15"/>
      <c r="G36" s="45"/>
      <c r="H36" s="20"/>
      <c r="I36" s="20"/>
      <c r="J36" s="154">
        <f t="shared" si="0"/>
      </c>
    </row>
    <row r="37" spans="2:10" s="1" customFormat="1" ht="12.75" customHeight="1">
      <c r="B37" s="17"/>
      <c r="C37" s="12"/>
      <c r="D37" s="12"/>
      <c r="E37" s="9">
        <v>821000</v>
      </c>
      <c r="F37" s="12" t="s">
        <v>92</v>
      </c>
      <c r="G37" s="20">
        <f>SUM(G38:G39)</f>
        <v>1000</v>
      </c>
      <c r="H37" s="20">
        <f>SUM(H38:H39)</f>
        <v>1000</v>
      </c>
      <c r="I37" s="20">
        <f>SUM(I38:I39)</f>
        <v>994</v>
      </c>
      <c r="J37" s="154">
        <f t="shared" si="0"/>
        <v>99.4</v>
      </c>
    </row>
    <row r="38" spans="2:10" ht="12.75" customHeight="1">
      <c r="B38" s="14"/>
      <c r="C38" s="15"/>
      <c r="D38" s="15"/>
      <c r="E38" s="16">
        <v>821200</v>
      </c>
      <c r="F38" s="15" t="s">
        <v>93</v>
      </c>
      <c r="G38" s="45">
        <v>0</v>
      </c>
      <c r="H38" s="84">
        <v>0</v>
      </c>
      <c r="I38" s="84">
        <v>0</v>
      </c>
      <c r="J38" s="154">
        <f t="shared" si="0"/>
      </c>
    </row>
    <row r="39" spans="2:10" ht="12.75" customHeight="1">
      <c r="B39" s="14"/>
      <c r="C39" s="15"/>
      <c r="D39" s="15"/>
      <c r="E39" s="16">
        <v>821300</v>
      </c>
      <c r="F39" s="15" t="s">
        <v>94</v>
      </c>
      <c r="G39" s="45">
        <v>1000</v>
      </c>
      <c r="H39" s="45">
        <v>1000</v>
      </c>
      <c r="I39" s="45">
        <v>994</v>
      </c>
      <c r="J39" s="154">
        <f t="shared" si="0"/>
        <v>99.4</v>
      </c>
    </row>
    <row r="40" spans="2:10" ht="12.75" customHeight="1">
      <c r="B40" s="14"/>
      <c r="C40" s="15"/>
      <c r="D40" s="15"/>
      <c r="E40" s="16"/>
      <c r="F40" s="15"/>
      <c r="G40" s="45"/>
      <c r="H40" s="45"/>
      <c r="I40" s="45"/>
      <c r="J40" s="154">
        <f t="shared" si="0"/>
      </c>
    </row>
    <row r="41" spans="2:10" ht="12.75" customHeight="1">
      <c r="B41" s="14"/>
      <c r="C41" s="15"/>
      <c r="D41" s="15"/>
      <c r="E41" s="16"/>
      <c r="F41" s="15"/>
      <c r="G41" s="45"/>
      <c r="H41" s="20"/>
      <c r="I41" s="20"/>
      <c r="J41" s="154">
        <f t="shared" si="0"/>
      </c>
    </row>
    <row r="42" spans="2:10" s="1" customFormat="1" ht="12.75" customHeight="1">
      <c r="B42" s="17"/>
      <c r="C42" s="12"/>
      <c r="D42" s="12"/>
      <c r="E42" s="9"/>
      <c r="F42" s="12" t="s">
        <v>95</v>
      </c>
      <c r="G42" s="109">
        <v>1</v>
      </c>
      <c r="H42" s="109">
        <v>1</v>
      </c>
      <c r="I42" s="109">
        <v>1</v>
      </c>
      <c r="J42" s="154"/>
    </row>
    <row r="43" spans="2:10" s="1" customFormat="1" ht="12.75" customHeight="1">
      <c r="B43" s="17"/>
      <c r="C43" s="12"/>
      <c r="D43" s="12"/>
      <c r="E43" s="9"/>
      <c r="F43" s="12" t="s">
        <v>116</v>
      </c>
      <c r="G43" s="20">
        <f>G37+G29+G17+G13+G7</f>
        <v>33640</v>
      </c>
      <c r="H43" s="20">
        <f>H37+H29+H17+H13+H7</f>
        <v>33640</v>
      </c>
      <c r="I43" s="20">
        <f>I37+I29+I17+I13+I7</f>
        <v>31471</v>
      </c>
      <c r="J43" s="201">
        <f t="shared" si="0"/>
        <v>93.55231866825207</v>
      </c>
    </row>
    <row r="44" spans="2:10" s="1" customFormat="1" ht="12.75" customHeight="1">
      <c r="B44" s="17"/>
      <c r="C44" s="12"/>
      <c r="D44" s="12"/>
      <c r="E44" s="9"/>
      <c r="F44" s="12" t="s">
        <v>96</v>
      </c>
      <c r="G44" s="12"/>
      <c r="H44" s="20"/>
      <c r="I44" s="20"/>
      <c r="J44" s="156"/>
    </row>
    <row r="45" spans="2:10" s="1" customFormat="1" ht="12.75" customHeight="1">
      <c r="B45" s="17"/>
      <c r="C45" s="12"/>
      <c r="D45" s="12"/>
      <c r="E45" s="9"/>
      <c r="F45" s="12" t="s">
        <v>97</v>
      </c>
      <c r="G45" s="12"/>
      <c r="H45" s="20"/>
      <c r="I45" s="45"/>
      <c r="J45" s="155"/>
    </row>
    <row r="46" spans="2:10" ht="12.75" customHeight="1" thickBot="1">
      <c r="B46" s="21"/>
      <c r="C46" s="22"/>
      <c r="D46" s="22"/>
      <c r="E46" s="23"/>
      <c r="F46" s="22"/>
      <c r="G46" s="36"/>
      <c r="H46" s="50"/>
      <c r="I46" s="22"/>
      <c r="J46" s="157"/>
    </row>
    <row r="48" ht="12.75">
      <c r="B48" s="83"/>
    </row>
  </sheetData>
  <sheetProtection/>
  <mergeCells count="2">
    <mergeCell ref="B2:I2"/>
    <mergeCell ref="F3:H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79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Ružica Živković</cp:lastModifiedBy>
  <cp:lastPrinted>2017-03-10T09:14:54Z</cp:lastPrinted>
  <dcterms:created xsi:type="dcterms:W3CDTF">2004-07-23T11:14:23Z</dcterms:created>
  <dcterms:modified xsi:type="dcterms:W3CDTF">2017-03-10T09:18:03Z</dcterms:modified>
  <cp:category/>
  <cp:version/>
  <cp:contentType/>
  <cp:contentStatus/>
</cp:coreProperties>
</file>