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1660" windowHeight="4785" tabRatio="964" firstSheet="0" activeTab="0"/>
  </bookViews>
  <sheets>
    <sheet name="1" sheetId="1" r:id="rId1"/>
    <sheet name="3" sheetId="2" r:id="rId2"/>
    <sheet name="4" sheetId="3" r:id="rId3"/>
    <sheet name="5" sheetId="4" r:id="rId4"/>
    <sheet name="6" sheetId="5" r:id="rId5"/>
    <sheet name="7" sheetId="6" r:id="rId6"/>
    <sheet name="8" sheetId="7" r:id="rId7"/>
    <sheet name="9" sheetId="8" r:id="rId8"/>
    <sheet name="10" sheetId="9" r:id="rId9"/>
    <sheet name="11" sheetId="10" r:id="rId10"/>
    <sheet name="12" sheetId="11" r:id="rId11"/>
    <sheet name="13" sheetId="12" r:id="rId12"/>
    <sheet name="14" sheetId="13" r:id="rId13"/>
    <sheet name="15" sheetId="14" r:id="rId14"/>
    <sheet name="16" sheetId="15" r:id="rId15"/>
    <sheet name="17" sheetId="16" r:id="rId16"/>
    <sheet name="18" sheetId="17" r:id="rId17"/>
    <sheet name="19" sheetId="18" r:id="rId18"/>
    <sheet name="20" sheetId="19" r:id="rId19"/>
    <sheet name="21" sheetId="20" r:id="rId20"/>
    <sheet name="22" sheetId="21" r:id="rId21"/>
    <sheet name="23" sheetId="22" r:id="rId22"/>
    <sheet name="24" sheetId="23" r:id="rId23"/>
    <sheet name="25" sheetId="24" r:id="rId24"/>
    <sheet name="26" sheetId="25" r:id="rId25"/>
    <sheet name="27" sheetId="26" r:id="rId26"/>
    <sheet name="28" sheetId="27" r:id="rId27"/>
    <sheet name="29" sheetId="28" r:id="rId28"/>
    <sheet name="30" sheetId="29" r:id="rId29"/>
    <sheet name="31" sheetId="30" r:id="rId30"/>
    <sheet name="32" sheetId="31" r:id="rId31"/>
    <sheet name="33" sheetId="32" r:id="rId32"/>
    <sheet name="34" sheetId="33" r:id="rId33"/>
    <sheet name="35" sheetId="34" r:id="rId34"/>
    <sheet name="36" sheetId="35" r:id="rId35"/>
    <sheet name="37" sheetId="36" r:id="rId36"/>
  </sheets>
  <definedNames>
    <definedName name="ACCOUNTEDPERIODTYPE1">#REF!</definedName>
    <definedName name="APPSUSERNAME1">#REF!</definedName>
    <definedName name="BUDGETORGID1">#REF!</definedName>
    <definedName name="BUDGETORGNAME1">#REF!</definedName>
    <definedName name="CHARTOFACCOUNTSID1">#REF!</definedName>
    <definedName name="CONNECTSTRING1">#REF!</definedName>
    <definedName name="CREATESUMMARYJNLS1">#REF!</definedName>
    <definedName name="CRITERIACOLUMN1">#REF!</definedName>
    <definedName name="DBNAME1">#REF!</definedName>
    <definedName name="DBUSERNAME1">#REF!</definedName>
    <definedName name="DELETELOGICTYPE1">#REF!</definedName>
    <definedName name="FFAPPCOLNAME1_1">#REF!</definedName>
    <definedName name="FFAPPCOLNAME2_1">#REF!</definedName>
    <definedName name="FFAPPCOLNAME3_1">#REF!</definedName>
    <definedName name="FFAPPCOLNAME4_1">#REF!</definedName>
    <definedName name="FFAPPCOLNAME5_1">#REF!</definedName>
    <definedName name="FFAPPCOLNAME6_1">#REF!</definedName>
    <definedName name="FFSEGMENT1_1">#REF!</definedName>
    <definedName name="FFSEGMENT2_1">#REF!</definedName>
    <definedName name="FFSEGMENT3_1">#REF!</definedName>
    <definedName name="FFSEGMENT4_1">#REF!</definedName>
    <definedName name="FFSEGMENT5_1">#REF!</definedName>
    <definedName name="FFSEGMENT6_1">#REF!</definedName>
    <definedName name="FFSEGSEPARATOR1">#REF!</definedName>
    <definedName name="FIELDNAMECOLUMN1">#REF!</definedName>
    <definedName name="FIELDNAMEROW1">#REF!</definedName>
    <definedName name="FIRSTDATAROW1">#REF!</definedName>
    <definedName name="FNDNAM1">#REF!</definedName>
    <definedName name="FNDUSERID1">#REF!</definedName>
    <definedName name="FUNCTIONALCURRENCY1">#REF!</definedName>
    <definedName name="GWYUID1">#REF!</definedName>
    <definedName name="IMPORTDFF1">#REF!</definedName>
    <definedName name="LABELTEXTCOLUMN1">#REF!</definedName>
    <definedName name="LABELTEXTROW1">#REF!</definedName>
    <definedName name="NOOFFFSEGMENTS1">#REF!</definedName>
    <definedName name="NUMBEROFDETAILFIELDS1">#REF!</definedName>
    <definedName name="NUMBEROFHEADERFIELDS1">#REF!</definedName>
    <definedName name="PERIODSETNAME1">#REF!</definedName>
    <definedName name="POSTERRORSTOSUSP1">#REF!</definedName>
    <definedName name="_xlnm.Print_Area" localSheetId="13">'15'!$B$1:$I$43</definedName>
    <definedName name="_xlnm.Print_Area" localSheetId="14">'16'!$A$1:$I$57</definedName>
    <definedName name="_xlnm.Print_Area" localSheetId="15">'17'!$A$1:$I$50</definedName>
    <definedName name="_xlnm.Print_Area" localSheetId="19">'21'!$A$1:$I$45</definedName>
    <definedName name="RESPONSIBILITYAPPLICATIONID1">#REF!</definedName>
    <definedName name="RESPONSIBILITYID1">#REF!</definedName>
    <definedName name="RESPONSIBILITYNAME1">#REF!</definedName>
    <definedName name="ROWSTOUPLOAD1">#REF!</definedName>
    <definedName name="SETOFBOOKSID1">#REF!</definedName>
    <definedName name="SETOFBOOKSNAME1">#REF!</definedName>
    <definedName name="STARTJOURNALIMPORT1">#REF!</definedName>
    <definedName name="TEMPLATENUMBER1">#REF!</definedName>
    <definedName name="TEMPLATESTYLE1">#REF!</definedName>
    <definedName name="TEMPLATETYPE1">#REF!</definedName>
  </definedNames>
  <calcPr fullCalcOnLoad="1"/>
</workbook>
</file>

<file path=xl/sharedStrings.xml><?xml version="1.0" encoding="utf-8"?>
<sst xmlns="http://schemas.openxmlformats.org/spreadsheetml/2006/main" count="1413" uniqueCount="167">
  <si>
    <t>Ministarstvo
(razdjel)</t>
  </si>
  <si>
    <t>Proračunska
institucija</t>
  </si>
  <si>
    <t>Ekonomski 
kod</t>
  </si>
  <si>
    <t>OPIS</t>
  </si>
  <si>
    <t>01</t>
  </si>
  <si>
    <t>0001</t>
  </si>
  <si>
    <t xml:space="preserve"> Doprinosi poslodavca</t>
  </si>
  <si>
    <t xml:space="preserve"> Putni troškovi</t>
  </si>
  <si>
    <t xml:space="preserve"> Izdaci za energiju</t>
  </si>
  <si>
    <t xml:space="preserve"> Izdaci za usluge prijevoza i goriva</t>
  </si>
  <si>
    <t xml:space="preserve"> Izdaci za tekuće održavanje</t>
  </si>
  <si>
    <t xml:space="preserve"> Tekuće održavanje cesta</t>
  </si>
  <si>
    <t xml:space="preserve"> Kapitalni grantovi</t>
  </si>
  <si>
    <t xml:space="preserve"> Izdaci za nabavku stalnih sredstava</t>
  </si>
  <si>
    <t xml:space="preserve"> Nabavka građevina</t>
  </si>
  <si>
    <t xml:space="preserve"> Nabavka opreme</t>
  </si>
  <si>
    <t xml:space="preserve"> Ukupan broj zaposlenih:</t>
  </si>
  <si>
    <t xml:space="preserve"> Ukupno za proračunsku instituciju:</t>
  </si>
  <si>
    <t xml:space="preserve"> Ukupno za ministarstvo (razdjel):</t>
  </si>
  <si>
    <t xml:space="preserve"> Grantovi političkim strankama</t>
  </si>
  <si>
    <t xml:space="preserve"> Tekuća pričuva Vlade</t>
  </si>
  <si>
    <t xml:space="preserve"> Tekuća pričuva predsjednika Vlade</t>
  </si>
  <si>
    <t xml:space="preserve"> Grantovi za povratak raseljenih osoba</t>
  </si>
  <si>
    <t xml:space="preserve"> Grantovi za šport i kulturu</t>
  </si>
  <si>
    <t xml:space="preserve"> Grantovi za informiranje</t>
  </si>
  <si>
    <t xml:space="preserve"> Grantovi za financiranje vjerskih zajednica</t>
  </si>
  <si>
    <t xml:space="preserve"> Rekonstrukcija i investicijsko održavanje</t>
  </si>
  <si>
    <t xml:space="preserve"> Grantovi za zdravstvene i socijalne potrebe</t>
  </si>
  <si>
    <t xml:space="preserve"> Tekuća pričuva ministra financija</t>
  </si>
  <si>
    <t>Potrošačka
jedinica</t>
  </si>
  <si>
    <t xml:space="preserve"> Ostali grantovi-povrat i drugo</t>
  </si>
  <si>
    <t xml:space="preserve"> Isplate stipendija</t>
  </si>
  <si>
    <t xml:space="preserve"> Ukupno za potrošačku jedinicu:</t>
  </si>
  <si>
    <t xml:space="preserve"> Grant za razvoj poduzetništva i obrta</t>
  </si>
  <si>
    <t xml:space="preserve"> Grantovi za branitelje i stradalnike dom. rata</t>
  </si>
  <si>
    <t xml:space="preserve"> Grant za zaštitu od prirodnih i drugih nesreća</t>
  </si>
  <si>
    <t>SKUPŠTINA ŽUPANIJE POSAVSKE</t>
  </si>
  <si>
    <t>0002</t>
  </si>
  <si>
    <t>VLADA ŽUPANIJE POSAVSKE</t>
  </si>
  <si>
    <t>11</t>
  </si>
  <si>
    <t xml:space="preserve"> Rashodi - Tekuća pričuva</t>
  </si>
  <si>
    <t xml:space="preserve"> Tekuća pričuva zamjenika pred. Vlade</t>
  </si>
  <si>
    <t>URED ZA RASELJENE</t>
  </si>
  <si>
    <t>URED ZA ZAKONODAVSTVO</t>
  </si>
  <si>
    <t>0003</t>
  </si>
  <si>
    <t>0004</t>
  </si>
  <si>
    <t>ZAJEDNIČKA SLUŽBA VLADE</t>
  </si>
  <si>
    <t>12</t>
  </si>
  <si>
    <t>MINISTARSTVO UNUTARNJIH POSLOVA ŽUPANIJE POSAVSKE</t>
  </si>
  <si>
    <t>13</t>
  </si>
  <si>
    <t>MINISTARSTVO PRAVOSUĐA I UPRAVE</t>
  </si>
  <si>
    <t>14</t>
  </si>
  <si>
    <t>02</t>
  </si>
  <si>
    <t>05</t>
  </si>
  <si>
    <t>15</t>
  </si>
  <si>
    <t>16</t>
  </si>
  <si>
    <t>MINISTARSTVO FINANCIJA</t>
  </si>
  <si>
    <t>MINISTARSTVO ZDRAVSTVA, RADA I SOCIJALNE POLITIKE</t>
  </si>
  <si>
    <t>17</t>
  </si>
  <si>
    <t>18</t>
  </si>
  <si>
    <t>MINISTARSTVO POLJOPRIVREDE, VODOPRIVREDE I ŠUMARSTVA</t>
  </si>
  <si>
    <t>19</t>
  </si>
  <si>
    <t>MINISTARSTVO PROSVJETE, ZNANOSTI, KULTURE I ŠPORTA</t>
  </si>
  <si>
    <t>20</t>
  </si>
  <si>
    <t>MINISTARSTVO PROSVJETE - OSNOVNA ŠKOLA ORAŠJE</t>
  </si>
  <si>
    <t>03</t>
  </si>
  <si>
    <t>0005</t>
  </si>
  <si>
    <t>0006</t>
  </si>
  <si>
    <t>0007</t>
  </si>
  <si>
    <t>21</t>
  </si>
  <si>
    <t>22</t>
  </si>
  <si>
    <t>AGENCIJA ZA PRIVATIZACIJU</t>
  </si>
  <si>
    <t>UPRAVA ZA CIVILNU ZAŠTITU ŽUPANIJE POSAVSKE</t>
  </si>
  <si>
    <t>23</t>
  </si>
  <si>
    <t>KANTONALNI SUD ODŽAK</t>
  </si>
  <si>
    <t>24</t>
  </si>
  <si>
    <t>26</t>
  </si>
  <si>
    <t>27</t>
  </si>
  <si>
    <t>KANTONALNO TUŽITELJSTVO</t>
  </si>
  <si>
    <t>SLUŽBA ZA ODNOSE S JAVNOŠĆU</t>
  </si>
  <si>
    <t xml:space="preserve"> Grantovi za šumarstvo</t>
  </si>
  <si>
    <t xml:space="preserve"> Doprinosi poslodavca i ostali doprinosi</t>
  </si>
  <si>
    <t xml:space="preserve"> Plaće i naknade troškova zaposlenih</t>
  </si>
  <si>
    <t xml:space="preserve"> Izdaci za materijal, sitan inv. i usluge</t>
  </si>
  <si>
    <t xml:space="preserve"> Nabavka materijala i sitnog inventara</t>
  </si>
  <si>
    <t xml:space="preserve"> Izdaci osiguranja, bank. usluga i usluga p.p.</t>
  </si>
  <si>
    <t xml:space="preserve"> Ugovorene i druge posebne usluge</t>
  </si>
  <si>
    <t>MINISTARSTVO PROSVJETE - SREDNJA ŠKOLA PERE ZEČEVIĆA ODŽAK</t>
  </si>
  <si>
    <t>MINISTARSTVO PROSVJETE - OSNOVNA ŠKOLA VLADIMIRA NAZORA ODŽAK</t>
  </si>
  <si>
    <t>MINISTARSTVO PROSVJETE - OSNOVNA ŠKOLA RUĐERA BOŠKOVIĆA DONJA MAHALA</t>
  </si>
  <si>
    <t>MINISTARSTVO PROSVJETE - OSNOVNA ŠKOLA FRA ILIJE STARČEVIĆA TOLISA</t>
  </si>
  <si>
    <t>MINISTARSTVO PROSVJETE - OSNOVNA ŠKOLA STJEPANA RADIĆA OŠTRA LUKA-BOK</t>
  </si>
  <si>
    <t>MINISTARSTVO PROSVJETE - OSNOVNA ŠKOLA A.G. MATOŠA VIDOVICE</t>
  </si>
  <si>
    <t>MINISTARSTVO PROSVJETE - OSNOVNA ŠKOLA BRAĆE RADIĆA DOMALJEVAC</t>
  </si>
  <si>
    <t xml:space="preserve"> </t>
  </si>
  <si>
    <t xml:space="preserve"> Grant za zaštitu okoliša</t>
  </si>
  <si>
    <t>MINISTARSTVO GOSPODARSTVA I PROSTORNOG UREĐENJA</t>
  </si>
  <si>
    <t>MINISTARSTVO PROMETA, VEZA, TURIZMA I ZAŠTITE OKOLIŠA</t>
  </si>
  <si>
    <t>MINISTARSTVO BRANITELJA</t>
  </si>
  <si>
    <t xml:space="preserve"> Vozački ispiti-vlastiti prihodi</t>
  </si>
  <si>
    <t>28</t>
  </si>
  <si>
    <t>ŽUPANIJSKA UPRAVA ZA INSPEKCIJSKE POSLOVE</t>
  </si>
  <si>
    <t xml:space="preserve"> Otplate domaćeg pozajmljivanja</t>
  </si>
  <si>
    <t xml:space="preserve"> Izdaci za negativne tečajne razlike</t>
  </si>
  <si>
    <t xml:space="preserve"> MINISTARSTVO PRAVOSUĐA I UPRAVE - OPĆINSKI SUD ORAŠJE</t>
  </si>
  <si>
    <t>MINISTARSTVO PRAVOSUĐA I UPRAVE - ZAVOD ZA PRUŽANJE PRAVNE POMOĆI</t>
  </si>
  <si>
    <t>06</t>
  </si>
  <si>
    <t xml:space="preserve"> Bruto plaće i naknade plaća</t>
  </si>
  <si>
    <t xml:space="preserve"> Naknade troškova zaposlenih</t>
  </si>
  <si>
    <t xml:space="preserve"> Izdaci za komunikaciju i komunalne usluge</t>
  </si>
  <si>
    <t xml:space="preserve"> Unajmljivanje imovine, opreme i nemat.imovine</t>
  </si>
  <si>
    <t xml:space="preserve"> Tekući grantovi i drugi tekući rashodi</t>
  </si>
  <si>
    <t xml:space="preserve"> Izdaci za kamate </t>
  </si>
  <si>
    <t xml:space="preserve"> Izdaci za otplate dugova</t>
  </si>
  <si>
    <t xml:space="preserve"> Izdaci za kamate</t>
  </si>
  <si>
    <t xml:space="preserve"> Agencija za državnu službu ŽP</t>
  </si>
  <si>
    <t>Ekonom. 
kod</t>
  </si>
  <si>
    <t xml:space="preserve"> Kamate na domaće pozajmljivanje-Koreja</t>
  </si>
  <si>
    <t>Izdaci za otplate dugova</t>
  </si>
  <si>
    <t xml:space="preserve"> Kamate na domaće pozajmljivanje-OPEC</t>
  </si>
  <si>
    <t xml:space="preserve"> Transfer za zdravstvene institucije i centre za soc.rad</t>
  </si>
  <si>
    <t xml:space="preserve"> Kamate na domaće pozajmljivanje-Austrija</t>
  </si>
  <si>
    <t xml:space="preserve"> Grant za razvoj turizma</t>
  </si>
  <si>
    <t>MINISTARSTVO PRAVOSUĐA I UPRAVE - OPĆINSKO PRAVOBRANITELJSTVO ODŽAK</t>
  </si>
  <si>
    <t>MINISTARSTVO PRAVOSUĐA I UPRAVE - OPĆINSKO PRAVOBRANITELJSTVO ORAŠJE</t>
  </si>
  <si>
    <t xml:space="preserve"> Grantovi za financiranje višeg i visokog obrazovanja    
 i Zavoda za školstvo</t>
  </si>
  <si>
    <t xml:space="preserve"> Grant za Crveni križ Županije Posavske</t>
  </si>
  <si>
    <t>ŽUPANIJSKO PRAVOBRANITELJSTVO</t>
  </si>
  <si>
    <t xml:space="preserve"> Grant za Gospodarsku komoru ŽP</t>
  </si>
  <si>
    <t xml:space="preserve"> Grant za Kuću nade Odžak</t>
  </si>
  <si>
    <t>MINISTARSTVO PROSVJETE - ŠKOLSKI CENTAR FRA MARTINA NEDIĆA ORAŠJE</t>
  </si>
  <si>
    <t>MINISTARSTVO PROSVJETE - SREDNJA STRUKOVNA ŠKOLA ORAŠJE</t>
  </si>
  <si>
    <t>Otplate domaćeg pozajmljivanja-MMF</t>
  </si>
  <si>
    <t xml:space="preserve"> Grant za sufinanciranje osn.i srednjeg obrazovanja
 djece s posebnim potrebama</t>
  </si>
  <si>
    <t xml:space="preserve"> Kamate na domaće pozajmljivanje-MMF</t>
  </si>
  <si>
    <t xml:space="preserve"> Grant za sanaciju šteta uzrokovanih poplavom</t>
  </si>
  <si>
    <t xml:space="preserve"> Grant za Sveučilište u Mostaru</t>
  </si>
  <si>
    <t xml:space="preserve"> Grant za sufinanciranje nabavke udžbenika 
 učenicima</t>
  </si>
  <si>
    <t xml:space="preserve"> Grantovi nižim razinama vlasti</t>
  </si>
  <si>
    <t>INDEKS 7/6</t>
  </si>
  <si>
    <t xml:space="preserve"> Grantovi za poljoprivredu</t>
  </si>
  <si>
    <t xml:space="preserve"> Grantovi za vodoprivredu</t>
  </si>
  <si>
    <t xml:space="preserve"> Grant za uređenje poljoprivrednog zemljišta</t>
  </si>
  <si>
    <t xml:space="preserve"> Transfer za sufinanciranje prijevoza učenika</t>
  </si>
  <si>
    <t xml:space="preserve"> Grant za Udr.roditelja djece s pos.potrebama 
 Angelus Domaljevac</t>
  </si>
  <si>
    <t xml:space="preserve"> Ostali grantovi-izvršenje sudskih presuda i rješenja o izvršenju</t>
  </si>
  <si>
    <t xml:space="preserve"> Nabavka stalnih sredstava u obliku prava</t>
  </si>
  <si>
    <t>PRORAČUN za 2017.</t>
  </si>
  <si>
    <t xml:space="preserve"> Naknade troškova zaposlenih - volonteri ()</t>
  </si>
  <si>
    <t xml:space="preserve"> Ugovorene i druge posebne usluge-volonteri ()</t>
  </si>
  <si>
    <t xml:space="preserve"> Potpora riznici</t>
  </si>
  <si>
    <t xml:space="preserve"> Grantovi neprofitnim organizacijama i udrugama 
 građana</t>
  </si>
  <si>
    <t>54 (61)</t>
  </si>
  <si>
    <t>45 (53)</t>
  </si>
  <si>
    <t>46 (47)</t>
  </si>
  <si>
    <t>21 (21)</t>
  </si>
  <si>
    <t>32 (32)</t>
  </si>
  <si>
    <t xml:space="preserve"> Naknade troškova zaposlenih - volonteri (60)</t>
  </si>
  <si>
    <t xml:space="preserve"> Ugovorene i druge posebne usluge-volonteri (60)</t>
  </si>
  <si>
    <t>54 (55)</t>
  </si>
  <si>
    <t>108 (114)</t>
  </si>
  <si>
    <t>45 (45)</t>
  </si>
  <si>
    <t>57 (58)</t>
  </si>
  <si>
    <t xml:space="preserve"> Grant za Udr.roditelja djece s pos.potreb.Orašje</t>
  </si>
  <si>
    <t>ZAHTJEV za 2018.</t>
  </si>
  <si>
    <t>Gornja granica:</t>
  </si>
  <si>
    <t>URED ZA RAZVOJ I EUROPSKE INTEGRACIJE</t>
  </si>
</sst>
</file>

<file path=xl/styles.xml><?xml version="1.0" encoding="utf-8"?>
<styleSheet xmlns="http://schemas.openxmlformats.org/spreadsheetml/2006/main">
  <numFmts count="5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&quot;L.&quot;\ #,##0;\-&quot;L.&quot;\ #,##0"/>
    <numFmt numFmtId="191" formatCode="&quot;L.&quot;\ #,##0;[Red]\-&quot;L.&quot;\ #,##0"/>
    <numFmt numFmtId="192" formatCode="&quot;L.&quot;\ #,##0.00;\-&quot;L.&quot;\ #,##0.00"/>
    <numFmt numFmtId="193" formatCode="&quot;L.&quot;\ #,##0.00;[Red]\-&quot;L.&quot;\ #,##0.00"/>
    <numFmt numFmtId="194" formatCode="_-&quot;L.&quot;\ * #,##0_-;\-&quot;L.&quot;\ * #,##0_-;_-&quot;L.&quot;\ * &quot;-&quot;_-;_-@_-"/>
    <numFmt numFmtId="195" formatCode="_-&quot;L.&quot;\ * #,##0.00_-;\-&quot;L.&quot;\ * #,##0.00_-;_-&quot;L.&quot;\ * &quot;-&quot;??_-;_-@_-"/>
    <numFmt numFmtId="196" formatCode="_-* #,##0_-;\-* #,##0_-;_-* &quot;-&quot;??_-;_-@_-"/>
    <numFmt numFmtId="197" formatCode="_-* #,##0.0_-;\-* #,##0.0_-;_-* &quot;-&quot;??_-;_-@_-"/>
    <numFmt numFmtId="198" formatCode="_-* #,##0.000_-;\-* #,##0.000_-;_-* &quot;-&quot;??_-;_-@_-"/>
    <numFmt numFmtId="199" formatCode="_-* #,##0.0000_-;\-* #,##0.0000_-;_-* &quot;-&quot;??_-;_-@_-"/>
    <numFmt numFmtId="200" formatCode="0.000"/>
    <numFmt numFmtId="201" formatCode="0.00000"/>
    <numFmt numFmtId="202" formatCode="0.0000"/>
    <numFmt numFmtId="203" formatCode="_-* #,##0.00000_-;\-* #,##0.00000_-;_-* &quot;-&quot;??_-;_-@_-"/>
    <numFmt numFmtId="204" formatCode="0.000000"/>
    <numFmt numFmtId="205" formatCode="_-* #,##0.0_-;\-* #,##0.0_-;_-* &quot;-&quot;_-;_-@_-"/>
    <numFmt numFmtId="206" formatCode="_-* #,##0.00_-;\-* #,##0.00_-;_-* &quot;-&quot;_-;_-@_-"/>
    <numFmt numFmtId="207" formatCode="#,##0;[Red]#,##0"/>
    <numFmt numFmtId="208" formatCode="#,##0.000"/>
    <numFmt numFmtId="209" formatCode="000"/>
    <numFmt numFmtId="210" formatCode="#,##0.0000"/>
    <numFmt numFmtId="211" formatCode="0.0%"/>
    <numFmt numFmtId="212" formatCode="0.000%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57" applyFont="1">
      <alignment/>
      <protection/>
    </xf>
    <xf numFmtId="0" fontId="1" fillId="0" borderId="0" xfId="57" applyFont="1" applyAlignment="1">
      <alignment horizontal="center"/>
      <protection/>
    </xf>
    <xf numFmtId="0" fontId="1" fillId="0" borderId="10" xfId="57" applyFont="1" applyBorder="1" applyAlignment="1">
      <alignment horizontal="center" vertical="center" textRotation="90" wrapText="1"/>
      <protection/>
    </xf>
    <xf numFmtId="0" fontId="1" fillId="0" borderId="11" xfId="57" applyFont="1" applyBorder="1" applyAlignment="1">
      <alignment horizontal="center" vertical="center" textRotation="90" wrapText="1"/>
      <protection/>
    </xf>
    <xf numFmtId="0" fontId="1" fillId="0" borderId="11" xfId="57" applyFont="1" applyFill="1" applyBorder="1" applyAlignment="1">
      <alignment horizontal="center" vertical="center" textRotation="90" wrapText="1"/>
      <protection/>
    </xf>
    <xf numFmtId="0" fontId="1" fillId="0" borderId="11" xfId="57" applyFont="1" applyBorder="1" applyAlignment="1">
      <alignment horizontal="center" vertical="center" wrapText="1"/>
      <protection/>
    </xf>
    <xf numFmtId="0" fontId="1" fillId="0" borderId="11" xfId="57" applyFont="1" applyBorder="1" applyAlignment="1">
      <alignment horizontal="center" vertical="center"/>
      <protection/>
    </xf>
    <xf numFmtId="0" fontId="1" fillId="0" borderId="12" xfId="57" applyFont="1" applyBorder="1" applyAlignment="1">
      <alignment horizontal="center"/>
      <protection/>
    </xf>
    <xf numFmtId="0" fontId="1" fillId="0" borderId="13" xfId="57" applyFont="1" applyBorder="1" applyAlignment="1">
      <alignment horizontal="center"/>
      <protection/>
    </xf>
    <xf numFmtId="49" fontId="1" fillId="0" borderId="12" xfId="57" applyNumberFormat="1" applyFont="1" applyBorder="1" applyAlignment="1">
      <alignment horizontal="center"/>
      <protection/>
    </xf>
    <xf numFmtId="49" fontId="1" fillId="0" borderId="13" xfId="57" applyNumberFormat="1" applyFont="1" applyBorder="1" applyAlignment="1">
      <alignment horizontal="center"/>
      <protection/>
    </xf>
    <xf numFmtId="0" fontId="1" fillId="0" borderId="13" xfId="57" applyFont="1" applyBorder="1">
      <alignment/>
      <protection/>
    </xf>
    <xf numFmtId="0" fontId="0" fillId="0" borderId="0" xfId="57">
      <alignment/>
      <protection/>
    </xf>
    <xf numFmtId="0" fontId="0" fillId="0" borderId="12" xfId="57" applyBorder="1">
      <alignment/>
      <protection/>
    </xf>
    <xf numFmtId="0" fontId="0" fillId="0" borderId="13" xfId="57" applyBorder="1">
      <alignment/>
      <protection/>
    </xf>
    <xf numFmtId="0" fontId="0" fillId="0" borderId="13" xfId="57" applyBorder="1" applyAlignment="1">
      <alignment horizontal="center"/>
      <protection/>
    </xf>
    <xf numFmtId="0" fontId="1" fillId="0" borderId="12" xfId="57" applyFont="1" applyBorder="1">
      <alignment/>
      <protection/>
    </xf>
    <xf numFmtId="0" fontId="0" fillId="0" borderId="13" xfId="57" applyFont="1" applyBorder="1">
      <alignment/>
      <protection/>
    </xf>
    <xf numFmtId="0" fontId="0" fillId="0" borderId="13" xfId="57" applyFill="1" applyBorder="1">
      <alignment/>
      <protection/>
    </xf>
    <xf numFmtId="3" fontId="1" fillId="0" borderId="13" xfId="57" applyNumberFormat="1" applyFont="1" applyBorder="1">
      <alignment/>
      <protection/>
    </xf>
    <xf numFmtId="0" fontId="0" fillId="0" borderId="14" xfId="57" applyBorder="1">
      <alignment/>
      <protection/>
    </xf>
    <xf numFmtId="0" fontId="0" fillId="0" borderId="15" xfId="57" applyBorder="1">
      <alignment/>
      <protection/>
    </xf>
    <xf numFmtId="0" fontId="0" fillId="0" borderId="15" xfId="57" applyBorder="1" applyAlignment="1">
      <alignment horizontal="center"/>
      <protection/>
    </xf>
    <xf numFmtId="0" fontId="0" fillId="0" borderId="0" xfId="57" applyAlignment="1">
      <alignment horizontal="center"/>
      <protection/>
    </xf>
    <xf numFmtId="3" fontId="1" fillId="0" borderId="13" xfId="57" applyNumberFormat="1" applyFont="1" applyBorder="1" applyAlignment="1">
      <alignment horizontal="right"/>
      <protection/>
    </xf>
    <xf numFmtId="0" fontId="0" fillId="0" borderId="13" xfId="57" applyFont="1" applyBorder="1">
      <alignment/>
      <protection/>
    </xf>
    <xf numFmtId="0" fontId="1" fillId="0" borderId="13" xfId="57" applyFont="1" applyBorder="1" applyAlignment="1">
      <alignment horizontal="left"/>
      <protection/>
    </xf>
    <xf numFmtId="0" fontId="0" fillId="0" borderId="13" xfId="0" applyBorder="1" applyAlignment="1">
      <alignment/>
    </xf>
    <xf numFmtId="0" fontId="0" fillId="0" borderId="16" xfId="57" applyBorder="1">
      <alignment/>
      <protection/>
    </xf>
    <xf numFmtId="0" fontId="1" fillId="0" borderId="16" xfId="57" applyFont="1" applyBorder="1">
      <alignment/>
      <protection/>
    </xf>
    <xf numFmtId="0" fontId="1" fillId="0" borderId="13" xfId="0" applyFont="1" applyBorder="1" applyAlignment="1">
      <alignment/>
    </xf>
    <xf numFmtId="0" fontId="1" fillId="0" borderId="16" xfId="57" applyFont="1" applyBorder="1" applyAlignment="1">
      <alignment horizontal="center"/>
      <protection/>
    </xf>
    <xf numFmtId="3" fontId="0" fillId="0" borderId="13" xfId="57" applyNumberFormat="1" applyBorder="1">
      <alignment/>
      <protection/>
    </xf>
    <xf numFmtId="3" fontId="0" fillId="0" borderId="13" xfId="57" applyNumberFormat="1" applyFont="1" applyBorder="1">
      <alignment/>
      <protection/>
    </xf>
    <xf numFmtId="3" fontId="0" fillId="0" borderId="15" xfId="57" applyNumberFormat="1" applyBorder="1">
      <alignment/>
      <protection/>
    </xf>
    <xf numFmtId="3" fontId="0" fillId="0" borderId="17" xfId="57" applyNumberFormat="1" applyBorder="1">
      <alignment/>
      <protection/>
    </xf>
    <xf numFmtId="3" fontId="1" fillId="33" borderId="13" xfId="57" applyNumberFormat="1" applyFont="1" applyFill="1" applyBorder="1">
      <alignment/>
      <protection/>
    </xf>
    <xf numFmtId="0" fontId="0" fillId="0" borderId="13" xfId="57" applyFont="1" applyBorder="1" applyAlignment="1">
      <alignment horizontal="center"/>
      <protection/>
    </xf>
    <xf numFmtId="0" fontId="0" fillId="0" borderId="13" xfId="57" applyFont="1" applyBorder="1" applyAlignment="1">
      <alignment horizontal="left"/>
      <protection/>
    </xf>
    <xf numFmtId="0" fontId="0" fillId="0" borderId="18" xfId="0" applyBorder="1" applyAlignment="1">
      <alignment/>
    </xf>
    <xf numFmtId="0" fontId="1" fillId="0" borderId="19" xfId="57" applyFont="1" applyBorder="1" applyAlignment="1">
      <alignment horizontal="center"/>
      <protection/>
    </xf>
    <xf numFmtId="0" fontId="0" fillId="0" borderId="20" xfId="57" applyBorder="1" applyAlignment="1">
      <alignment horizontal="center"/>
      <protection/>
    </xf>
    <xf numFmtId="49" fontId="0" fillId="0" borderId="13" xfId="0" applyNumberFormat="1" applyBorder="1" applyAlignment="1">
      <alignment horizontal="center"/>
    </xf>
    <xf numFmtId="0" fontId="0" fillId="0" borderId="18" xfId="57" applyFill="1" applyBorder="1">
      <alignment/>
      <protection/>
    </xf>
    <xf numFmtId="0" fontId="0" fillId="0" borderId="19" xfId="57" applyBorder="1" applyAlignment="1">
      <alignment horizontal="center"/>
      <protection/>
    </xf>
    <xf numFmtId="0" fontId="0" fillId="0" borderId="13" xfId="0" applyFont="1" applyBorder="1" applyAlignment="1">
      <alignment/>
    </xf>
    <xf numFmtId="0" fontId="1" fillId="0" borderId="11" xfId="57" applyFont="1" applyFill="1" applyBorder="1" applyAlignment="1">
      <alignment horizontal="center" vertical="center" wrapText="1"/>
      <protection/>
    </xf>
    <xf numFmtId="0" fontId="0" fillId="0" borderId="20" xfId="57" applyFont="1" applyBorder="1">
      <alignment/>
      <protection/>
    </xf>
    <xf numFmtId="0" fontId="1" fillId="0" borderId="20" xfId="57" applyFont="1" applyBorder="1">
      <alignment/>
      <protection/>
    </xf>
    <xf numFmtId="0" fontId="0" fillId="0" borderId="18" xfId="57" applyBorder="1" applyAlignment="1">
      <alignment horizontal="center"/>
      <protection/>
    </xf>
    <xf numFmtId="0" fontId="0" fillId="0" borderId="0" xfId="57" applyFont="1">
      <alignment/>
      <protection/>
    </xf>
    <xf numFmtId="3" fontId="0" fillId="0" borderId="13" xfId="57" applyNumberFormat="1" applyFill="1" applyBorder="1">
      <alignment/>
      <protection/>
    </xf>
    <xf numFmtId="3" fontId="0" fillId="0" borderId="21" xfId="57" applyNumberFormat="1" applyBorder="1">
      <alignment/>
      <protection/>
    </xf>
    <xf numFmtId="2" fontId="1" fillId="0" borderId="0" xfId="57" applyNumberFormat="1" applyFont="1">
      <alignment/>
      <protection/>
    </xf>
    <xf numFmtId="3" fontId="0" fillId="0" borderId="0" xfId="57" applyNumberFormat="1">
      <alignment/>
      <protection/>
    </xf>
    <xf numFmtId="3" fontId="1" fillId="0" borderId="0" xfId="57" applyNumberFormat="1" applyFont="1">
      <alignment/>
      <protection/>
    </xf>
    <xf numFmtId="3" fontId="0" fillId="0" borderId="0" xfId="57" applyNumberFormat="1" applyFont="1">
      <alignment/>
      <protection/>
    </xf>
    <xf numFmtId="0" fontId="0" fillId="0" borderId="0" xfId="57" applyFont="1">
      <alignment/>
      <protection/>
    </xf>
    <xf numFmtId="0" fontId="0" fillId="0" borderId="12" xfId="57" applyFont="1" applyBorder="1">
      <alignment/>
      <protection/>
    </xf>
    <xf numFmtId="0" fontId="1" fillId="0" borderId="22" xfId="57" applyFont="1" applyBorder="1" applyAlignment="1">
      <alignment horizontal="center"/>
      <protection/>
    </xf>
    <xf numFmtId="49" fontId="0" fillId="0" borderId="20" xfId="0" applyNumberFormat="1" applyBorder="1" applyAlignment="1">
      <alignment horizontal="center"/>
    </xf>
    <xf numFmtId="0" fontId="0" fillId="0" borderId="0" xfId="57" applyFont="1">
      <alignment/>
      <protection/>
    </xf>
    <xf numFmtId="3" fontId="1" fillId="0" borderId="13" xfId="57" applyNumberFormat="1" applyFont="1" applyFill="1" applyBorder="1">
      <alignment/>
      <protection/>
    </xf>
    <xf numFmtId="3" fontId="0" fillId="0" borderId="13" xfId="57" applyNumberFormat="1" applyFont="1" applyBorder="1">
      <alignment/>
      <protection/>
    </xf>
    <xf numFmtId="0" fontId="0" fillId="0" borderId="13" xfId="57" applyFont="1" applyFill="1" applyBorder="1">
      <alignment/>
      <protection/>
    </xf>
    <xf numFmtId="0" fontId="0" fillId="0" borderId="0" xfId="57" applyFont="1" applyFill="1">
      <alignment/>
      <protection/>
    </xf>
    <xf numFmtId="0" fontId="0" fillId="0" borderId="0" xfId="57" applyFill="1">
      <alignment/>
      <protection/>
    </xf>
    <xf numFmtId="0" fontId="1" fillId="0" borderId="0" xfId="57" applyFont="1" applyFill="1">
      <alignment/>
      <protection/>
    </xf>
    <xf numFmtId="0" fontId="0" fillId="0" borderId="13" xfId="0" applyFill="1" applyBorder="1" applyAlignment="1">
      <alignment/>
    </xf>
    <xf numFmtId="0" fontId="0" fillId="0" borderId="13" xfId="57" applyFont="1" applyFill="1" applyBorder="1">
      <alignment/>
      <protection/>
    </xf>
    <xf numFmtId="3" fontId="0" fillId="0" borderId="13" xfId="57" applyNumberFormat="1" applyFont="1" applyFill="1" applyBorder="1">
      <alignment/>
      <protection/>
    </xf>
    <xf numFmtId="0" fontId="0" fillId="0" borderId="20" xfId="57" applyFill="1" applyBorder="1" applyAlignment="1">
      <alignment horizontal="center"/>
      <protection/>
    </xf>
    <xf numFmtId="0" fontId="0" fillId="0" borderId="13" xfId="57" applyFill="1" applyBorder="1" applyAlignment="1">
      <alignment horizontal="center"/>
      <protection/>
    </xf>
    <xf numFmtId="0" fontId="0" fillId="0" borderId="20" xfId="57" applyFont="1" applyFill="1" applyBorder="1" applyAlignment="1">
      <alignment horizontal="center"/>
      <protection/>
    </xf>
    <xf numFmtId="1" fontId="0" fillId="0" borderId="0" xfId="57" applyNumberFormat="1" applyFont="1">
      <alignment/>
      <protection/>
    </xf>
    <xf numFmtId="2" fontId="0" fillId="0" borderId="0" xfId="57" applyNumberFormat="1" applyFont="1">
      <alignment/>
      <protection/>
    </xf>
    <xf numFmtId="3" fontId="1" fillId="0" borderId="13" xfId="57" applyNumberFormat="1" applyFont="1" applyFill="1" applyBorder="1" applyAlignment="1">
      <alignment horizontal="right"/>
      <protection/>
    </xf>
    <xf numFmtId="49" fontId="1" fillId="0" borderId="12" xfId="57" applyNumberFormat="1" applyFont="1" applyFill="1" applyBorder="1" applyAlignment="1">
      <alignment horizontal="center"/>
      <protection/>
    </xf>
    <xf numFmtId="49" fontId="1" fillId="0" borderId="13" xfId="57" applyNumberFormat="1" applyFont="1" applyFill="1" applyBorder="1" applyAlignment="1">
      <alignment horizontal="center"/>
      <protection/>
    </xf>
    <xf numFmtId="4" fontId="0" fillId="0" borderId="0" xfId="57" applyNumberFormat="1">
      <alignment/>
      <protection/>
    </xf>
    <xf numFmtId="4" fontId="0" fillId="0" borderId="23" xfId="57" applyNumberFormat="1" applyBorder="1">
      <alignment/>
      <protection/>
    </xf>
    <xf numFmtId="4" fontId="1" fillId="0" borderId="23" xfId="57" applyNumberFormat="1" applyFont="1" applyBorder="1">
      <alignment/>
      <protection/>
    </xf>
    <xf numFmtId="4" fontId="1" fillId="0" borderId="0" xfId="57" applyNumberFormat="1" applyFont="1" applyAlignment="1">
      <alignment horizontal="left"/>
      <protection/>
    </xf>
    <xf numFmtId="4" fontId="1" fillId="0" borderId="0" xfId="57" applyNumberFormat="1" applyFont="1" applyFill="1" applyAlignment="1">
      <alignment horizontal="left"/>
      <protection/>
    </xf>
    <xf numFmtId="4" fontId="0" fillId="0" borderId="21" xfId="57" applyNumberFormat="1" applyBorder="1">
      <alignment/>
      <protection/>
    </xf>
    <xf numFmtId="4" fontId="1" fillId="0" borderId="24" xfId="57" applyNumberFormat="1" applyFont="1" applyFill="1" applyBorder="1" applyAlignment="1">
      <alignment horizontal="center" vertical="center" wrapText="1"/>
      <protection/>
    </xf>
    <xf numFmtId="0" fontId="1" fillId="0" borderId="25" xfId="57" applyFont="1" applyBorder="1" applyAlignment="1">
      <alignment horizontal="center"/>
      <protection/>
    </xf>
    <xf numFmtId="4" fontId="1" fillId="0" borderId="25" xfId="57" applyNumberFormat="1" applyFont="1" applyBorder="1" applyAlignment="1">
      <alignment horizontal="center"/>
      <protection/>
    </xf>
    <xf numFmtId="4" fontId="1" fillId="0" borderId="25" xfId="57" applyNumberFormat="1" applyFont="1" applyFill="1" applyBorder="1">
      <alignment/>
      <protection/>
    </xf>
    <xf numFmtId="4" fontId="0" fillId="0" borderId="25" xfId="57" applyNumberFormat="1" applyFont="1" applyFill="1" applyBorder="1">
      <alignment/>
      <protection/>
    </xf>
    <xf numFmtId="4" fontId="0" fillId="0" borderId="25" xfId="57" applyNumberFormat="1" applyBorder="1">
      <alignment/>
      <protection/>
    </xf>
    <xf numFmtId="4" fontId="1" fillId="0" borderId="25" xfId="57" applyNumberFormat="1" applyFont="1" applyBorder="1">
      <alignment/>
      <protection/>
    </xf>
    <xf numFmtId="4" fontId="0" fillId="0" borderId="26" xfId="57" applyNumberFormat="1" applyBorder="1">
      <alignment/>
      <protection/>
    </xf>
    <xf numFmtId="3" fontId="0" fillId="0" borderId="18" xfId="57" applyNumberFormat="1" applyBorder="1">
      <alignment/>
      <protection/>
    </xf>
    <xf numFmtId="3" fontId="1" fillId="33" borderId="18" xfId="57" applyNumberFormat="1" applyFont="1" applyFill="1" applyBorder="1">
      <alignment/>
      <protection/>
    </xf>
    <xf numFmtId="3" fontId="0" fillId="0" borderId="18" xfId="57" applyNumberFormat="1" applyFont="1" applyBorder="1">
      <alignment/>
      <protection/>
    </xf>
    <xf numFmtId="3" fontId="0" fillId="0" borderId="18" xfId="57" applyNumberFormat="1" applyFill="1" applyBorder="1">
      <alignment/>
      <protection/>
    </xf>
    <xf numFmtId="0" fontId="1" fillId="0" borderId="18" xfId="57" applyFont="1" applyBorder="1" applyAlignment="1">
      <alignment horizontal="center"/>
      <protection/>
    </xf>
    <xf numFmtId="3" fontId="1" fillId="0" borderId="18" xfId="57" applyNumberFormat="1" applyFont="1" applyFill="1" applyBorder="1" applyAlignment="1">
      <alignment horizontal="right"/>
      <protection/>
    </xf>
    <xf numFmtId="3" fontId="1" fillId="0" borderId="18" xfId="57" applyNumberFormat="1" applyFont="1" applyBorder="1">
      <alignment/>
      <protection/>
    </xf>
    <xf numFmtId="3" fontId="0" fillId="0" borderId="18" xfId="57" applyNumberFormat="1" applyFont="1" applyFill="1" applyBorder="1">
      <alignment/>
      <protection/>
    </xf>
    <xf numFmtId="3" fontId="1" fillId="0" borderId="13" xfId="57" applyNumberFormat="1" applyFont="1" applyBorder="1" applyAlignment="1">
      <alignment horizontal="center"/>
      <protection/>
    </xf>
    <xf numFmtId="3" fontId="0" fillId="0" borderId="13" xfId="57" applyNumberFormat="1" applyFont="1" applyFill="1" applyBorder="1">
      <alignment/>
      <protection/>
    </xf>
    <xf numFmtId="3" fontId="1" fillId="0" borderId="13" xfId="57" applyNumberFormat="1" applyFont="1" applyFill="1" applyBorder="1">
      <alignment/>
      <protection/>
    </xf>
    <xf numFmtId="3" fontId="0" fillId="0" borderId="13" xfId="57" applyNumberFormat="1" applyFont="1" applyFill="1" applyBorder="1">
      <alignment/>
      <protection/>
    </xf>
    <xf numFmtId="4" fontId="1" fillId="0" borderId="26" xfId="57" applyNumberFormat="1" applyFont="1" applyBorder="1">
      <alignment/>
      <protection/>
    </xf>
    <xf numFmtId="3" fontId="1" fillId="0" borderId="15" xfId="57" applyNumberFormat="1" applyFont="1" applyBorder="1">
      <alignment/>
      <protection/>
    </xf>
    <xf numFmtId="5" fontId="4" fillId="0" borderId="27" xfId="57" applyNumberFormat="1" applyFont="1" applyBorder="1" applyAlignment="1">
      <alignment/>
      <protection/>
    </xf>
    <xf numFmtId="5" fontId="5" fillId="0" borderId="27" xfId="0" applyNumberFormat="1" applyFont="1" applyBorder="1" applyAlignment="1">
      <alignment/>
    </xf>
    <xf numFmtId="0" fontId="0" fillId="0" borderId="12" xfId="57" applyBorder="1" applyAlignment="1">
      <alignment vertical="center"/>
      <protection/>
    </xf>
    <xf numFmtId="0" fontId="0" fillId="0" borderId="13" xfId="57" applyBorder="1" applyAlignment="1">
      <alignment vertical="center"/>
      <protection/>
    </xf>
    <xf numFmtId="0" fontId="0" fillId="0" borderId="16" xfId="57" applyBorder="1" applyAlignment="1">
      <alignment vertical="center"/>
      <protection/>
    </xf>
    <xf numFmtId="0" fontId="0" fillId="0" borderId="13" xfId="57" applyBorder="1" applyAlignment="1">
      <alignment horizontal="center" vertical="center"/>
      <protection/>
    </xf>
    <xf numFmtId="0" fontId="0" fillId="0" borderId="13" xfId="0" applyFill="1" applyBorder="1" applyAlignment="1">
      <alignment vertical="center" wrapText="1"/>
    </xf>
    <xf numFmtId="3" fontId="0" fillId="0" borderId="13" xfId="57" applyNumberFormat="1" applyFont="1" applyFill="1" applyBorder="1" applyAlignment="1">
      <alignment vertical="center"/>
      <protection/>
    </xf>
    <xf numFmtId="4" fontId="0" fillId="0" borderId="25" xfId="57" applyNumberFormat="1" applyFont="1" applyFill="1" applyBorder="1" applyAlignment="1">
      <alignment vertical="center"/>
      <protection/>
    </xf>
    <xf numFmtId="0" fontId="0" fillId="0" borderId="0" xfId="57" applyFont="1" applyAlignment="1">
      <alignment vertical="center"/>
      <protection/>
    </xf>
    <xf numFmtId="0" fontId="0" fillId="0" borderId="0" xfId="57" applyAlignment="1">
      <alignment vertical="center"/>
      <protection/>
    </xf>
    <xf numFmtId="0" fontId="0" fillId="0" borderId="13" xfId="0" applyBorder="1" applyAlignment="1">
      <alignment vertical="center" wrapText="1"/>
    </xf>
    <xf numFmtId="0" fontId="0" fillId="0" borderId="12" xfId="57" applyFont="1" applyBorder="1" applyAlignment="1">
      <alignment vertical="center"/>
      <protection/>
    </xf>
    <xf numFmtId="0" fontId="0" fillId="0" borderId="13" xfId="57" applyFont="1" applyBorder="1" applyAlignment="1">
      <alignment vertical="center"/>
      <protection/>
    </xf>
    <xf numFmtId="0" fontId="0" fillId="0" borderId="13" xfId="57" applyFont="1" applyBorder="1" applyAlignment="1">
      <alignment horizontal="center" vertical="center"/>
      <protection/>
    </xf>
    <xf numFmtId="0" fontId="0" fillId="0" borderId="13" xfId="57" applyFont="1" applyFill="1" applyBorder="1" applyAlignment="1">
      <alignment vertical="center" wrapText="1"/>
      <protection/>
    </xf>
    <xf numFmtId="3" fontId="0" fillId="0" borderId="18" xfId="57" applyNumberFormat="1" applyFont="1" applyBorder="1" applyAlignment="1">
      <alignment vertical="center"/>
      <protection/>
    </xf>
    <xf numFmtId="0" fontId="0" fillId="0" borderId="0" xfId="57" applyFont="1" applyAlignment="1">
      <alignment vertical="center"/>
      <protection/>
    </xf>
    <xf numFmtId="3" fontId="0" fillId="0" borderId="0" xfId="57" applyNumberFormat="1" applyFont="1" applyAlignment="1">
      <alignment vertical="center"/>
      <protection/>
    </xf>
    <xf numFmtId="4" fontId="1" fillId="0" borderId="25" xfId="57" applyNumberFormat="1" applyFont="1" applyFill="1" applyBorder="1">
      <alignment/>
      <protection/>
    </xf>
    <xf numFmtId="4" fontId="0" fillId="0" borderId="0" xfId="57" applyNumberFormat="1" applyFont="1">
      <alignment/>
      <protection/>
    </xf>
    <xf numFmtId="3" fontId="0" fillId="0" borderId="0" xfId="57" applyNumberFormat="1" applyFill="1">
      <alignment/>
      <protection/>
    </xf>
    <xf numFmtId="4" fontId="0" fillId="0" borderId="0" xfId="57" applyNumberFormat="1" applyFill="1">
      <alignment/>
      <protection/>
    </xf>
    <xf numFmtId="0" fontId="1" fillId="0" borderId="11" xfId="57" applyFont="1" applyFill="1" applyBorder="1" applyAlignment="1">
      <alignment horizontal="center" vertical="center" wrapText="1"/>
      <protection/>
    </xf>
    <xf numFmtId="0" fontId="0" fillId="0" borderId="13" xfId="57" applyFont="1" applyFill="1" applyBorder="1">
      <alignment/>
      <protection/>
    </xf>
    <xf numFmtId="0" fontId="0" fillId="0" borderId="13" xfId="57" applyFont="1" applyFill="1" applyBorder="1" applyAlignment="1">
      <alignment wrapText="1"/>
      <protection/>
    </xf>
    <xf numFmtId="0" fontId="0" fillId="0" borderId="13" xfId="57" applyFont="1" applyBorder="1">
      <alignment/>
      <protection/>
    </xf>
    <xf numFmtId="3" fontId="0" fillId="0" borderId="13" xfId="58" applyNumberFormat="1" applyFill="1" applyBorder="1">
      <alignment/>
      <protection/>
    </xf>
    <xf numFmtId="3" fontId="1" fillId="0" borderId="13" xfId="58" applyNumberFormat="1" applyFont="1" applyFill="1" applyBorder="1">
      <alignment/>
      <protection/>
    </xf>
    <xf numFmtId="3" fontId="0" fillId="0" borderId="18" xfId="58" applyNumberFormat="1" applyFill="1" applyBorder="1">
      <alignment/>
      <protection/>
    </xf>
    <xf numFmtId="3" fontId="0" fillId="0" borderId="13" xfId="58" applyNumberFormat="1" applyFont="1" applyFill="1" applyBorder="1">
      <alignment/>
      <protection/>
    </xf>
    <xf numFmtId="3" fontId="0" fillId="0" borderId="13" xfId="58" applyNumberFormat="1" applyFont="1" applyFill="1" applyBorder="1">
      <alignment/>
      <protection/>
    </xf>
    <xf numFmtId="0" fontId="0" fillId="33" borderId="13" xfId="57" applyFont="1" applyFill="1" applyBorder="1" applyAlignment="1">
      <alignment wrapText="1"/>
      <protection/>
    </xf>
    <xf numFmtId="0" fontId="1" fillId="0" borderId="13" xfId="57" applyFont="1" applyFill="1" applyBorder="1">
      <alignment/>
      <protection/>
    </xf>
    <xf numFmtId="3" fontId="1" fillId="0" borderId="18" xfId="58" applyNumberFormat="1" applyFont="1" applyFill="1" applyBorder="1">
      <alignment/>
      <protection/>
    </xf>
    <xf numFmtId="0" fontId="1" fillId="0" borderId="0" xfId="57" applyFont="1" applyAlignment="1">
      <alignment horizontal="left"/>
      <protection/>
    </xf>
    <xf numFmtId="0" fontId="1" fillId="0" borderId="27" xfId="57" applyFont="1" applyBorder="1" applyAlignment="1">
      <alignment horizontal="right"/>
      <protection/>
    </xf>
    <xf numFmtId="0" fontId="1" fillId="0" borderId="0" xfId="57" applyFont="1" applyFill="1" applyAlignment="1">
      <alignment horizontal="left"/>
      <protection/>
    </xf>
    <xf numFmtId="0" fontId="1" fillId="34" borderId="0" xfId="57" applyFont="1" applyFill="1" applyAlignment="1">
      <alignment horizontal="lef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ablon1-230704" xfId="57"/>
    <cellStyle name="Normal_sablon1-230704 2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Zarez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2:L47"/>
  <sheetViews>
    <sheetView tabSelected="1" workbookViewId="0" topLeftCell="B1">
      <selection activeCell="K13" sqref="K13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1.28125" style="24" customWidth="1"/>
    <col min="6" max="6" width="43.7109375" style="13" customWidth="1"/>
    <col min="7" max="8" width="15.7109375" style="13" customWidth="1"/>
    <col min="9" max="9" width="8.7109375" style="80" customWidth="1"/>
    <col min="10" max="10" width="9.140625" style="13" customWidth="1"/>
    <col min="11" max="11" width="9.57421875" style="13" bestFit="1" customWidth="1"/>
    <col min="12" max="16384" width="9.140625" style="13" customWidth="1"/>
  </cols>
  <sheetData>
    <row r="2" spans="2:9" ht="15" customHeight="1">
      <c r="B2" s="143" t="s">
        <v>36</v>
      </c>
      <c r="C2" s="143"/>
      <c r="D2" s="143"/>
      <c r="E2" s="143"/>
      <c r="F2" s="143"/>
      <c r="G2" s="143"/>
      <c r="H2" s="143"/>
      <c r="I2" s="143"/>
    </row>
    <row r="3" spans="5:9" s="1" customFormat="1" ht="16.5" thickBot="1">
      <c r="E3" s="2"/>
      <c r="F3" s="144" t="s">
        <v>165</v>
      </c>
      <c r="G3" s="144"/>
      <c r="H3" s="108">
        <v>778470</v>
      </c>
      <c r="I3" s="109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47" t="s">
        <v>147</v>
      </c>
      <c r="H4" s="47" t="s">
        <v>164</v>
      </c>
      <c r="I4" s="86" t="s">
        <v>139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2">
        <v>6</v>
      </c>
      <c r="H5" s="9">
        <v>7</v>
      </c>
      <c r="I5" s="87">
        <v>8</v>
      </c>
    </row>
    <row r="6" spans="2:9" s="2" customFormat="1" ht="12.75" customHeight="1">
      <c r="B6" s="10">
        <v>10</v>
      </c>
      <c r="C6" s="11" t="s">
        <v>4</v>
      </c>
      <c r="D6" s="11" t="s">
        <v>5</v>
      </c>
      <c r="E6" s="9"/>
      <c r="F6" s="9"/>
      <c r="G6" s="32"/>
      <c r="H6" s="9"/>
      <c r="I6" s="88"/>
    </row>
    <row r="7" spans="2:11" s="1" customFormat="1" ht="12.75" customHeight="1">
      <c r="B7" s="17"/>
      <c r="C7" s="12"/>
      <c r="D7" s="12"/>
      <c r="E7" s="9">
        <v>611000</v>
      </c>
      <c r="F7" s="12" t="s">
        <v>82</v>
      </c>
      <c r="G7" s="136">
        <f>SUM(G8:G10)</f>
        <v>460850</v>
      </c>
      <c r="H7" s="136">
        <f>SUM(H8:H10)</f>
        <v>0</v>
      </c>
      <c r="I7" s="89">
        <f>IF(G7=0,"",H7/G7*100)</f>
        <v>0</v>
      </c>
      <c r="K7" s="54"/>
    </row>
    <row r="8" spans="2:11" ht="12.75" customHeight="1">
      <c r="B8" s="14"/>
      <c r="C8" s="15"/>
      <c r="D8" s="15"/>
      <c r="E8" s="16">
        <v>611100</v>
      </c>
      <c r="F8" s="26" t="s">
        <v>107</v>
      </c>
      <c r="G8" s="135">
        <f>318200+15770+44680</f>
        <v>378650</v>
      </c>
      <c r="H8" s="135"/>
      <c r="I8" s="90">
        <f aca="true" t="shared" si="0" ref="I8:I42">IF(G8=0,"",H8/G8*100)</f>
        <v>0</v>
      </c>
      <c r="J8" s="51"/>
      <c r="K8" s="54"/>
    </row>
    <row r="9" spans="2:11" ht="12.75" customHeight="1">
      <c r="B9" s="14"/>
      <c r="C9" s="15"/>
      <c r="D9" s="15"/>
      <c r="E9" s="16">
        <v>611200</v>
      </c>
      <c r="F9" s="26" t="s">
        <v>108</v>
      </c>
      <c r="G9" s="135">
        <f>69400+12800</f>
        <v>82200</v>
      </c>
      <c r="H9" s="135"/>
      <c r="I9" s="90">
        <f t="shared" si="0"/>
        <v>0</v>
      </c>
      <c r="K9" s="54"/>
    </row>
    <row r="10" spans="2:11" ht="12.75" customHeight="1">
      <c r="B10" s="14"/>
      <c r="C10" s="15"/>
      <c r="D10" s="15"/>
      <c r="E10" s="16">
        <v>611200</v>
      </c>
      <c r="F10" s="134" t="s">
        <v>148</v>
      </c>
      <c r="G10" s="135">
        <v>0</v>
      </c>
      <c r="H10" s="135"/>
      <c r="I10" s="90">
        <f t="shared" si="0"/>
      </c>
      <c r="K10" s="54"/>
    </row>
    <row r="11" spans="2:11" ht="12.75" customHeight="1">
      <c r="B11" s="14"/>
      <c r="C11" s="15"/>
      <c r="D11" s="15"/>
      <c r="E11" s="16"/>
      <c r="F11" s="15"/>
      <c r="G11" s="135"/>
      <c r="H11" s="135"/>
      <c r="I11" s="89">
        <f t="shared" si="0"/>
      </c>
      <c r="K11" s="54"/>
    </row>
    <row r="12" spans="2:11" ht="12.75" customHeight="1">
      <c r="B12" s="17"/>
      <c r="C12" s="12"/>
      <c r="D12" s="12"/>
      <c r="E12" s="9">
        <v>612000</v>
      </c>
      <c r="F12" s="12" t="s">
        <v>81</v>
      </c>
      <c r="G12" s="136">
        <f>G13+G14</f>
        <v>40820</v>
      </c>
      <c r="H12" s="136">
        <f>H13+H14</f>
        <v>0</v>
      </c>
      <c r="I12" s="89">
        <f t="shared" si="0"/>
        <v>0</v>
      </c>
      <c r="K12" s="54"/>
    </row>
    <row r="13" spans="2:11" s="1" customFormat="1" ht="12.75" customHeight="1">
      <c r="B13" s="14"/>
      <c r="C13" s="15"/>
      <c r="D13" s="15"/>
      <c r="E13" s="16">
        <v>612100</v>
      </c>
      <c r="F13" s="18" t="s">
        <v>6</v>
      </c>
      <c r="G13" s="135">
        <f>34100+1690+5030</f>
        <v>40820</v>
      </c>
      <c r="H13" s="135"/>
      <c r="I13" s="90">
        <f t="shared" si="0"/>
        <v>0</v>
      </c>
      <c r="K13" s="54"/>
    </row>
    <row r="14" spans="2:11" ht="12.75" customHeight="1">
      <c r="B14" s="14"/>
      <c r="C14" s="15"/>
      <c r="D14" s="15"/>
      <c r="E14" s="16"/>
      <c r="F14" s="15"/>
      <c r="G14" s="33"/>
      <c r="H14" s="33"/>
      <c r="I14" s="89">
        <f t="shared" si="0"/>
      </c>
      <c r="K14" s="54"/>
    </row>
    <row r="15" spans="2:11" ht="12.75" customHeight="1">
      <c r="B15" s="14"/>
      <c r="C15" s="15"/>
      <c r="D15" s="15"/>
      <c r="E15" s="16"/>
      <c r="F15" s="15"/>
      <c r="G15" s="33"/>
      <c r="H15" s="33"/>
      <c r="I15" s="89">
        <f t="shared" si="0"/>
      </c>
      <c r="K15" s="54"/>
    </row>
    <row r="16" spans="2:11" ht="12.75" customHeight="1">
      <c r="B16" s="17"/>
      <c r="C16" s="12"/>
      <c r="D16" s="12"/>
      <c r="E16" s="9">
        <v>613000</v>
      </c>
      <c r="F16" s="12" t="s">
        <v>83</v>
      </c>
      <c r="G16" s="37">
        <f>SUM(G17:G26)</f>
        <v>271790</v>
      </c>
      <c r="H16" s="37">
        <f>SUM(H17:H26)</f>
        <v>0</v>
      </c>
      <c r="I16" s="89">
        <f t="shared" si="0"/>
        <v>0</v>
      </c>
      <c r="K16" s="54"/>
    </row>
    <row r="17" spans="2:11" s="1" customFormat="1" ht="12.75" customHeight="1">
      <c r="B17" s="14"/>
      <c r="C17" s="15"/>
      <c r="D17" s="15"/>
      <c r="E17" s="16">
        <v>613100</v>
      </c>
      <c r="F17" s="15" t="s">
        <v>7</v>
      </c>
      <c r="G17" s="33">
        <f>6000+500</f>
        <v>6500</v>
      </c>
      <c r="H17" s="33"/>
      <c r="I17" s="90">
        <f t="shared" si="0"/>
        <v>0</v>
      </c>
      <c r="K17" s="54"/>
    </row>
    <row r="18" spans="2:11" ht="12.75" customHeight="1">
      <c r="B18" s="14"/>
      <c r="C18" s="15"/>
      <c r="D18" s="15"/>
      <c r="E18" s="16">
        <v>613200</v>
      </c>
      <c r="F18" s="15" t="s">
        <v>8</v>
      </c>
      <c r="G18" s="33">
        <v>13600</v>
      </c>
      <c r="H18" s="33"/>
      <c r="I18" s="90">
        <f t="shared" si="0"/>
        <v>0</v>
      </c>
      <c r="K18" s="54"/>
    </row>
    <row r="19" spans="2:11" ht="12.75" customHeight="1">
      <c r="B19" s="14"/>
      <c r="C19" s="15"/>
      <c r="D19" s="15"/>
      <c r="E19" s="16">
        <v>613300</v>
      </c>
      <c r="F19" s="26" t="s">
        <v>109</v>
      </c>
      <c r="G19" s="33">
        <v>7300</v>
      </c>
      <c r="H19" s="33"/>
      <c r="I19" s="90">
        <f t="shared" si="0"/>
        <v>0</v>
      </c>
      <c r="K19" s="54"/>
    </row>
    <row r="20" spans="2:11" ht="12.75" customHeight="1">
      <c r="B20" s="14"/>
      <c r="C20" s="15"/>
      <c r="D20" s="15"/>
      <c r="E20" s="16">
        <v>613400</v>
      </c>
      <c r="F20" s="26" t="s">
        <v>84</v>
      </c>
      <c r="G20" s="52">
        <v>5500</v>
      </c>
      <c r="H20" s="52"/>
      <c r="I20" s="90">
        <f t="shared" si="0"/>
        <v>0</v>
      </c>
      <c r="K20" s="54"/>
    </row>
    <row r="21" spans="2:11" ht="12.75" customHeight="1">
      <c r="B21" s="14"/>
      <c r="C21" s="15"/>
      <c r="D21" s="15"/>
      <c r="E21" s="16">
        <v>613500</v>
      </c>
      <c r="F21" s="15" t="s">
        <v>9</v>
      </c>
      <c r="G21" s="52">
        <v>10000</v>
      </c>
      <c r="H21" s="52"/>
      <c r="I21" s="90">
        <f t="shared" si="0"/>
        <v>0</v>
      </c>
      <c r="K21" s="54"/>
    </row>
    <row r="22" spans="2:11" ht="12.75" customHeight="1">
      <c r="B22" s="14"/>
      <c r="C22" s="15"/>
      <c r="D22" s="15"/>
      <c r="E22" s="16">
        <v>613600</v>
      </c>
      <c r="F22" s="26" t="s">
        <v>110</v>
      </c>
      <c r="G22" s="33">
        <v>0</v>
      </c>
      <c r="H22" s="33"/>
      <c r="I22" s="90">
        <f t="shared" si="0"/>
      </c>
      <c r="K22" s="54"/>
    </row>
    <row r="23" spans="2:11" ht="12.75" customHeight="1">
      <c r="B23" s="14"/>
      <c r="C23" s="15"/>
      <c r="D23" s="15"/>
      <c r="E23" s="16">
        <v>613700</v>
      </c>
      <c r="F23" s="15" t="s">
        <v>10</v>
      </c>
      <c r="G23" s="33">
        <v>8000</v>
      </c>
      <c r="H23" s="33"/>
      <c r="I23" s="90">
        <f t="shared" si="0"/>
        <v>0</v>
      </c>
      <c r="K23" s="54"/>
    </row>
    <row r="24" spans="2:11" ht="12.75" customHeight="1">
      <c r="B24" s="14"/>
      <c r="C24" s="15"/>
      <c r="D24" s="15"/>
      <c r="E24" s="16">
        <v>613800</v>
      </c>
      <c r="F24" s="26" t="s">
        <v>85</v>
      </c>
      <c r="G24" s="33">
        <v>340</v>
      </c>
      <c r="H24" s="33"/>
      <c r="I24" s="90">
        <f t="shared" si="0"/>
        <v>0</v>
      </c>
      <c r="K24" s="76"/>
    </row>
    <row r="25" spans="2:11" ht="12.75" customHeight="1">
      <c r="B25" s="14"/>
      <c r="C25" s="15"/>
      <c r="D25" s="15"/>
      <c r="E25" s="16">
        <v>613900</v>
      </c>
      <c r="F25" s="26" t="s">
        <v>86</v>
      </c>
      <c r="G25" s="52">
        <f>220000+550</f>
        <v>220550</v>
      </c>
      <c r="H25" s="52"/>
      <c r="I25" s="90">
        <f t="shared" si="0"/>
        <v>0</v>
      </c>
      <c r="J25" s="62"/>
      <c r="K25" s="75"/>
    </row>
    <row r="26" spans="2:12" ht="12.75" customHeight="1">
      <c r="B26" s="14"/>
      <c r="C26" s="15"/>
      <c r="D26" s="15"/>
      <c r="E26" s="16">
        <v>613900</v>
      </c>
      <c r="F26" s="134" t="s">
        <v>149</v>
      </c>
      <c r="G26" s="33">
        <v>0</v>
      </c>
      <c r="H26" s="33"/>
      <c r="I26" s="90">
        <f t="shared" si="0"/>
      </c>
      <c r="K26" s="54"/>
      <c r="L26" s="51"/>
    </row>
    <row r="27" spans="2:11" ht="12.75" customHeight="1">
      <c r="B27" s="14"/>
      <c r="C27" s="15"/>
      <c r="D27" s="15"/>
      <c r="E27" s="16"/>
      <c r="F27" s="15"/>
      <c r="G27" s="33"/>
      <c r="H27" s="33"/>
      <c r="I27" s="89">
        <f t="shared" si="0"/>
      </c>
      <c r="K27" s="54"/>
    </row>
    <row r="28" spans="2:11" ht="12.75" customHeight="1">
      <c r="B28" s="17"/>
      <c r="C28" s="12"/>
      <c r="D28" s="12"/>
      <c r="E28" s="9"/>
      <c r="F28" s="12"/>
      <c r="G28" s="20"/>
      <c r="H28" s="20"/>
      <c r="I28" s="89">
        <f t="shared" si="0"/>
      </c>
      <c r="K28" s="54"/>
    </row>
    <row r="29" spans="2:11" s="1" customFormat="1" ht="12.75" customHeight="1">
      <c r="B29" s="14"/>
      <c r="C29" s="15"/>
      <c r="D29" s="15"/>
      <c r="E29" s="16"/>
      <c r="F29" s="26"/>
      <c r="G29" s="33"/>
      <c r="H29" s="33"/>
      <c r="I29" s="90">
        <f t="shared" si="0"/>
      </c>
      <c r="K29" s="54"/>
    </row>
    <row r="30" spans="2:11" ht="12.75" customHeight="1">
      <c r="B30" s="14"/>
      <c r="C30" s="15"/>
      <c r="D30" s="15"/>
      <c r="E30" s="16"/>
      <c r="F30" s="26"/>
      <c r="G30" s="33"/>
      <c r="H30" s="33"/>
      <c r="I30" s="89">
        <f t="shared" si="0"/>
      </c>
      <c r="K30" s="54"/>
    </row>
    <row r="31" spans="2:11" ht="12.75" customHeight="1">
      <c r="B31" s="14"/>
      <c r="C31" s="15"/>
      <c r="D31" s="15"/>
      <c r="E31" s="16"/>
      <c r="F31" s="15"/>
      <c r="G31" s="33"/>
      <c r="H31" s="33"/>
      <c r="I31" s="89">
        <f t="shared" si="0"/>
      </c>
      <c r="K31" s="54"/>
    </row>
    <row r="32" spans="2:11" ht="12.75" customHeight="1">
      <c r="B32" s="14"/>
      <c r="C32" s="15"/>
      <c r="D32" s="15"/>
      <c r="E32" s="16"/>
      <c r="F32" s="15"/>
      <c r="G32" s="33"/>
      <c r="H32" s="33"/>
      <c r="I32" s="89">
        <f t="shared" si="0"/>
      </c>
      <c r="K32" s="54"/>
    </row>
    <row r="33" spans="2:11" ht="12.75" customHeight="1">
      <c r="B33" s="14"/>
      <c r="C33" s="15"/>
      <c r="D33" s="15"/>
      <c r="E33" s="16"/>
      <c r="F33" s="15"/>
      <c r="G33" s="33"/>
      <c r="H33" s="33"/>
      <c r="I33" s="89">
        <f t="shared" si="0"/>
      </c>
      <c r="K33" s="54"/>
    </row>
    <row r="34" spans="2:11" ht="12.75" customHeight="1">
      <c r="B34" s="14"/>
      <c r="C34" s="15"/>
      <c r="D34" s="15"/>
      <c r="E34" s="16"/>
      <c r="F34" s="19"/>
      <c r="G34" s="33"/>
      <c r="H34" s="33"/>
      <c r="I34" s="89">
        <f t="shared" si="0"/>
      </c>
      <c r="K34" s="54"/>
    </row>
    <row r="35" spans="2:11" ht="12.75" customHeight="1">
      <c r="B35" s="14"/>
      <c r="C35" s="15"/>
      <c r="D35" s="15"/>
      <c r="E35" s="16"/>
      <c r="F35" s="15"/>
      <c r="G35" s="33"/>
      <c r="H35" s="33"/>
      <c r="I35" s="89">
        <f t="shared" si="0"/>
      </c>
      <c r="K35" s="54"/>
    </row>
    <row r="36" spans="2:11" ht="12.75" customHeight="1">
      <c r="B36" s="17"/>
      <c r="C36" s="12"/>
      <c r="D36" s="12"/>
      <c r="E36" s="9">
        <v>821000</v>
      </c>
      <c r="F36" s="12" t="s">
        <v>13</v>
      </c>
      <c r="G36" s="20">
        <f>SUM(G37:G38)</f>
        <v>57000</v>
      </c>
      <c r="H36" s="20">
        <f>SUM(H37:H38)</f>
        <v>0</v>
      </c>
      <c r="I36" s="89">
        <f t="shared" si="0"/>
        <v>0</v>
      </c>
      <c r="K36" s="54"/>
    </row>
    <row r="37" spans="2:11" s="1" customFormat="1" ht="12.75" customHeight="1">
      <c r="B37" s="14"/>
      <c r="C37" s="15"/>
      <c r="D37" s="15"/>
      <c r="E37" s="16">
        <v>821200</v>
      </c>
      <c r="F37" s="15" t="s">
        <v>14</v>
      </c>
      <c r="G37" s="52">
        <v>2000</v>
      </c>
      <c r="H37" s="52"/>
      <c r="I37" s="90">
        <f t="shared" si="0"/>
        <v>0</v>
      </c>
      <c r="K37" s="54"/>
    </row>
    <row r="38" spans="2:11" ht="12.75" customHeight="1">
      <c r="B38" s="14"/>
      <c r="C38" s="15"/>
      <c r="D38" s="15"/>
      <c r="E38" s="16">
        <v>821300</v>
      </c>
      <c r="F38" s="15" t="s">
        <v>15</v>
      </c>
      <c r="G38" s="52">
        <v>55000</v>
      </c>
      <c r="H38" s="52"/>
      <c r="I38" s="90">
        <f t="shared" si="0"/>
        <v>0</v>
      </c>
      <c r="J38" s="51"/>
      <c r="K38" s="54"/>
    </row>
    <row r="39" spans="2:11" ht="12.75" customHeight="1">
      <c r="B39" s="14"/>
      <c r="C39" s="15"/>
      <c r="D39" s="15"/>
      <c r="E39" s="16"/>
      <c r="F39" s="15"/>
      <c r="G39" s="33"/>
      <c r="H39" s="33"/>
      <c r="I39" s="90">
        <f t="shared" si="0"/>
      </c>
      <c r="K39" s="54"/>
    </row>
    <row r="40" spans="2:11" ht="12.75" customHeight="1">
      <c r="B40" s="14"/>
      <c r="C40" s="15"/>
      <c r="D40" s="15"/>
      <c r="E40" s="16"/>
      <c r="F40" s="15"/>
      <c r="G40" s="33"/>
      <c r="H40" s="33"/>
      <c r="I40" s="90">
        <f t="shared" si="0"/>
      </c>
      <c r="K40" s="54"/>
    </row>
    <row r="41" spans="2:11" ht="12.75" customHeight="1">
      <c r="B41" s="17"/>
      <c r="C41" s="12"/>
      <c r="D41" s="12"/>
      <c r="E41" s="9"/>
      <c r="F41" s="12" t="s">
        <v>16</v>
      </c>
      <c r="G41" s="63">
        <f>15+3</f>
        <v>18</v>
      </c>
      <c r="H41" s="63"/>
      <c r="I41" s="90"/>
      <c r="K41" s="54"/>
    </row>
    <row r="42" spans="2:11" s="1" customFormat="1" ht="12.75" customHeight="1">
      <c r="B42" s="17"/>
      <c r="C42" s="12"/>
      <c r="D42" s="12"/>
      <c r="E42" s="9"/>
      <c r="F42" s="12" t="s">
        <v>32</v>
      </c>
      <c r="G42" s="20">
        <f>G7+G12+G16+G28+G36</f>
        <v>830460</v>
      </c>
      <c r="H42" s="20">
        <f>H7+H12+H16+H28+H36</f>
        <v>0</v>
      </c>
      <c r="I42" s="89">
        <f t="shared" si="0"/>
        <v>0</v>
      </c>
      <c r="K42" s="54"/>
    </row>
    <row r="43" spans="2:9" s="1" customFormat="1" ht="12.75" customHeight="1">
      <c r="B43" s="17"/>
      <c r="C43" s="12"/>
      <c r="D43" s="12"/>
      <c r="E43" s="9"/>
      <c r="F43" s="12" t="s">
        <v>17</v>
      </c>
      <c r="G43" s="20"/>
      <c r="H43" s="20"/>
      <c r="I43" s="92"/>
    </row>
    <row r="44" spans="2:9" s="1" customFormat="1" ht="12.75" customHeight="1">
      <c r="B44" s="17"/>
      <c r="C44" s="12"/>
      <c r="D44" s="12"/>
      <c r="E44" s="9"/>
      <c r="F44" s="12" t="s">
        <v>18</v>
      </c>
      <c r="G44" s="20"/>
      <c r="H44" s="20"/>
      <c r="I44" s="92"/>
    </row>
    <row r="45" spans="2:9" s="1" customFormat="1" ht="12.75" customHeight="1" thickBot="1">
      <c r="B45" s="21"/>
      <c r="C45" s="22"/>
      <c r="D45" s="22"/>
      <c r="E45" s="23"/>
      <c r="F45" s="22"/>
      <c r="G45" s="36"/>
      <c r="H45" s="35"/>
      <c r="I45" s="93"/>
    </row>
    <row r="46" ht="12.75" customHeight="1"/>
    <row r="47" ht="12.75">
      <c r="B47" s="51"/>
    </row>
  </sheetData>
  <sheetProtection/>
  <mergeCells count="2">
    <mergeCell ref="B2:I2"/>
    <mergeCell ref="F3:G3"/>
  </mergeCells>
  <printOptions/>
  <pageMargins left="0.2755905511811024" right="0.2755905511811024" top="0.5905511811023623" bottom="0.5905511811023623" header="0.5118110236220472" footer="0.5118110236220472"/>
  <pageSetup fitToHeight="1" fitToWidth="1" horizontalDpi="180" verticalDpi="180" orientation="portrait" paperSize="9" scale="88" r:id="rId1"/>
  <headerFooter alignWithMargins="0">
    <oddFooter>&amp;R8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/>
  <dimension ref="B2:M62"/>
  <sheetViews>
    <sheetView workbookViewId="0" topLeftCell="A1">
      <selection activeCell="H4" sqref="H4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57421875" style="24" customWidth="1"/>
    <col min="6" max="6" width="43.7109375" style="13" customWidth="1"/>
    <col min="7" max="7" width="15.7109375" style="13" customWidth="1"/>
    <col min="8" max="8" width="15.7109375" style="55" customWidth="1"/>
    <col min="9" max="9" width="8.7109375" style="80" customWidth="1"/>
    <col min="10" max="16384" width="9.140625" style="13" customWidth="1"/>
  </cols>
  <sheetData>
    <row r="2" spans="2:9" s="67" customFormat="1" ht="15" customHeight="1">
      <c r="B2" s="145" t="s">
        <v>104</v>
      </c>
      <c r="C2" s="145"/>
      <c r="D2" s="145"/>
      <c r="E2" s="145"/>
      <c r="F2" s="145"/>
      <c r="G2" s="145"/>
      <c r="H2" s="129"/>
      <c r="I2" s="130"/>
    </row>
    <row r="3" spans="5:9" s="1" customFormat="1" ht="16.5" thickBot="1">
      <c r="E3" s="2"/>
      <c r="F3" s="144" t="s">
        <v>165</v>
      </c>
      <c r="G3" s="144"/>
      <c r="H3" s="108">
        <v>1615300</v>
      </c>
      <c r="I3" s="109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31" t="s">
        <v>147</v>
      </c>
      <c r="H4" s="131" t="s">
        <v>164</v>
      </c>
      <c r="I4" s="86" t="s">
        <v>139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2">
        <v>6</v>
      </c>
      <c r="H5" s="9">
        <v>7</v>
      </c>
      <c r="I5" s="87">
        <v>8</v>
      </c>
    </row>
    <row r="6" spans="2:9" s="2" customFormat="1" ht="12.75" customHeight="1">
      <c r="B6" s="10" t="s">
        <v>51</v>
      </c>
      <c r="C6" s="11" t="s">
        <v>52</v>
      </c>
      <c r="D6" s="11" t="s">
        <v>44</v>
      </c>
      <c r="E6" s="9"/>
      <c r="F6" s="9"/>
      <c r="G6" s="32"/>
      <c r="H6" s="102"/>
      <c r="I6" s="88"/>
    </row>
    <row r="7" spans="2:9" s="1" customFormat="1" ht="12.75" customHeight="1">
      <c r="B7" s="17"/>
      <c r="C7" s="12"/>
      <c r="D7" s="12"/>
      <c r="E7" s="9">
        <v>611000</v>
      </c>
      <c r="F7" s="12" t="s">
        <v>82</v>
      </c>
      <c r="G7" s="136">
        <f>SUM(G8:G11)</f>
        <v>1167310</v>
      </c>
      <c r="H7" s="136">
        <f>SUM(H8:H11)</f>
        <v>0</v>
      </c>
      <c r="I7" s="89">
        <f aca="true" t="shared" si="0" ref="I7:I43">IF(G7=0,"",H7/G7*100)</f>
        <v>0</v>
      </c>
    </row>
    <row r="8" spans="2:9" ht="12.75" customHeight="1">
      <c r="B8" s="14"/>
      <c r="C8" s="15"/>
      <c r="D8" s="15"/>
      <c r="E8" s="16">
        <v>611100</v>
      </c>
      <c r="F8" s="26" t="s">
        <v>107</v>
      </c>
      <c r="G8" s="138">
        <f>955300+22610</f>
        <v>977910</v>
      </c>
      <c r="H8" s="138"/>
      <c r="I8" s="90">
        <f t="shared" si="0"/>
        <v>0</v>
      </c>
    </row>
    <row r="9" spans="2:9" ht="12.75" customHeight="1">
      <c r="B9" s="14"/>
      <c r="C9" s="15"/>
      <c r="D9" s="15"/>
      <c r="E9" s="16">
        <v>611200</v>
      </c>
      <c r="F9" s="15" t="s">
        <v>108</v>
      </c>
      <c r="G9" s="138">
        <f>184100+5300</f>
        <v>189400</v>
      </c>
      <c r="H9" s="138"/>
      <c r="I9" s="90">
        <f t="shared" si="0"/>
        <v>0</v>
      </c>
    </row>
    <row r="10" spans="2:11" ht="12.75" customHeight="1">
      <c r="B10" s="14"/>
      <c r="C10" s="15"/>
      <c r="D10" s="15"/>
      <c r="E10" s="16">
        <v>611200</v>
      </c>
      <c r="F10" s="134" t="s">
        <v>148</v>
      </c>
      <c r="G10" s="135">
        <v>0</v>
      </c>
      <c r="H10" s="135"/>
      <c r="I10" s="90">
        <f t="shared" si="0"/>
      </c>
      <c r="K10" s="54"/>
    </row>
    <row r="11" spans="2:9" ht="12.75" customHeight="1">
      <c r="B11" s="14"/>
      <c r="C11" s="15"/>
      <c r="D11" s="15"/>
      <c r="E11" s="16"/>
      <c r="F11" s="26"/>
      <c r="G11" s="138"/>
      <c r="H11" s="138"/>
      <c r="I11" s="90">
        <f t="shared" si="0"/>
      </c>
    </row>
    <row r="12" spans="2:9" ht="12.75" customHeight="1">
      <c r="B12" s="14"/>
      <c r="C12" s="15"/>
      <c r="D12" s="15"/>
      <c r="E12" s="16"/>
      <c r="F12" s="15"/>
      <c r="G12" s="136"/>
      <c r="H12" s="136"/>
      <c r="I12" s="90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81</v>
      </c>
      <c r="G13" s="136">
        <f>G14</f>
        <v>105990</v>
      </c>
      <c r="H13" s="136">
        <f>H14</f>
        <v>0</v>
      </c>
      <c r="I13" s="89">
        <f t="shared" si="0"/>
        <v>0</v>
      </c>
    </row>
    <row r="14" spans="2:9" ht="12.75" customHeight="1">
      <c r="B14" s="14"/>
      <c r="C14" s="15"/>
      <c r="D14" s="15"/>
      <c r="E14" s="16">
        <v>612100</v>
      </c>
      <c r="F14" s="18" t="s">
        <v>6</v>
      </c>
      <c r="G14" s="138">
        <f>103500+2490</f>
        <v>105990</v>
      </c>
      <c r="H14" s="138"/>
      <c r="I14" s="90">
        <f t="shared" si="0"/>
        <v>0</v>
      </c>
    </row>
    <row r="15" spans="2:13" ht="12.75" customHeight="1">
      <c r="B15" s="14"/>
      <c r="C15" s="15"/>
      <c r="D15" s="15"/>
      <c r="E15" s="16"/>
      <c r="F15" s="15"/>
      <c r="G15" s="34"/>
      <c r="H15" s="34"/>
      <c r="I15" s="90">
        <f t="shared" si="0"/>
      </c>
      <c r="M15" s="55"/>
    </row>
    <row r="16" spans="2:9" ht="12.75" customHeight="1">
      <c r="B16" s="14"/>
      <c r="C16" s="15"/>
      <c r="D16" s="15"/>
      <c r="E16" s="16"/>
      <c r="F16" s="15"/>
      <c r="G16" s="20"/>
      <c r="H16" s="20"/>
      <c r="I16" s="90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83</v>
      </c>
      <c r="G17" s="37">
        <f>SUM(G18:G27)</f>
        <v>338500</v>
      </c>
      <c r="H17" s="37">
        <f>SUM(H18:H27)</f>
        <v>0</v>
      </c>
      <c r="I17" s="89">
        <f t="shared" si="0"/>
        <v>0</v>
      </c>
    </row>
    <row r="18" spans="2:9" ht="12.75" customHeight="1">
      <c r="B18" s="14"/>
      <c r="C18" s="15"/>
      <c r="D18" s="15"/>
      <c r="E18" s="16">
        <v>613100</v>
      </c>
      <c r="F18" s="15" t="s">
        <v>7</v>
      </c>
      <c r="G18" s="34">
        <v>6500</v>
      </c>
      <c r="H18" s="34"/>
      <c r="I18" s="90">
        <f t="shared" si="0"/>
        <v>0</v>
      </c>
    </row>
    <row r="19" spans="2:9" ht="12.75" customHeight="1">
      <c r="B19" s="14"/>
      <c r="C19" s="15"/>
      <c r="D19" s="15"/>
      <c r="E19" s="16">
        <v>613200</v>
      </c>
      <c r="F19" s="15" t="s">
        <v>8</v>
      </c>
      <c r="G19" s="34">
        <v>17000</v>
      </c>
      <c r="H19" s="34"/>
      <c r="I19" s="90">
        <f t="shared" si="0"/>
        <v>0</v>
      </c>
    </row>
    <row r="20" spans="2:9" ht="12.75" customHeight="1">
      <c r="B20" s="14"/>
      <c r="C20" s="15"/>
      <c r="D20" s="15"/>
      <c r="E20" s="16">
        <v>613300</v>
      </c>
      <c r="F20" s="26" t="s">
        <v>109</v>
      </c>
      <c r="G20" s="34">
        <v>130000</v>
      </c>
      <c r="H20" s="34"/>
      <c r="I20" s="90">
        <f t="shared" si="0"/>
        <v>0</v>
      </c>
    </row>
    <row r="21" spans="2:10" ht="12.75" customHeight="1">
      <c r="B21" s="14"/>
      <c r="C21" s="15"/>
      <c r="D21" s="15"/>
      <c r="E21" s="16">
        <v>613400</v>
      </c>
      <c r="F21" s="15" t="s">
        <v>84</v>
      </c>
      <c r="G21" s="71">
        <v>35000</v>
      </c>
      <c r="H21" s="71"/>
      <c r="I21" s="90">
        <f t="shared" si="0"/>
        <v>0</v>
      </c>
      <c r="J21" s="51"/>
    </row>
    <row r="22" spans="2:9" ht="12.75" customHeight="1">
      <c r="B22" s="14"/>
      <c r="C22" s="15"/>
      <c r="D22" s="15"/>
      <c r="E22" s="16">
        <v>613500</v>
      </c>
      <c r="F22" s="15" t="s">
        <v>9</v>
      </c>
      <c r="G22" s="34">
        <v>12000</v>
      </c>
      <c r="H22" s="34"/>
      <c r="I22" s="90">
        <f t="shared" si="0"/>
        <v>0</v>
      </c>
    </row>
    <row r="23" spans="2:9" ht="12.75" customHeight="1">
      <c r="B23" s="14"/>
      <c r="C23" s="15"/>
      <c r="D23" s="15"/>
      <c r="E23" s="16">
        <v>613600</v>
      </c>
      <c r="F23" s="26" t="s">
        <v>110</v>
      </c>
      <c r="G23" s="71">
        <v>0</v>
      </c>
      <c r="H23" s="71"/>
      <c r="I23" s="90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10</v>
      </c>
      <c r="G24" s="71">
        <v>14000</v>
      </c>
      <c r="H24" s="71"/>
      <c r="I24" s="90">
        <f t="shared" si="0"/>
        <v>0</v>
      </c>
    </row>
    <row r="25" spans="2:9" ht="12.75" customHeight="1">
      <c r="B25" s="14"/>
      <c r="C25" s="15"/>
      <c r="D25" s="15"/>
      <c r="E25" s="16">
        <v>613800</v>
      </c>
      <c r="F25" s="15" t="s">
        <v>85</v>
      </c>
      <c r="G25" s="71">
        <v>4000</v>
      </c>
      <c r="H25" s="71"/>
      <c r="I25" s="90">
        <f t="shared" si="0"/>
        <v>0</v>
      </c>
    </row>
    <row r="26" spans="2:10" ht="12.75" customHeight="1">
      <c r="B26" s="14"/>
      <c r="C26" s="15"/>
      <c r="D26" s="15"/>
      <c r="E26" s="16">
        <v>613900</v>
      </c>
      <c r="F26" s="15" t="s">
        <v>86</v>
      </c>
      <c r="G26" s="71">
        <v>120000</v>
      </c>
      <c r="H26" s="71"/>
      <c r="I26" s="90">
        <f t="shared" si="0"/>
        <v>0</v>
      </c>
      <c r="J26" s="62"/>
    </row>
    <row r="27" spans="2:9" ht="12.75" customHeight="1">
      <c r="B27" s="14"/>
      <c r="C27" s="15"/>
      <c r="D27" s="15"/>
      <c r="E27" s="16">
        <v>613900</v>
      </c>
      <c r="F27" s="134" t="s">
        <v>149</v>
      </c>
      <c r="G27" s="71">
        <v>0</v>
      </c>
      <c r="H27" s="71"/>
      <c r="I27" s="90">
        <f t="shared" si="0"/>
      </c>
    </row>
    <row r="28" spans="2:9" s="1" customFormat="1" ht="12.75" customHeight="1">
      <c r="B28" s="17"/>
      <c r="C28" s="12"/>
      <c r="D28" s="12"/>
      <c r="E28" s="41"/>
      <c r="F28" s="12"/>
      <c r="G28" s="71"/>
      <c r="H28" s="71"/>
      <c r="I28" s="90">
        <f t="shared" si="0"/>
      </c>
    </row>
    <row r="29" spans="2:9" ht="12.75" customHeight="1">
      <c r="B29" s="14"/>
      <c r="C29" s="15"/>
      <c r="D29" s="29"/>
      <c r="E29" s="43"/>
      <c r="F29" s="40"/>
      <c r="G29" s="71"/>
      <c r="H29" s="71"/>
      <c r="I29" s="90">
        <f t="shared" si="0"/>
      </c>
    </row>
    <row r="30" spans="2:9" ht="12.75" customHeight="1">
      <c r="B30" s="14"/>
      <c r="C30" s="15"/>
      <c r="D30" s="15"/>
      <c r="E30" s="42"/>
      <c r="F30" s="15"/>
      <c r="G30" s="71"/>
      <c r="H30" s="71"/>
      <c r="I30" s="90">
        <f t="shared" si="0"/>
      </c>
    </row>
    <row r="31" spans="2:9" ht="12.75" customHeight="1">
      <c r="B31" s="14"/>
      <c r="C31" s="15"/>
      <c r="D31" s="15"/>
      <c r="E31" s="16"/>
      <c r="F31" s="15"/>
      <c r="G31" s="71"/>
      <c r="H31" s="71"/>
      <c r="I31" s="90">
        <f t="shared" si="0"/>
      </c>
    </row>
    <row r="32" spans="2:9" ht="12.75" customHeight="1">
      <c r="B32" s="14"/>
      <c r="C32" s="15"/>
      <c r="D32" s="15"/>
      <c r="E32" s="16"/>
      <c r="F32" s="15"/>
      <c r="G32" s="71"/>
      <c r="H32" s="71"/>
      <c r="I32" s="90">
        <f t="shared" si="0"/>
      </c>
    </row>
    <row r="33" spans="2:9" ht="12.75" customHeight="1">
      <c r="B33" s="14"/>
      <c r="C33" s="15"/>
      <c r="D33" s="15"/>
      <c r="E33" s="16"/>
      <c r="F33" s="15"/>
      <c r="G33" s="71"/>
      <c r="H33" s="71"/>
      <c r="I33" s="90">
        <f t="shared" si="0"/>
      </c>
    </row>
    <row r="34" spans="2:9" ht="12.75" customHeight="1">
      <c r="B34" s="14"/>
      <c r="C34" s="15"/>
      <c r="D34" s="15"/>
      <c r="E34" s="16"/>
      <c r="F34" s="19"/>
      <c r="G34" s="71"/>
      <c r="H34" s="71"/>
      <c r="I34" s="90">
        <f t="shared" si="0"/>
      </c>
    </row>
    <row r="35" spans="2:9" ht="12.75" customHeight="1">
      <c r="B35" s="14"/>
      <c r="C35" s="15"/>
      <c r="D35" s="15"/>
      <c r="E35" s="16"/>
      <c r="F35" s="15"/>
      <c r="G35" s="63"/>
      <c r="H35" s="63"/>
      <c r="I35" s="90">
        <f t="shared" si="0"/>
      </c>
    </row>
    <row r="36" spans="2:9" s="1" customFormat="1" ht="12.75" customHeight="1">
      <c r="B36" s="17"/>
      <c r="C36" s="12"/>
      <c r="D36" s="12"/>
      <c r="E36" s="9">
        <v>821000</v>
      </c>
      <c r="F36" s="12" t="s">
        <v>13</v>
      </c>
      <c r="G36" s="63">
        <f>G37+G38</f>
        <v>30000</v>
      </c>
      <c r="H36" s="63">
        <f>H37+H38</f>
        <v>0</v>
      </c>
      <c r="I36" s="89">
        <f t="shared" si="0"/>
        <v>0</v>
      </c>
    </row>
    <row r="37" spans="2:9" ht="12.75" customHeight="1">
      <c r="B37" s="14"/>
      <c r="C37" s="15"/>
      <c r="D37" s="15"/>
      <c r="E37" s="16">
        <v>821200</v>
      </c>
      <c r="F37" s="15" t="s">
        <v>14</v>
      </c>
      <c r="G37" s="71">
        <v>5000</v>
      </c>
      <c r="H37" s="71"/>
      <c r="I37" s="90">
        <f t="shared" si="0"/>
        <v>0</v>
      </c>
    </row>
    <row r="38" spans="2:9" ht="12.75" customHeight="1">
      <c r="B38" s="14"/>
      <c r="C38" s="15"/>
      <c r="D38" s="15"/>
      <c r="E38" s="16">
        <v>821300</v>
      </c>
      <c r="F38" s="15" t="s">
        <v>15</v>
      </c>
      <c r="G38" s="71">
        <v>25000</v>
      </c>
      <c r="H38" s="71"/>
      <c r="I38" s="90">
        <f t="shared" si="0"/>
        <v>0</v>
      </c>
    </row>
    <row r="39" spans="2:9" ht="12.75" customHeight="1">
      <c r="B39" s="14"/>
      <c r="C39" s="15"/>
      <c r="D39" s="15"/>
      <c r="E39" s="16"/>
      <c r="F39" s="15"/>
      <c r="G39" s="34"/>
      <c r="H39" s="34"/>
      <c r="I39" s="90">
        <f t="shared" si="0"/>
      </c>
    </row>
    <row r="40" spans="2:9" ht="12.75" customHeight="1">
      <c r="B40" s="14"/>
      <c r="C40" s="15"/>
      <c r="D40" s="15"/>
      <c r="E40" s="16"/>
      <c r="F40" s="15"/>
      <c r="G40" s="34"/>
      <c r="H40" s="34"/>
      <c r="I40" s="90">
        <f t="shared" si="0"/>
      </c>
    </row>
    <row r="41" spans="2:9" s="1" customFormat="1" ht="12.75" customHeight="1">
      <c r="B41" s="17"/>
      <c r="C41" s="12"/>
      <c r="D41" s="12"/>
      <c r="E41" s="9"/>
      <c r="F41" s="12" t="s">
        <v>16</v>
      </c>
      <c r="G41" s="77">
        <v>45</v>
      </c>
      <c r="H41" s="77"/>
      <c r="I41" s="90"/>
    </row>
    <row r="42" spans="2:9" s="1" customFormat="1" ht="12.75" customHeight="1">
      <c r="B42" s="17"/>
      <c r="C42" s="12"/>
      <c r="D42" s="12"/>
      <c r="E42" s="9"/>
      <c r="F42" s="12" t="s">
        <v>32</v>
      </c>
      <c r="G42" s="20">
        <f>G7+G13+G17+G36</f>
        <v>1641800</v>
      </c>
      <c r="H42" s="20">
        <f>H7+H13+H17+H36</f>
        <v>0</v>
      </c>
      <c r="I42" s="89">
        <f t="shared" si="0"/>
        <v>0</v>
      </c>
    </row>
    <row r="43" spans="2:9" s="1" customFormat="1" ht="12.75" customHeight="1">
      <c r="B43" s="17"/>
      <c r="C43" s="12"/>
      <c r="D43" s="12"/>
      <c r="E43" s="9"/>
      <c r="F43" s="12" t="s">
        <v>17</v>
      </c>
      <c r="G43" s="20">
        <f>G42</f>
        <v>1641800</v>
      </c>
      <c r="H43" s="20">
        <f>H42</f>
        <v>0</v>
      </c>
      <c r="I43" s="89">
        <f t="shared" si="0"/>
        <v>0</v>
      </c>
    </row>
    <row r="44" spans="2:9" s="1" customFormat="1" ht="12.75" customHeight="1">
      <c r="B44" s="17"/>
      <c r="C44" s="12"/>
      <c r="D44" s="12"/>
      <c r="E44" s="9"/>
      <c r="F44" s="12" t="s">
        <v>18</v>
      </c>
      <c r="G44" s="33"/>
      <c r="H44" s="33"/>
      <c r="I44" s="91"/>
    </row>
    <row r="45" spans="2:9" ht="12.75" customHeight="1" thickBot="1">
      <c r="B45" s="21"/>
      <c r="C45" s="22"/>
      <c r="D45" s="22"/>
      <c r="E45" s="23"/>
      <c r="F45" s="22"/>
      <c r="G45" s="35"/>
      <c r="H45" s="35"/>
      <c r="I45" s="93"/>
    </row>
    <row r="46" spans="7:9" ht="12.75">
      <c r="G46" s="55"/>
      <c r="I46" s="128"/>
    </row>
    <row r="47" spans="2:7" ht="12.75">
      <c r="B47" s="51"/>
      <c r="G47" s="55"/>
    </row>
    <row r="48" spans="2:7" ht="12.75">
      <c r="B48" s="51"/>
      <c r="G48" s="55"/>
    </row>
    <row r="49" spans="2:7" ht="12.75">
      <c r="B49" s="51"/>
      <c r="G49" s="55"/>
    </row>
    <row r="50" spans="2:7" ht="12.75">
      <c r="B50" s="51"/>
      <c r="G50" s="55"/>
    </row>
    <row r="51" spans="2:7" ht="12.75">
      <c r="B51" s="51"/>
      <c r="G51" s="55"/>
    </row>
    <row r="52" spans="2:7" ht="12.75">
      <c r="B52" s="51"/>
      <c r="G52" s="55"/>
    </row>
    <row r="53" spans="2:7" ht="12.75">
      <c r="B53" s="51"/>
      <c r="G53" s="55"/>
    </row>
    <row r="54" ht="12.75">
      <c r="G54" s="55"/>
    </row>
    <row r="55" ht="12.75">
      <c r="G55" s="55"/>
    </row>
    <row r="56" ht="12.75">
      <c r="G56" s="55"/>
    </row>
    <row r="57" ht="12.75">
      <c r="G57" s="55"/>
    </row>
    <row r="58" ht="12.75">
      <c r="G58" s="55"/>
    </row>
    <row r="59" ht="12.75">
      <c r="G59" s="55"/>
    </row>
    <row r="60" ht="12.75">
      <c r="G60" s="55"/>
    </row>
    <row r="61" ht="12.75">
      <c r="G61" s="55"/>
    </row>
    <row r="62" ht="12.75">
      <c r="G62" s="55"/>
    </row>
  </sheetData>
  <sheetProtection/>
  <mergeCells count="2">
    <mergeCell ref="B2:G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&amp;R18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7"/>
  <dimension ref="B2:K62"/>
  <sheetViews>
    <sheetView workbookViewId="0" topLeftCell="A1">
      <selection activeCell="H4" sqref="H4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57421875" style="24" customWidth="1"/>
    <col min="6" max="6" width="43.7109375" style="13" customWidth="1"/>
    <col min="7" max="7" width="15.7109375" style="13" customWidth="1"/>
    <col min="8" max="8" width="15.7109375" style="55" customWidth="1"/>
    <col min="9" max="9" width="8.7109375" style="80" customWidth="1"/>
    <col min="10" max="16384" width="9.140625" style="13" customWidth="1"/>
  </cols>
  <sheetData>
    <row r="2" spans="2:9" s="67" customFormat="1" ht="15" customHeight="1">
      <c r="B2" s="145" t="s">
        <v>124</v>
      </c>
      <c r="C2" s="145"/>
      <c r="D2" s="145"/>
      <c r="E2" s="145"/>
      <c r="F2" s="145"/>
      <c r="G2" s="145"/>
      <c r="H2" s="129"/>
      <c r="I2" s="130"/>
    </row>
    <row r="3" spans="5:9" s="1" customFormat="1" ht="16.5" thickBot="1">
      <c r="E3" s="2"/>
      <c r="F3" s="144" t="s">
        <v>165</v>
      </c>
      <c r="G3" s="144"/>
      <c r="H3" s="108">
        <v>49120</v>
      </c>
      <c r="I3" s="109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31" t="s">
        <v>147</v>
      </c>
      <c r="H4" s="131" t="s">
        <v>164</v>
      </c>
      <c r="I4" s="86" t="s">
        <v>139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2">
        <v>6</v>
      </c>
      <c r="H5" s="9">
        <v>7</v>
      </c>
      <c r="I5" s="87">
        <v>8</v>
      </c>
    </row>
    <row r="6" spans="2:9" s="2" customFormat="1" ht="12.75" customHeight="1">
      <c r="B6" s="10" t="s">
        <v>51</v>
      </c>
      <c r="C6" s="11" t="s">
        <v>53</v>
      </c>
      <c r="D6" s="11" t="s">
        <v>5</v>
      </c>
      <c r="E6" s="9"/>
      <c r="F6" s="9"/>
      <c r="G6" s="32"/>
      <c r="H6" s="102"/>
      <c r="I6" s="88"/>
    </row>
    <row r="7" spans="2:9" s="1" customFormat="1" ht="12.75" customHeight="1">
      <c r="B7" s="17"/>
      <c r="C7" s="12"/>
      <c r="D7" s="12"/>
      <c r="E7" s="9">
        <v>611000</v>
      </c>
      <c r="F7" s="12" t="s">
        <v>82</v>
      </c>
      <c r="G7" s="136">
        <f>SUM(G8:G11)</f>
        <v>33600</v>
      </c>
      <c r="H7" s="136">
        <f>SUM(H8:H11)</f>
        <v>0</v>
      </c>
      <c r="I7" s="89">
        <f aca="true" t="shared" si="0" ref="I7:I43">IF(G7=0,"",H7/G7*100)</f>
        <v>0</v>
      </c>
    </row>
    <row r="8" spans="2:9" ht="12.75" customHeight="1">
      <c r="B8" s="14"/>
      <c r="C8" s="15"/>
      <c r="D8" s="15"/>
      <c r="E8" s="16">
        <v>611100</v>
      </c>
      <c r="F8" s="26" t="s">
        <v>107</v>
      </c>
      <c r="G8" s="138">
        <f>26900+1300</f>
        <v>28200</v>
      </c>
      <c r="H8" s="138"/>
      <c r="I8" s="90">
        <f t="shared" si="0"/>
        <v>0</v>
      </c>
    </row>
    <row r="9" spans="2:9" ht="12.75" customHeight="1">
      <c r="B9" s="14"/>
      <c r="C9" s="15"/>
      <c r="D9" s="15"/>
      <c r="E9" s="16">
        <v>611200</v>
      </c>
      <c r="F9" s="15" t="s">
        <v>108</v>
      </c>
      <c r="G9" s="138">
        <f>3900+1500</f>
        <v>5400</v>
      </c>
      <c r="H9" s="138"/>
      <c r="I9" s="90">
        <f t="shared" si="0"/>
        <v>0</v>
      </c>
    </row>
    <row r="10" spans="2:11" ht="12.75" customHeight="1">
      <c r="B10" s="14"/>
      <c r="C10" s="15"/>
      <c r="D10" s="15"/>
      <c r="E10" s="16">
        <v>611200</v>
      </c>
      <c r="F10" s="134" t="s">
        <v>148</v>
      </c>
      <c r="G10" s="135">
        <v>0</v>
      </c>
      <c r="H10" s="135"/>
      <c r="I10" s="90">
        <f t="shared" si="0"/>
      </c>
      <c r="K10" s="54"/>
    </row>
    <row r="11" spans="2:9" ht="12.75" customHeight="1">
      <c r="B11" s="14"/>
      <c r="C11" s="15"/>
      <c r="D11" s="15"/>
      <c r="E11" s="16"/>
      <c r="F11" s="26"/>
      <c r="G11" s="138"/>
      <c r="H11" s="138"/>
      <c r="I11" s="90">
        <f t="shared" si="0"/>
      </c>
    </row>
    <row r="12" spans="2:9" ht="12.75" customHeight="1">
      <c r="B12" s="14"/>
      <c r="C12" s="15"/>
      <c r="D12" s="15"/>
      <c r="E12" s="16"/>
      <c r="F12" s="15"/>
      <c r="G12" s="136"/>
      <c r="H12" s="136"/>
      <c r="I12" s="90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81</v>
      </c>
      <c r="G13" s="136">
        <f>G14</f>
        <v>3240</v>
      </c>
      <c r="H13" s="136">
        <f>H14</f>
        <v>0</v>
      </c>
      <c r="I13" s="89">
        <f t="shared" si="0"/>
        <v>0</v>
      </c>
    </row>
    <row r="14" spans="2:9" ht="12.75" customHeight="1">
      <c r="B14" s="14"/>
      <c r="C14" s="15"/>
      <c r="D14" s="15"/>
      <c r="E14" s="16">
        <v>612100</v>
      </c>
      <c r="F14" s="18" t="s">
        <v>6</v>
      </c>
      <c r="G14" s="138">
        <f>3100+140</f>
        <v>3240</v>
      </c>
      <c r="H14" s="138"/>
      <c r="I14" s="90">
        <f t="shared" si="0"/>
        <v>0</v>
      </c>
    </row>
    <row r="15" spans="2:9" ht="12.75" customHeight="1">
      <c r="B15" s="14"/>
      <c r="C15" s="15"/>
      <c r="D15" s="15"/>
      <c r="E15" s="16"/>
      <c r="F15" s="15"/>
      <c r="G15" s="34"/>
      <c r="H15" s="34"/>
      <c r="I15" s="90">
        <f t="shared" si="0"/>
      </c>
    </row>
    <row r="16" spans="2:9" ht="12.75" customHeight="1">
      <c r="B16" s="14"/>
      <c r="C16" s="15"/>
      <c r="D16" s="15"/>
      <c r="E16" s="16"/>
      <c r="F16" s="15"/>
      <c r="G16" s="20"/>
      <c r="H16" s="20"/>
      <c r="I16" s="90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83</v>
      </c>
      <c r="G17" s="37">
        <f>SUM(G18:G27)</f>
        <v>4200</v>
      </c>
      <c r="H17" s="37">
        <f>SUM(H18:H27)</f>
        <v>0</v>
      </c>
      <c r="I17" s="89">
        <f t="shared" si="0"/>
        <v>0</v>
      </c>
    </row>
    <row r="18" spans="2:9" ht="12.75" customHeight="1">
      <c r="B18" s="14"/>
      <c r="C18" s="15"/>
      <c r="D18" s="15"/>
      <c r="E18" s="16">
        <v>613100</v>
      </c>
      <c r="F18" s="15" t="s">
        <v>7</v>
      </c>
      <c r="G18" s="34">
        <v>500</v>
      </c>
      <c r="H18" s="34"/>
      <c r="I18" s="90">
        <f t="shared" si="0"/>
        <v>0</v>
      </c>
    </row>
    <row r="19" spans="2:9" ht="12.75" customHeight="1">
      <c r="B19" s="14"/>
      <c r="C19" s="15"/>
      <c r="D19" s="15"/>
      <c r="E19" s="16">
        <v>613200</v>
      </c>
      <c r="F19" s="15" t="s">
        <v>8</v>
      </c>
      <c r="G19" s="34">
        <v>0</v>
      </c>
      <c r="H19" s="34"/>
      <c r="I19" s="90">
        <f t="shared" si="0"/>
      </c>
    </row>
    <row r="20" spans="2:9" ht="12.75" customHeight="1">
      <c r="B20" s="14"/>
      <c r="C20" s="15"/>
      <c r="D20" s="15"/>
      <c r="E20" s="16">
        <v>613300</v>
      </c>
      <c r="F20" s="26" t="s">
        <v>109</v>
      </c>
      <c r="G20" s="34">
        <v>1000</v>
      </c>
      <c r="H20" s="34"/>
      <c r="I20" s="90">
        <f t="shared" si="0"/>
        <v>0</v>
      </c>
    </row>
    <row r="21" spans="2:9" ht="12.75" customHeight="1">
      <c r="B21" s="14"/>
      <c r="C21" s="15"/>
      <c r="D21" s="15"/>
      <c r="E21" s="16">
        <v>613400</v>
      </c>
      <c r="F21" s="15" t="s">
        <v>84</v>
      </c>
      <c r="G21" s="34">
        <v>1000</v>
      </c>
      <c r="H21" s="34"/>
      <c r="I21" s="90">
        <f t="shared" si="0"/>
        <v>0</v>
      </c>
    </row>
    <row r="22" spans="2:9" ht="12.75" customHeight="1">
      <c r="B22" s="14"/>
      <c r="C22" s="15"/>
      <c r="D22" s="15"/>
      <c r="E22" s="16">
        <v>613500</v>
      </c>
      <c r="F22" s="15" t="s">
        <v>9</v>
      </c>
      <c r="G22" s="34">
        <v>0</v>
      </c>
      <c r="H22" s="34"/>
      <c r="I22" s="90">
        <f t="shared" si="0"/>
      </c>
    </row>
    <row r="23" spans="2:9" ht="12.75" customHeight="1">
      <c r="B23" s="14"/>
      <c r="C23" s="15"/>
      <c r="D23" s="15"/>
      <c r="E23" s="16">
        <v>613600</v>
      </c>
      <c r="F23" s="26" t="s">
        <v>110</v>
      </c>
      <c r="G23" s="34">
        <v>0</v>
      </c>
      <c r="H23" s="34"/>
      <c r="I23" s="90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10</v>
      </c>
      <c r="G24" s="34">
        <v>0</v>
      </c>
      <c r="H24" s="34"/>
      <c r="I24" s="90">
        <f t="shared" si="0"/>
      </c>
    </row>
    <row r="25" spans="2:9" ht="12.75" customHeight="1">
      <c r="B25" s="14"/>
      <c r="C25" s="15"/>
      <c r="D25" s="15"/>
      <c r="E25" s="16">
        <v>613800</v>
      </c>
      <c r="F25" s="15" t="s">
        <v>85</v>
      </c>
      <c r="G25" s="34">
        <v>0</v>
      </c>
      <c r="H25" s="34"/>
      <c r="I25" s="90">
        <f t="shared" si="0"/>
      </c>
    </row>
    <row r="26" spans="2:9" ht="12.75" customHeight="1">
      <c r="B26" s="14"/>
      <c r="C26" s="15"/>
      <c r="D26" s="15"/>
      <c r="E26" s="16">
        <v>613900</v>
      </c>
      <c r="F26" s="15" t="s">
        <v>86</v>
      </c>
      <c r="G26" s="34">
        <v>1700</v>
      </c>
      <c r="H26" s="34"/>
      <c r="I26" s="90">
        <f t="shared" si="0"/>
        <v>0</v>
      </c>
    </row>
    <row r="27" spans="2:9" ht="12.75" customHeight="1">
      <c r="B27" s="14"/>
      <c r="C27" s="15"/>
      <c r="D27" s="15"/>
      <c r="E27" s="16">
        <v>613900</v>
      </c>
      <c r="F27" s="134" t="s">
        <v>149</v>
      </c>
      <c r="G27" s="34">
        <v>0</v>
      </c>
      <c r="H27" s="34"/>
      <c r="I27" s="90">
        <f t="shared" si="0"/>
      </c>
    </row>
    <row r="28" spans="2:9" s="1" customFormat="1" ht="12.75" customHeight="1">
      <c r="B28" s="17"/>
      <c r="C28" s="12"/>
      <c r="D28" s="12"/>
      <c r="E28" s="41"/>
      <c r="F28" s="12"/>
      <c r="G28" s="34"/>
      <c r="H28" s="34"/>
      <c r="I28" s="90">
        <f t="shared" si="0"/>
      </c>
    </row>
    <row r="29" spans="2:9" ht="12.75" customHeight="1">
      <c r="B29" s="14"/>
      <c r="C29" s="15"/>
      <c r="D29" s="29"/>
      <c r="E29" s="43"/>
      <c r="F29" s="40"/>
      <c r="G29" s="34"/>
      <c r="H29" s="34"/>
      <c r="I29" s="90">
        <f t="shared" si="0"/>
      </c>
    </row>
    <row r="30" spans="2:9" ht="12.75" customHeight="1">
      <c r="B30" s="14"/>
      <c r="C30" s="15"/>
      <c r="D30" s="15"/>
      <c r="E30" s="42"/>
      <c r="F30" s="15"/>
      <c r="G30" s="34"/>
      <c r="H30" s="34"/>
      <c r="I30" s="90">
        <f t="shared" si="0"/>
      </c>
    </row>
    <row r="31" spans="2:9" ht="12.75" customHeight="1">
      <c r="B31" s="14"/>
      <c r="C31" s="15"/>
      <c r="D31" s="15"/>
      <c r="E31" s="16"/>
      <c r="F31" s="15"/>
      <c r="G31" s="34"/>
      <c r="H31" s="34"/>
      <c r="I31" s="90">
        <f t="shared" si="0"/>
      </c>
    </row>
    <row r="32" spans="2:9" ht="12.75" customHeight="1">
      <c r="B32" s="14"/>
      <c r="C32" s="15"/>
      <c r="D32" s="15"/>
      <c r="E32" s="16"/>
      <c r="F32" s="15"/>
      <c r="G32" s="34"/>
      <c r="H32" s="34"/>
      <c r="I32" s="90">
        <f t="shared" si="0"/>
      </c>
    </row>
    <row r="33" spans="2:9" ht="12.75" customHeight="1">
      <c r="B33" s="14"/>
      <c r="C33" s="15"/>
      <c r="D33" s="15"/>
      <c r="E33" s="16"/>
      <c r="F33" s="15"/>
      <c r="G33" s="34"/>
      <c r="H33" s="34"/>
      <c r="I33" s="90">
        <f t="shared" si="0"/>
      </c>
    </row>
    <row r="34" spans="2:9" ht="12.75" customHeight="1">
      <c r="B34" s="14"/>
      <c r="C34" s="15"/>
      <c r="D34" s="15"/>
      <c r="E34" s="16"/>
      <c r="F34" s="19"/>
      <c r="G34" s="34"/>
      <c r="H34" s="34"/>
      <c r="I34" s="90">
        <f t="shared" si="0"/>
      </c>
    </row>
    <row r="35" spans="2:9" ht="12.75" customHeight="1">
      <c r="B35" s="14"/>
      <c r="C35" s="15"/>
      <c r="D35" s="15"/>
      <c r="E35" s="16"/>
      <c r="F35" s="15"/>
      <c r="G35" s="20"/>
      <c r="H35" s="20"/>
      <c r="I35" s="90">
        <f t="shared" si="0"/>
      </c>
    </row>
    <row r="36" spans="2:9" s="1" customFormat="1" ht="12.75" customHeight="1">
      <c r="B36" s="17"/>
      <c r="C36" s="12"/>
      <c r="D36" s="12"/>
      <c r="E36" s="9">
        <v>821000</v>
      </c>
      <c r="F36" s="12" t="s">
        <v>13</v>
      </c>
      <c r="G36" s="20">
        <f>SUM(G37:G38)</f>
        <v>500</v>
      </c>
      <c r="H36" s="20">
        <f>SUM(H37:H38)</f>
        <v>0</v>
      </c>
      <c r="I36" s="89">
        <f t="shared" si="0"/>
        <v>0</v>
      </c>
    </row>
    <row r="37" spans="2:9" ht="12.75" customHeight="1">
      <c r="B37" s="14"/>
      <c r="C37" s="15"/>
      <c r="D37" s="15"/>
      <c r="E37" s="16">
        <v>821200</v>
      </c>
      <c r="F37" s="15" t="s">
        <v>14</v>
      </c>
      <c r="G37" s="34">
        <v>0</v>
      </c>
      <c r="H37" s="34"/>
      <c r="I37" s="90">
        <f t="shared" si="0"/>
      </c>
    </row>
    <row r="38" spans="2:9" ht="12.75" customHeight="1">
      <c r="B38" s="14"/>
      <c r="C38" s="15"/>
      <c r="D38" s="15"/>
      <c r="E38" s="16">
        <v>821300</v>
      </c>
      <c r="F38" s="15" t="s">
        <v>15</v>
      </c>
      <c r="G38" s="34">
        <v>500</v>
      </c>
      <c r="H38" s="34"/>
      <c r="I38" s="90">
        <f t="shared" si="0"/>
        <v>0</v>
      </c>
    </row>
    <row r="39" spans="2:9" ht="12.75" customHeight="1">
      <c r="B39" s="14"/>
      <c r="C39" s="15"/>
      <c r="D39" s="15"/>
      <c r="E39" s="16"/>
      <c r="F39" s="15"/>
      <c r="G39" s="34"/>
      <c r="H39" s="34"/>
      <c r="I39" s="90">
        <f t="shared" si="0"/>
      </c>
    </row>
    <row r="40" spans="2:9" ht="12.75" customHeight="1">
      <c r="B40" s="14"/>
      <c r="C40" s="15"/>
      <c r="D40" s="15"/>
      <c r="E40" s="16"/>
      <c r="F40" s="15"/>
      <c r="G40" s="34"/>
      <c r="H40" s="34"/>
      <c r="I40" s="90">
        <f t="shared" si="0"/>
      </c>
    </row>
    <row r="41" spans="2:9" s="1" customFormat="1" ht="12.75" customHeight="1">
      <c r="B41" s="17"/>
      <c r="C41" s="12"/>
      <c r="D41" s="12"/>
      <c r="E41" s="9"/>
      <c r="F41" s="12" t="s">
        <v>16</v>
      </c>
      <c r="G41" s="63">
        <v>1</v>
      </c>
      <c r="H41" s="63"/>
      <c r="I41" s="90"/>
    </row>
    <row r="42" spans="2:9" s="1" customFormat="1" ht="12.75" customHeight="1">
      <c r="B42" s="17"/>
      <c r="C42" s="12"/>
      <c r="D42" s="12"/>
      <c r="E42" s="9"/>
      <c r="F42" s="12" t="s">
        <v>32</v>
      </c>
      <c r="G42" s="20">
        <f>G7+G13+G17+G36</f>
        <v>41540</v>
      </c>
      <c r="H42" s="20">
        <f>H7+H13+H17+H36</f>
        <v>0</v>
      </c>
      <c r="I42" s="89">
        <f t="shared" si="0"/>
        <v>0</v>
      </c>
    </row>
    <row r="43" spans="2:9" s="1" customFormat="1" ht="12.75" customHeight="1">
      <c r="B43" s="17"/>
      <c r="C43" s="12"/>
      <c r="D43" s="12"/>
      <c r="E43" s="9"/>
      <c r="F43" s="12" t="s">
        <v>17</v>
      </c>
      <c r="G43" s="20">
        <f>G42</f>
        <v>41540</v>
      </c>
      <c r="H43" s="20">
        <f>H42</f>
        <v>0</v>
      </c>
      <c r="I43" s="89">
        <f t="shared" si="0"/>
        <v>0</v>
      </c>
    </row>
    <row r="44" spans="2:9" s="1" customFormat="1" ht="12.75" customHeight="1">
      <c r="B44" s="17"/>
      <c r="C44" s="12"/>
      <c r="D44" s="12"/>
      <c r="E44" s="9"/>
      <c r="F44" s="12" t="s">
        <v>18</v>
      </c>
      <c r="G44" s="33"/>
      <c r="H44" s="33"/>
      <c r="I44" s="91"/>
    </row>
    <row r="45" spans="2:9" ht="12.75" customHeight="1" thickBot="1">
      <c r="B45" s="21"/>
      <c r="C45" s="22"/>
      <c r="D45" s="22"/>
      <c r="E45" s="23"/>
      <c r="F45" s="22"/>
      <c r="G45" s="35"/>
      <c r="H45" s="35"/>
      <c r="I45" s="93"/>
    </row>
    <row r="46" ht="12.75">
      <c r="G46" s="55"/>
    </row>
    <row r="47" spans="2:7" ht="12.75">
      <c r="B47" s="51"/>
      <c r="G47" s="55"/>
    </row>
    <row r="48" spans="2:7" ht="12.75">
      <c r="B48" s="51"/>
      <c r="G48" s="55"/>
    </row>
    <row r="49" ht="12.75">
      <c r="G49" s="55"/>
    </row>
    <row r="50" ht="12.75">
      <c r="G50" s="55"/>
    </row>
    <row r="51" ht="12.75">
      <c r="G51" s="55"/>
    </row>
    <row r="52" ht="12.75">
      <c r="G52" s="55"/>
    </row>
    <row r="53" ht="12.75">
      <c r="G53" s="55"/>
    </row>
    <row r="54" ht="12.75">
      <c r="G54" s="55"/>
    </row>
    <row r="55" ht="12.75">
      <c r="G55" s="55"/>
    </row>
    <row r="56" ht="12.75">
      <c r="G56" s="55"/>
    </row>
    <row r="57" ht="12.75">
      <c r="G57" s="55"/>
    </row>
    <row r="58" ht="12.75">
      <c r="G58" s="55"/>
    </row>
    <row r="59" ht="12.75">
      <c r="G59" s="55"/>
    </row>
    <row r="60" ht="12.75">
      <c r="G60" s="55"/>
    </row>
    <row r="61" ht="12.75">
      <c r="G61" s="55"/>
    </row>
    <row r="62" ht="12.75">
      <c r="G62" s="55"/>
    </row>
  </sheetData>
  <sheetProtection/>
  <mergeCells count="2">
    <mergeCell ref="B2:G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&amp;R19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3"/>
  <dimension ref="B2:K62"/>
  <sheetViews>
    <sheetView workbookViewId="0" topLeftCell="C1">
      <selection activeCell="H4" sqref="H4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8515625" style="24" customWidth="1"/>
    <col min="6" max="6" width="43.7109375" style="13" customWidth="1"/>
    <col min="7" max="7" width="15.7109375" style="13" customWidth="1"/>
    <col min="8" max="8" width="15.7109375" style="55" customWidth="1"/>
    <col min="9" max="9" width="8.7109375" style="80" customWidth="1"/>
    <col min="10" max="16384" width="9.140625" style="13" customWidth="1"/>
  </cols>
  <sheetData>
    <row r="2" spans="2:7" ht="15" customHeight="1">
      <c r="B2" s="143" t="s">
        <v>123</v>
      </c>
      <c r="C2" s="143"/>
      <c r="D2" s="143"/>
      <c r="E2" s="143"/>
      <c r="F2" s="143"/>
      <c r="G2" s="143"/>
    </row>
    <row r="3" spans="5:9" s="1" customFormat="1" ht="16.5" thickBot="1">
      <c r="E3" s="2"/>
      <c r="F3" s="144" t="s">
        <v>165</v>
      </c>
      <c r="G3" s="144"/>
      <c r="H3" s="108">
        <v>50000</v>
      </c>
      <c r="I3" s="109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31" t="s">
        <v>147</v>
      </c>
      <c r="H4" s="131" t="s">
        <v>164</v>
      </c>
      <c r="I4" s="86" t="s">
        <v>139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2">
        <v>6</v>
      </c>
      <c r="H5" s="9">
        <v>7</v>
      </c>
      <c r="I5" s="87">
        <v>8</v>
      </c>
    </row>
    <row r="6" spans="2:9" s="2" customFormat="1" ht="12.75" customHeight="1">
      <c r="B6" s="10" t="s">
        <v>51</v>
      </c>
      <c r="C6" s="11" t="s">
        <v>53</v>
      </c>
      <c r="D6" s="11" t="s">
        <v>37</v>
      </c>
      <c r="E6" s="9"/>
      <c r="F6" s="9"/>
      <c r="G6" s="32"/>
      <c r="H6" s="102"/>
      <c r="I6" s="88"/>
    </row>
    <row r="7" spans="2:9" s="1" customFormat="1" ht="12.75" customHeight="1">
      <c r="B7" s="17"/>
      <c r="C7" s="12"/>
      <c r="D7" s="12"/>
      <c r="E7" s="9">
        <v>611000</v>
      </c>
      <c r="F7" s="12" t="s">
        <v>82</v>
      </c>
      <c r="G7" s="136">
        <f>SUM(G8:G11)</f>
        <v>30120</v>
      </c>
      <c r="H7" s="136">
        <f>SUM(H8:H11)</f>
        <v>0</v>
      </c>
      <c r="I7" s="89">
        <f aca="true" t="shared" si="0" ref="I7:I44">IF(G7=0,"",H7/G7*100)</f>
        <v>0</v>
      </c>
    </row>
    <row r="8" spans="2:9" ht="12.75" customHeight="1">
      <c r="B8" s="14"/>
      <c r="C8" s="15"/>
      <c r="D8" s="15"/>
      <c r="E8" s="16">
        <v>611100</v>
      </c>
      <c r="F8" s="26" t="s">
        <v>107</v>
      </c>
      <c r="G8" s="138">
        <f>12500+11300+600+570</f>
        <v>24970</v>
      </c>
      <c r="H8" s="138"/>
      <c r="I8" s="90">
        <f t="shared" si="0"/>
        <v>0</v>
      </c>
    </row>
    <row r="9" spans="2:9" ht="12.75" customHeight="1">
      <c r="B9" s="14"/>
      <c r="C9" s="15"/>
      <c r="D9" s="15"/>
      <c r="E9" s="16">
        <v>611200</v>
      </c>
      <c r="F9" s="15" t="s">
        <v>108</v>
      </c>
      <c r="G9" s="138">
        <f>3200+1950</f>
        <v>5150</v>
      </c>
      <c r="H9" s="138"/>
      <c r="I9" s="90">
        <f t="shared" si="0"/>
        <v>0</v>
      </c>
    </row>
    <row r="10" spans="2:11" ht="12.75" customHeight="1">
      <c r="B10" s="14"/>
      <c r="C10" s="15"/>
      <c r="D10" s="15"/>
      <c r="E10" s="16">
        <v>611200</v>
      </c>
      <c r="F10" s="134" t="s">
        <v>148</v>
      </c>
      <c r="G10" s="135">
        <v>0</v>
      </c>
      <c r="H10" s="135"/>
      <c r="I10" s="90">
        <f t="shared" si="0"/>
      </c>
      <c r="K10" s="54"/>
    </row>
    <row r="11" spans="2:9" ht="12.75" customHeight="1">
      <c r="B11" s="14"/>
      <c r="C11" s="15"/>
      <c r="D11" s="15"/>
      <c r="E11" s="16"/>
      <c r="F11" s="26"/>
      <c r="G11" s="138"/>
      <c r="H11" s="138"/>
      <c r="I11" s="90">
        <f t="shared" si="0"/>
      </c>
    </row>
    <row r="12" spans="2:9" ht="12.75" customHeight="1">
      <c r="B12" s="14"/>
      <c r="C12" s="15"/>
      <c r="D12" s="15"/>
      <c r="E12" s="16"/>
      <c r="F12" s="15"/>
      <c r="G12" s="136"/>
      <c r="H12" s="136"/>
      <c r="I12" s="90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81</v>
      </c>
      <c r="G13" s="136">
        <f>G14</f>
        <v>3180</v>
      </c>
      <c r="H13" s="136">
        <f>H14</f>
        <v>0</v>
      </c>
      <c r="I13" s="89">
        <f t="shared" si="0"/>
        <v>0</v>
      </c>
    </row>
    <row r="14" spans="2:9" ht="12.75" customHeight="1">
      <c r="B14" s="14"/>
      <c r="C14" s="15"/>
      <c r="D14" s="15"/>
      <c r="E14" s="16">
        <v>612100</v>
      </c>
      <c r="F14" s="18" t="s">
        <v>6</v>
      </c>
      <c r="G14" s="138">
        <f>1800+1250+70+60</f>
        <v>3180</v>
      </c>
      <c r="H14" s="138"/>
      <c r="I14" s="90">
        <f t="shared" si="0"/>
        <v>0</v>
      </c>
    </row>
    <row r="15" spans="2:9" ht="12.75" customHeight="1">
      <c r="B15" s="14"/>
      <c r="C15" s="15"/>
      <c r="D15" s="15"/>
      <c r="E15" s="16"/>
      <c r="F15" s="15"/>
      <c r="G15" s="34"/>
      <c r="H15" s="34"/>
      <c r="I15" s="90">
        <f t="shared" si="0"/>
      </c>
    </row>
    <row r="16" spans="2:9" ht="12.75" customHeight="1">
      <c r="B16" s="14"/>
      <c r="C16" s="15"/>
      <c r="D16" s="15"/>
      <c r="E16" s="16"/>
      <c r="F16" s="15"/>
      <c r="G16" s="20"/>
      <c r="H16" s="20"/>
      <c r="I16" s="90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83</v>
      </c>
      <c r="G17" s="37">
        <f>SUM(G18:G27)</f>
        <v>2450</v>
      </c>
      <c r="H17" s="37">
        <f>SUM(H18:H27)</f>
        <v>0</v>
      </c>
      <c r="I17" s="89">
        <f t="shared" si="0"/>
        <v>0</v>
      </c>
    </row>
    <row r="18" spans="2:9" ht="12.75" customHeight="1">
      <c r="B18" s="14"/>
      <c r="C18" s="15"/>
      <c r="D18" s="15"/>
      <c r="E18" s="16">
        <v>613100</v>
      </c>
      <c r="F18" s="15" t="s">
        <v>7</v>
      </c>
      <c r="G18" s="34">
        <v>500</v>
      </c>
      <c r="H18" s="34"/>
      <c r="I18" s="90">
        <f t="shared" si="0"/>
        <v>0</v>
      </c>
    </row>
    <row r="19" spans="2:9" ht="12.75" customHeight="1">
      <c r="B19" s="14"/>
      <c r="C19" s="15"/>
      <c r="D19" s="15"/>
      <c r="E19" s="16">
        <v>613200</v>
      </c>
      <c r="F19" s="15" t="s">
        <v>8</v>
      </c>
      <c r="G19" s="34">
        <v>0</v>
      </c>
      <c r="H19" s="34"/>
      <c r="I19" s="90">
        <f t="shared" si="0"/>
      </c>
    </row>
    <row r="20" spans="2:9" ht="12.75" customHeight="1">
      <c r="B20" s="14"/>
      <c r="C20" s="15"/>
      <c r="D20" s="15"/>
      <c r="E20" s="16">
        <v>613300</v>
      </c>
      <c r="F20" s="26" t="s">
        <v>109</v>
      </c>
      <c r="G20" s="34">
        <v>950</v>
      </c>
      <c r="H20" s="34"/>
      <c r="I20" s="90">
        <f t="shared" si="0"/>
        <v>0</v>
      </c>
    </row>
    <row r="21" spans="2:9" ht="12.75" customHeight="1">
      <c r="B21" s="14"/>
      <c r="C21" s="15"/>
      <c r="D21" s="15"/>
      <c r="E21" s="16">
        <v>613400</v>
      </c>
      <c r="F21" s="15" t="s">
        <v>84</v>
      </c>
      <c r="G21" s="34">
        <v>500</v>
      </c>
      <c r="H21" s="34"/>
      <c r="I21" s="90">
        <f t="shared" si="0"/>
        <v>0</v>
      </c>
    </row>
    <row r="22" spans="2:9" ht="12.75" customHeight="1">
      <c r="B22" s="14"/>
      <c r="C22" s="15"/>
      <c r="D22" s="15"/>
      <c r="E22" s="16">
        <v>613500</v>
      </c>
      <c r="F22" s="15" t="s">
        <v>9</v>
      </c>
      <c r="G22" s="34">
        <v>0</v>
      </c>
      <c r="H22" s="34"/>
      <c r="I22" s="90">
        <f t="shared" si="0"/>
      </c>
    </row>
    <row r="23" spans="2:9" ht="12.75" customHeight="1">
      <c r="B23" s="14"/>
      <c r="C23" s="15"/>
      <c r="D23" s="15"/>
      <c r="E23" s="16">
        <v>613600</v>
      </c>
      <c r="F23" s="26" t="s">
        <v>110</v>
      </c>
      <c r="G23" s="34">
        <v>0</v>
      </c>
      <c r="H23" s="34"/>
      <c r="I23" s="90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10</v>
      </c>
      <c r="G24" s="34">
        <v>0</v>
      </c>
      <c r="H24" s="34"/>
      <c r="I24" s="90">
        <f t="shared" si="0"/>
      </c>
    </row>
    <row r="25" spans="2:9" ht="12.75" customHeight="1">
      <c r="B25" s="14"/>
      <c r="C25" s="15"/>
      <c r="D25" s="15"/>
      <c r="E25" s="16">
        <v>613800</v>
      </c>
      <c r="F25" s="15" t="s">
        <v>85</v>
      </c>
      <c r="G25" s="34">
        <v>0</v>
      </c>
      <c r="H25" s="34"/>
      <c r="I25" s="90">
        <f t="shared" si="0"/>
      </c>
    </row>
    <row r="26" spans="2:9" ht="12.75" customHeight="1">
      <c r="B26" s="14"/>
      <c r="C26" s="15"/>
      <c r="D26" s="15"/>
      <c r="E26" s="16">
        <v>613900</v>
      </c>
      <c r="F26" s="15" t="s">
        <v>86</v>
      </c>
      <c r="G26" s="71">
        <v>500</v>
      </c>
      <c r="H26" s="71"/>
      <c r="I26" s="90">
        <f t="shared" si="0"/>
        <v>0</v>
      </c>
    </row>
    <row r="27" spans="2:9" ht="12.75" customHeight="1">
      <c r="B27" s="14"/>
      <c r="C27" s="15"/>
      <c r="D27" s="15"/>
      <c r="E27" s="16">
        <v>613900</v>
      </c>
      <c r="F27" s="134" t="s">
        <v>149</v>
      </c>
      <c r="G27" s="34">
        <v>0</v>
      </c>
      <c r="H27" s="34"/>
      <c r="I27" s="90">
        <f t="shared" si="0"/>
      </c>
    </row>
    <row r="28" spans="2:9" s="1" customFormat="1" ht="12.75" customHeight="1">
      <c r="B28" s="17"/>
      <c r="C28" s="12"/>
      <c r="D28" s="12"/>
      <c r="E28" s="41"/>
      <c r="F28" s="12"/>
      <c r="G28" s="34"/>
      <c r="H28" s="34"/>
      <c r="I28" s="90">
        <f t="shared" si="0"/>
      </c>
    </row>
    <row r="29" spans="2:9" ht="12.75" customHeight="1">
      <c r="B29" s="14"/>
      <c r="C29" s="15"/>
      <c r="D29" s="29"/>
      <c r="E29" s="43"/>
      <c r="F29" s="40"/>
      <c r="G29" s="34"/>
      <c r="H29" s="34"/>
      <c r="I29" s="90">
        <f t="shared" si="0"/>
      </c>
    </row>
    <row r="30" spans="2:9" ht="12.75" customHeight="1">
      <c r="B30" s="14"/>
      <c r="C30" s="15"/>
      <c r="D30" s="15"/>
      <c r="E30" s="42"/>
      <c r="F30" s="15"/>
      <c r="G30" s="34"/>
      <c r="H30" s="34"/>
      <c r="I30" s="90">
        <f t="shared" si="0"/>
      </c>
    </row>
    <row r="31" spans="2:9" ht="12.75" customHeight="1">
      <c r="B31" s="14"/>
      <c r="C31" s="15"/>
      <c r="D31" s="15"/>
      <c r="E31" s="16"/>
      <c r="F31" s="15"/>
      <c r="G31" s="34"/>
      <c r="H31" s="34"/>
      <c r="I31" s="90">
        <f t="shared" si="0"/>
      </c>
    </row>
    <row r="32" spans="2:9" ht="12.75" customHeight="1">
      <c r="B32" s="14"/>
      <c r="C32" s="15"/>
      <c r="D32" s="15"/>
      <c r="E32" s="16"/>
      <c r="F32" s="15"/>
      <c r="G32" s="34"/>
      <c r="H32" s="34"/>
      <c r="I32" s="90">
        <f t="shared" si="0"/>
      </c>
    </row>
    <row r="33" spans="2:9" ht="12.75" customHeight="1">
      <c r="B33" s="14"/>
      <c r="C33" s="15"/>
      <c r="D33" s="15"/>
      <c r="E33" s="16"/>
      <c r="F33" s="15"/>
      <c r="G33" s="34"/>
      <c r="H33" s="34"/>
      <c r="I33" s="90">
        <f t="shared" si="0"/>
      </c>
    </row>
    <row r="34" spans="2:9" ht="12.75" customHeight="1">
      <c r="B34" s="14"/>
      <c r="C34" s="15"/>
      <c r="D34" s="15"/>
      <c r="E34" s="16"/>
      <c r="F34" s="19"/>
      <c r="G34" s="34"/>
      <c r="H34" s="34"/>
      <c r="I34" s="90">
        <f t="shared" si="0"/>
      </c>
    </row>
    <row r="35" spans="2:9" ht="12.75" customHeight="1">
      <c r="B35" s="14"/>
      <c r="C35" s="15"/>
      <c r="D35" s="15"/>
      <c r="E35" s="16"/>
      <c r="F35" s="15"/>
      <c r="G35" s="20"/>
      <c r="H35" s="20"/>
      <c r="I35" s="90">
        <f t="shared" si="0"/>
      </c>
    </row>
    <row r="36" spans="2:9" s="1" customFormat="1" ht="12.75" customHeight="1">
      <c r="B36" s="17"/>
      <c r="C36" s="12"/>
      <c r="D36" s="12"/>
      <c r="E36" s="9">
        <v>821000</v>
      </c>
      <c r="F36" s="12" t="s">
        <v>13</v>
      </c>
      <c r="G36" s="20">
        <f>SUM(G37:G38)</f>
        <v>1000</v>
      </c>
      <c r="H36" s="20">
        <f>SUM(H37:H38)</f>
        <v>0</v>
      </c>
      <c r="I36" s="89">
        <f t="shared" si="0"/>
        <v>0</v>
      </c>
    </row>
    <row r="37" spans="2:9" ht="12.75" customHeight="1">
      <c r="B37" s="14"/>
      <c r="C37" s="15"/>
      <c r="D37" s="15"/>
      <c r="E37" s="16">
        <v>821200</v>
      </c>
      <c r="F37" s="15" t="s">
        <v>14</v>
      </c>
      <c r="G37" s="34">
        <v>0</v>
      </c>
      <c r="H37" s="34"/>
      <c r="I37" s="90">
        <f t="shared" si="0"/>
      </c>
    </row>
    <row r="38" spans="2:9" ht="12.75" customHeight="1">
      <c r="B38" s="14"/>
      <c r="C38" s="15"/>
      <c r="D38" s="15"/>
      <c r="E38" s="16">
        <v>821300</v>
      </c>
      <c r="F38" s="15" t="s">
        <v>15</v>
      </c>
      <c r="G38" s="34">
        <v>1000</v>
      </c>
      <c r="H38" s="34"/>
      <c r="I38" s="90">
        <f t="shared" si="0"/>
        <v>0</v>
      </c>
    </row>
    <row r="39" spans="2:9" ht="12.75" customHeight="1">
      <c r="B39" s="14"/>
      <c r="C39" s="15"/>
      <c r="D39" s="15"/>
      <c r="E39" s="16"/>
      <c r="F39" s="15"/>
      <c r="G39" s="34"/>
      <c r="H39" s="34"/>
      <c r="I39" s="90">
        <f t="shared" si="0"/>
      </c>
    </row>
    <row r="40" spans="2:9" ht="12.75" customHeight="1">
      <c r="B40" s="14"/>
      <c r="C40" s="15"/>
      <c r="D40" s="15"/>
      <c r="E40" s="16"/>
      <c r="F40" s="15"/>
      <c r="G40" s="34"/>
      <c r="H40" s="34"/>
      <c r="I40" s="90">
        <f t="shared" si="0"/>
      </c>
    </row>
    <row r="41" spans="2:9" s="1" customFormat="1" ht="12.75" customHeight="1">
      <c r="B41" s="17"/>
      <c r="C41" s="12"/>
      <c r="D41" s="12"/>
      <c r="E41" s="9"/>
      <c r="F41" s="12" t="s">
        <v>16</v>
      </c>
      <c r="G41" s="63">
        <v>2</v>
      </c>
      <c r="H41" s="63"/>
      <c r="I41" s="90"/>
    </row>
    <row r="42" spans="2:9" s="1" customFormat="1" ht="12.75" customHeight="1">
      <c r="B42" s="17"/>
      <c r="C42" s="12"/>
      <c r="D42" s="12"/>
      <c r="E42" s="9"/>
      <c r="F42" s="12" t="s">
        <v>32</v>
      </c>
      <c r="G42" s="20">
        <f>G7+G13+G17+G36</f>
        <v>36750</v>
      </c>
      <c r="H42" s="20">
        <f>H7+H13+H17+H36</f>
        <v>0</v>
      </c>
      <c r="I42" s="89">
        <f t="shared" si="0"/>
        <v>0</v>
      </c>
    </row>
    <row r="43" spans="2:9" s="1" customFormat="1" ht="12.75" customHeight="1">
      <c r="B43" s="17"/>
      <c r="C43" s="12"/>
      <c r="D43" s="12"/>
      <c r="E43" s="9"/>
      <c r="F43" s="12" t="s">
        <v>17</v>
      </c>
      <c r="G43" s="20">
        <f>G42</f>
        <v>36750</v>
      </c>
      <c r="H43" s="20">
        <f>H42</f>
        <v>0</v>
      </c>
      <c r="I43" s="89">
        <f t="shared" si="0"/>
        <v>0</v>
      </c>
    </row>
    <row r="44" spans="2:9" s="1" customFormat="1" ht="12.75" customHeight="1">
      <c r="B44" s="17"/>
      <c r="C44" s="12"/>
      <c r="D44" s="12"/>
      <c r="E44" s="9"/>
      <c r="F44" s="12" t="s">
        <v>18</v>
      </c>
      <c r="G44" s="20">
        <f>G43+'12'!G43+'11'!G43+'10'!G42</f>
        <v>1852270</v>
      </c>
      <c r="H44" s="20">
        <f>H43+'12'!H43+'11'!H43+'10'!H42</f>
        <v>0</v>
      </c>
      <c r="I44" s="89">
        <f t="shared" si="0"/>
        <v>0</v>
      </c>
    </row>
    <row r="45" spans="2:9" ht="12.75" customHeight="1" thickBot="1">
      <c r="B45" s="21"/>
      <c r="C45" s="22"/>
      <c r="D45" s="22"/>
      <c r="E45" s="23"/>
      <c r="F45" s="22"/>
      <c r="G45" s="35"/>
      <c r="H45" s="35"/>
      <c r="I45" s="93"/>
    </row>
    <row r="46" ht="12.75">
      <c r="G46" s="55"/>
    </row>
    <row r="47" spans="2:7" ht="12.75">
      <c r="B47" s="51"/>
      <c r="G47" s="55"/>
    </row>
    <row r="48" ht="12.75">
      <c r="G48" s="55"/>
    </row>
    <row r="49" ht="12.75">
      <c r="G49" s="55"/>
    </row>
    <row r="50" ht="12.75">
      <c r="G50" s="55"/>
    </row>
    <row r="51" ht="12.75">
      <c r="G51" s="55"/>
    </row>
    <row r="52" ht="12.75">
      <c r="G52" s="55"/>
    </row>
    <row r="53" ht="12.75">
      <c r="G53" s="55"/>
    </row>
    <row r="54" ht="12.75">
      <c r="G54" s="55"/>
    </row>
    <row r="55" ht="12.75">
      <c r="G55" s="55"/>
    </row>
    <row r="56" ht="12.75">
      <c r="G56" s="55"/>
    </row>
    <row r="57" ht="12.75">
      <c r="G57" s="55"/>
    </row>
    <row r="58" ht="12.75">
      <c r="G58" s="55"/>
    </row>
    <row r="59" ht="12.75">
      <c r="G59" s="55"/>
    </row>
    <row r="60" ht="12.75">
      <c r="G60" s="55"/>
    </row>
    <row r="61" ht="12.75">
      <c r="G61" s="55"/>
    </row>
    <row r="62" ht="12.75">
      <c r="G62" s="55"/>
    </row>
  </sheetData>
  <sheetProtection/>
  <mergeCells count="2">
    <mergeCell ref="B2:G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&amp;R20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45"/>
  <dimension ref="B2:K62"/>
  <sheetViews>
    <sheetView workbookViewId="0" topLeftCell="A1">
      <selection activeCell="H4" sqref="H4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57421875" style="24" customWidth="1"/>
    <col min="6" max="6" width="43.7109375" style="13" customWidth="1"/>
    <col min="7" max="7" width="15.7109375" style="13" customWidth="1"/>
    <col min="8" max="8" width="15.7109375" style="55" customWidth="1"/>
    <col min="9" max="9" width="8.7109375" style="80" customWidth="1"/>
    <col min="10" max="16384" width="9.140625" style="13" customWidth="1"/>
  </cols>
  <sheetData>
    <row r="2" spans="2:7" ht="15" customHeight="1">
      <c r="B2" s="143" t="s">
        <v>105</v>
      </c>
      <c r="C2" s="143"/>
      <c r="D2" s="143"/>
      <c r="E2" s="143"/>
      <c r="F2" s="143"/>
      <c r="G2" s="143"/>
    </row>
    <row r="3" spans="5:9" s="1" customFormat="1" ht="16.5" thickBot="1">
      <c r="E3" s="2"/>
      <c r="F3" s="144" t="s">
        <v>165</v>
      </c>
      <c r="G3" s="144"/>
      <c r="H3" s="108">
        <v>70430</v>
      </c>
      <c r="I3" s="109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31" t="s">
        <v>147</v>
      </c>
      <c r="H4" s="131" t="s">
        <v>164</v>
      </c>
      <c r="I4" s="86" t="s">
        <v>139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2">
        <v>6</v>
      </c>
      <c r="H5" s="9">
        <v>7</v>
      </c>
      <c r="I5" s="87">
        <v>8</v>
      </c>
    </row>
    <row r="6" spans="2:9" s="2" customFormat="1" ht="12.75" customHeight="1">
      <c r="B6" s="10" t="s">
        <v>51</v>
      </c>
      <c r="C6" s="11" t="s">
        <v>106</v>
      </c>
      <c r="D6" s="11" t="s">
        <v>5</v>
      </c>
      <c r="E6" s="9"/>
      <c r="F6" s="9"/>
      <c r="G6" s="32"/>
      <c r="H6" s="102"/>
      <c r="I6" s="88"/>
    </row>
    <row r="7" spans="2:9" s="1" customFormat="1" ht="12.75" customHeight="1">
      <c r="B7" s="17"/>
      <c r="C7" s="12"/>
      <c r="D7" s="12"/>
      <c r="E7" s="9">
        <v>611000</v>
      </c>
      <c r="F7" s="12" t="s">
        <v>82</v>
      </c>
      <c r="G7" s="136">
        <f>SUM(G8:G11)</f>
        <v>58660</v>
      </c>
      <c r="H7" s="136">
        <f>SUM(H8:H11)</f>
        <v>0</v>
      </c>
      <c r="I7" s="89">
        <f aca="true" t="shared" si="0" ref="I7:I44">IF(G7=0,"",H7/G7*100)</f>
        <v>0</v>
      </c>
    </row>
    <row r="8" spans="2:9" ht="12.75" customHeight="1">
      <c r="B8" s="14"/>
      <c r="C8" s="15"/>
      <c r="D8" s="15"/>
      <c r="E8" s="16">
        <v>611100</v>
      </c>
      <c r="F8" s="26" t="s">
        <v>107</v>
      </c>
      <c r="G8" s="138">
        <f>50200+2460</f>
        <v>52660</v>
      </c>
      <c r="H8" s="138"/>
      <c r="I8" s="90">
        <f t="shared" si="0"/>
        <v>0</v>
      </c>
    </row>
    <row r="9" spans="2:9" ht="12.75" customHeight="1">
      <c r="B9" s="14"/>
      <c r="C9" s="15"/>
      <c r="D9" s="15"/>
      <c r="E9" s="16">
        <v>611200</v>
      </c>
      <c r="F9" s="15" t="s">
        <v>108</v>
      </c>
      <c r="G9" s="138">
        <f>6000</f>
        <v>6000</v>
      </c>
      <c r="H9" s="138"/>
      <c r="I9" s="90">
        <f t="shared" si="0"/>
        <v>0</v>
      </c>
    </row>
    <row r="10" spans="2:11" ht="12.75" customHeight="1">
      <c r="B10" s="14"/>
      <c r="C10" s="15"/>
      <c r="D10" s="15"/>
      <c r="E10" s="16">
        <v>611200</v>
      </c>
      <c r="F10" s="134" t="s">
        <v>148</v>
      </c>
      <c r="G10" s="135">
        <v>0</v>
      </c>
      <c r="H10" s="135"/>
      <c r="I10" s="90">
        <f t="shared" si="0"/>
      </c>
      <c r="K10" s="54"/>
    </row>
    <row r="11" spans="2:9" ht="12.75" customHeight="1">
      <c r="B11" s="14"/>
      <c r="C11" s="15"/>
      <c r="D11" s="15"/>
      <c r="E11" s="16"/>
      <c r="F11" s="26"/>
      <c r="G11" s="138"/>
      <c r="H11" s="138"/>
      <c r="I11" s="90">
        <f t="shared" si="0"/>
      </c>
    </row>
    <row r="12" spans="2:9" ht="12.75" customHeight="1">
      <c r="B12" s="14"/>
      <c r="C12" s="15"/>
      <c r="D12" s="15"/>
      <c r="E12" s="16"/>
      <c r="F12" s="15"/>
      <c r="G12" s="136"/>
      <c r="H12" s="136"/>
      <c r="I12" s="90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81</v>
      </c>
      <c r="G13" s="136">
        <f>G14</f>
        <v>5970</v>
      </c>
      <c r="H13" s="136">
        <f>H14</f>
        <v>0</v>
      </c>
      <c r="I13" s="89">
        <f t="shared" si="0"/>
        <v>0</v>
      </c>
    </row>
    <row r="14" spans="2:9" ht="12.75" customHeight="1">
      <c r="B14" s="14"/>
      <c r="C14" s="15"/>
      <c r="D14" s="15"/>
      <c r="E14" s="16">
        <v>612100</v>
      </c>
      <c r="F14" s="18" t="s">
        <v>6</v>
      </c>
      <c r="G14" s="138">
        <f>5700+270</f>
        <v>5970</v>
      </c>
      <c r="H14" s="138"/>
      <c r="I14" s="90">
        <f t="shared" si="0"/>
        <v>0</v>
      </c>
    </row>
    <row r="15" spans="2:9" ht="12.75" customHeight="1">
      <c r="B15" s="14"/>
      <c r="C15" s="15"/>
      <c r="D15" s="15"/>
      <c r="E15" s="16"/>
      <c r="F15" s="15"/>
      <c r="G15" s="34"/>
      <c r="H15" s="34"/>
      <c r="I15" s="90">
        <f t="shared" si="0"/>
      </c>
    </row>
    <row r="16" spans="2:9" ht="12.75" customHeight="1">
      <c r="B16" s="14"/>
      <c r="C16" s="15"/>
      <c r="D16" s="15"/>
      <c r="E16" s="16"/>
      <c r="F16" s="15"/>
      <c r="G16" s="20"/>
      <c r="H16" s="20"/>
      <c r="I16" s="90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83</v>
      </c>
      <c r="G17" s="37">
        <f>SUM(G18:G27)</f>
        <v>5800</v>
      </c>
      <c r="H17" s="37">
        <f>SUM(H18:H27)</f>
        <v>0</v>
      </c>
      <c r="I17" s="89">
        <f t="shared" si="0"/>
        <v>0</v>
      </c>
    </row>
    <row r="18" spans="2:9" ht="12.75" customHeight="1">
      <c r="B18" s="14"/>
      <c r="C18" s="15"/>
      <c r="D18" s="15"/>
      <c r="E18" s="16">
        <v>613100</v>
      </c>
      <c r="F18" s="15" t="s">
        <v>7</v>
      </c>
      <c r="G18" s="34">
        <v>1900</v>
      </c>
      <c r="H18" s="34"/>
      <c r="I18" s="90">
        <f t="shared" si="0"/>
        <v>0</v>
      </c>
    </row>
    <row r="19" spans="2:9" ht="12.75" customHeight="1">
      <c r="B19" s="14"/>
      <c r="C19" s="15"/>
      <c r="D19" s="15"/>
      <c r="E19" s="16">
        <v>613200</v>
      </c>
      <c r="F19" s="15" t="s">
        <v>8</v>
      </c>
      <c r="G19" s="34">
        <v>0</v>
      </c>
      <c r="H19" s="34"/>
      <c r="I19" s="90">
        <f t="shared" si="0"/>
      </c>
    </row>
    <row r="20" spans="2:9" ht="12.75" customHeight="1">
      <c r="B20" s="14"/>
      <c r="C20" s="15"/>
      <c r="D20" s="15"/>
      <c r="E20" s="16">
        <v>613300</v>
      </c>
      <c r="F20" s="26" t="s">
        <v>109</v>
      </c>
      <c r="G20" s="34">
        <v>1600</v>
      </c>
      <c r="H20" s="34"/>
      <c r="I20" s="90">
        <f t="shared" si="0"/>
        <v>0</v>
      </c>
    </row>
    <row r="21" spans="2:9" ht="12.75" customHeight="1">
      <c r="B21" s="14"/>
      <c r="C21" s="15"/>
      <c r="D21" s="15"/>
      <c r="E21" s="16">
        <v>613400</v>
      </c>
      <c r="F21" s="15" t="s">
        <v>84</v>
      </c>
      <c r="G21" s="34">
        <v>900</v>
      </c>
      <c r="H21" s="34"/>
      <c r="I21" s="90">
        <f t="shared" si="0"/>
        <v>0</v>
      </c>
    </row>
    <row r="22" spans="2:9" ht="12.75" customHeight="1">
      <c r="B22" s="14"/>
      <c r="C22" s="15"/>
      <c r="D22" s="15"/>
      <c r="E22" s="16">
        <v>613500</v>
      </c>
      <c r="F22" s="15" t="s">
        <v>9</v>
      </c>
      <c r="G22" s="34">
        <v>0</v>
      </c>
      <c r="H22" s="34"/>
      <c r="I22" s="90">
        <f t="shared" si="0"/>
      </c>
    </row>
    <row r="23" spans="2:9" ht="12.75" customHeight="1">
      <c r="B23" s="14"/>
      <c r="C23" s="15"/>
      <c r="D23" s="15"/>
      <c r="E23" s="16">
        <v>613600</v>
      </c>
      <c r="F23" s="26" t="s">
        <v>110</v>
      </c>
      <c r="G23" s="34">
        <v>0</v>
      </c>
      <c r="H23" s="34"/>
      <c r="I23" s="90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10</v>
      </c>
      <c r="G24" s="34">
        <v>400</v>
      </c>
      <c r="H24" s="34"/>
      <c r="I24" s="90">
        <f t="shared" si="0"/>
        <v>0</v>
      </c>
    </row>
    <row r="25" spans="2:9" ht="12.75" customHeight="1">
      <c r="B25" s="14"/>
      <c r="C25" s="15"/>
      <c r="D25" s="15"/>
      <c r="E25" s="16">
        <v>613800</v>
      </c>
      <c r="F25" s="15" t="s">
        <v>85</v>
      </c>
      <c r="G25" s="34">
        <v>0</v>
      </c>
      <c r="H25" s="34"/>
      <c r="I25" s="90">
        <f t="shared" si="0"/>
      </c>
    </row>
    <row r="26" spans="2:9" ht="12.75" customHeight="1">
      <c r="B26" s="14"/>
      <c r="C26" s="15"/>
      <c r="D26" s="15"/>
      <c r="E26" s="16">
        <v>613900</v>
      </c>
      <c r="F26" s="15" t="s">
        <v>86</v>
      </c>
      <c r="G26" s="71">
        <v>1000</v>
      </c>
      <c r="H26" s="71"/>
      <c r="I26" s="90">
        <f t="shared" si="0"/>
        <v>0</v>
      </c>
    </row>
    <row r="27" spans="2:9" ht="12.75" customHeight="1">
      <c r="B27" s="14"/>
      <c r="C27" s="15"/>
      <c r="D27" s="15"/>
      <c r="E27" s="16">
        <v>613900</v>
      </c>
      <c r="F27" s="134" t="s">
        <v>149</v>
      </c>
      <c r="G27" s="71">
        <v>0</v>
      </c>
      <c r="H27" s="71"/>
      <c r="I27" s="90">
        <f t="shared" si="0"/>
      </c>
    </row>
    <row r="28" spans="2:9" s="1" customFormat="1" ht="12.75" customHeight="1">
      <c r="B28" s="17"/>
      <c r="C28" s="12"/>
      <c r="D28" s="12"/>
      <c r="E28" s="41"/>
      <c r="F28" s="12"/>
      <c r="G28" s="34"/>
      <c r="H28" s="34"/>
      <c r="I28" s="90">
        <f t="shared" si="0"/>
      </c>
    </row>
    <row r="29" spans="2:9" ht="12.75" customHeight="1">
      <c r="B29" s="14"/>
      <c r="C29" s="15"/>
      <c r="D29" s="29"/>
      <c r="E29" s="43"/>
      <c r="F29" s="40"/>
      <c r="G29" s="34"/>
      <c r="H29" s="34"/>
      <c r="I29" s="90">
        <f t="shared" si="0"/>
      </c>
    </row>
    <row r="30" spans="2:9" ht="12.75" customHeight="1">
      <c r="B30" s="14"/>
      <c r="C30" s="15"/>
      <c r="D30" s="15"/>
      <c r="E30" s="42"/>
      <c r="F30" s="15"/>
      <c r="G30" s="34"/>
      <c r="H30" s="34"/>
      <c r="I30" s="90">
        <f t="shared" si="0"/>
      </c>
    </row>
    <row r="31" spans="2:9" ht="12.75" customHeight="1">
      <c r="B31" s="14"/>
      <c r="C31" s="15"/>
      <c r="D31" s="15"/>
      <c r="E31" s="16"/>
      <c r="F31" s="15"/>
      <c r="G31" s="34"/>
      <c r="H31" s="34"/>
      <c r="I31" s="90">
        <f t="shared" si="0"/>
      </c>
    </row>
    <row r="32" spans="2:9" ht="12.75" customHeight="1">
      <c r="B32" s="14"/>
      <c r="C32" s="15"/>
      <c r="D32" s="15"/>
      <c r="E32" s="16"/>
      <c r="F32" s="15"/>
      <c r="G32" s="34"/>
      <c r="H32" s="34"/>
      <c r="I32" s="90">
        <f t="shared" si="0"/>
      </c>
    </row>
    <row r="33" spans="2:9" ht="12.75" customHeight="1">
      <c r="B33" s="14"/>
      <c r="C33" s="15"/>
      <c r="D33" s="15"/>
      <c r="E33" s="16"/>
      <c r="F33" s="15"/>
      <c r="G33" s="34"/>
      <c r="H33" s="34"/>
      <c r="I33" s="90">
        <f t="shared" si="0"/>
      </c>
    </row>
    <row r="34" spans="2:9" ht="12.75" customHeight="1">
      <c r="B34" s="14"/>
      <c r="C34" s="15"/>
      <c r="D34" s="15"/>
      <c r="E34" s="16"/>
      <c r="F34" s="19"/>
      <c r="G34" s="34"/>
      <c r="H34" s="34"/>
      <c r="I34" s="90">
        <f t="shared" si="0"/>
      </c>
    </row>
    <row r="35" spans="2:9" ht="12.75" customHeight="1">
      <c r="B35" s="14"/>
      <c r="C35" s="15"/>
      <c r="D35" s="15"/>
      <c r="E35" s="16"/>
      <c r="F35" s="15"/>
      <c r="G35" s="20"/>
      <c r="H35" s="20"/>
      <c r="I35" s="90">
        <f t="shared" si="0"/>
      </c>
    </row>
    <row r="36" spans="2:9" s="1" customFormat="1" ht="12.75" customHeight="1">
      <c r="B36" s="17"/>
      <c r="C36" s="12"/>
      <c r="D36" s="12"/>
      <c r="E36" s="9">
        <v>821000</v>
      </c>
      <c r="F36" s="12" t="s">
        <v>13</v>
      </c>
      <c r="G36" s="20">
        <f>G37+G38</f>
        <v>0</v>
      </c>
      <c r="H36" s="20">
        <f>H37+H38</f>
        <v>0</v>
      </c>
      <c r="I36" s="89">
        <f t="shared" si="0"/>
      </c>
    </row>
    <row r="37" spans="2:9" ht="12.75" customHeight="1">
      <c r="B37" s="14"/>
      <c r="C37" s="15"/>
      <c r="D37" s="15"/>
      <c r="E37" s="16">
        <v>821200</v>
      </c>
      <c r="F37" s="15" t="s">
        <v>14</v>
      </c>
      <c r="G37" s="34">
        <v>0</v>
      </c>
      <c r="H37" s="34"/>
      <c r="I37" s="90">
        <f t="shared" si="0"/>
      </c>
    </row>
    <row r="38" spans="2:9" ht="12.75" customHeight="1">
      <c r="B38" s="14"/>
      <c r="C38" s="15"/>
      <c r="D38" s="15"/>
      <c r="E38" s="16">
        <v>821300</v>
      </c>
      <c r="F38" s="15" t="s">
        <v>15</v>
      </c>
      <c r="G38" s="71">
        <v>0</v>
      </c>
      <c r="H38" s="71"/>
      <c r="I38" s="90">
        <f t="shared" si="0"/>
      </c>
    </row>
    <row r="39" spans="2:9" ht="12.75" customHeight="1">
      <c r="B39" s="14"/>
      <c r="C39" s="15"/>
      <c r="D39" s="15"/>
      <c r="E39" s="16"/>
      <c r="F39" s="15"/>
      <c r="G39" s="34"/>
      <c r="H39" s="34"/>
      <c r="I39" s="90">
        <f t="shared" si="0"/>
      </c>
    </row>
    <row r="40" spans="2:9" ht="12.75" customHeight="1">
      <c r="B40" s="14"/>
      <c r="C40" s="15"/>
      <c r="D40" s="15"/>
      <c r="E40" s="16"/>
      <c r="F40" s="15"/>
      <c r="G40" s="34"/>
      <c r="H40" s="34"/>
      <c r="I40" s="90">
        <f t="shared" si="0"/>
      </c>
    </row>
    <row r="41" spans="2:9" s="1" customFormat="1" ht="12.75" customHeight="1">
      <c r="B41" s="17"/>
      <c r="C41" s="12"/>
      <c r="D41" s="12"/>
      <c r="E41" s="9"/>
      <c r="F41" s="12" t="s">
        <v>16</v>
      </c>
      <c r="G41" s="20">
        <v>2</v>
      </c>
      <c r="H41" s="20"/>
      <c r="I41" s="90"/>
    </row>
    <row r="42" spans="2:9" s="1" customFormat="1" ht="12.75" customHeight="1">
      <c r="B42" s="17"/>
      <c r="C42" s="12"/>
      <c r="D42" s="12"/>
      <c r="E42" s="9"/>
      <c r="F42" s="12" t="s">
        <v>32</v>
      </c>
      <c r="G42" s="20">
        <f>G7+G13+G17+G36</f>
        <v>70430</v>
      </c>
      <c r="H42" s="20">
        <f>H7+H13+H17+H36</f>
        <v>0</v>
      </c>
      <c r="I42" s="89">
        <f t="shared" si="0"/>
        <v>0</v>
      </c>
    </row>
    <row r="43" spans="2:9" s="1" customFormat="1" ht="12.75" customHeight="1">
      <c r="B43" s="17"/>
      <c r="C43" s="12"/>
      <c r="D43" s="12"/>
      <c r="E43" s="9"/>
      <c r="F43" s="12" t="s">
        <v>17</v>
      </c>
      <c r="G43" s="20">
        <f>G42</f>
        <v>70430</v>
      </c>
      <c r="H43" s="20">
        <f>H42</f>
        <v>0</v>
      </c>
      <c r="I43" s="89">
        <f t="shared" si="0"/>
        <v>0</v>
      </c>
    </row>
    <row r="44" spans="2:9" s="1" customFormat="1" ht="12.75" customHeight="1">
      <c r="B44" s="17"/>
      <c r="C44" s="12"/>
      <c r="D44" s="12"/>
      <c r="E44" s="9"/>
      <c r="F44" s="12" t="s">
        <v>18</v>
      </c>
      <c r="G44" s="20">
        <f>G43+'13'!G43+'12'!G43+'11'!G43+'10'!G42</f>
        <v>1922700</v>
      </c>
      <c r="H44" s="20">
        <f>H43+'13'!H43+'12'!H43+'11'!H43+'10'!H42</f>
        <v>0</v>
      </c>
      <c r="I44" s="89">
        <f t="shared" si="0"/>
        <v>0</v>
      </c>
    </row>
    <row r="45" spans="2:9" ht="12.75" customHeight="1" thickBot="1">
      <c r="B45" s="21"/>
      <c r="C45" s="22"/>
      <c r="D45" s="22"/>
      <c r="E45" s="23"/>
      <c r="F45" s="22"/>
      <c r="G45" s="35"/>
      <c r="H45" s="35"/>
      <c r="I45" s="93"/>
    </row>
    <row r="46" ht="12.75">
      <c r="G46" s="55"/>
    </row>
    <row r="47" spans="2:7" ht="12.75">
      <c r="B47" s="51"/>
      <c r="G47" s="55"/>
    </row>
    <row r="48" spans="2:7" ht="12.75">
      <c r="B48" s="51"/>
      <c r="G48" s="55"/>
    </row>
    <row r="49" ht="12.75">
      <c r="G49" s="55"/>
    </row>
    <row r="50" ht="12.75">
      <c r="G50" s="55"/>
    </row>
    <row r="51" ht="12.75">
      <c r="G51" s="55"/>
    </row>
    <row r="52" ht="12.75">
      <c r="G52" s="55"/>
    </row>
    <row r="53" ht="12.75">
      <c r="G53" s="55"/>
    </row>
    <row r="54" ht="12.75">
      <c r="G54" s="55"/>
    </row>
    <row r="55" ht="12.75">
      <c r="G55" s="55"/>
    </row>
    <row r="56" ht="12.75">
      <c r="G56" s="55"/>
    </row>
    <row r="57" ht="12.75">
      <c r="G57" s="55"/>
    </row>
    <row r="58" ht="12.75">
      <c r="G58" s="55"/>
    </row>
    <row r="59" ht="12.75">
      <c r="G59" s="55"/>
    </row>
    <row r="60" ht="12.75">
      <c r="G60" s="55"/>
    </row>
    <row r="61" ht="12.75">
      <c r="G61" s="55"/>
    </row>
    <row r="62" ht="12.75">
      <c r="G62" s="55"/>
    </row>
  </sheetData>
  <sheetProtection/>
  <mergeCells count="2">
    <mergeCell ref="B2:G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&amp;R21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B2:K62"/>
  <sheetViews>
    <sheetView workbookViewId="0" topLeftCell="B1">
      <selection activeCell="H4" sqref="H4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7109375" style="24" customWidth="1"/>
    <col min="6" max="6" width="43.7109375" style="13" customWidth="1"/>
    <col min="7" max="7" width="15.7109375" style="13" customWidth="1"/>
    <col min="8" max="8" width="15.7109375" style="55" customWidth="1"/>
    <col min="9" max="9" width="8.7109375" style="80" customWidth="1"/>
    <col min="10" max="16384" width="9.140625" style="13" customWidth="1"/>
  </cols>
  <sheetData>
    <row r="2" spans="2:9" s="67" customFormat="1" ht="15" customHeight="1">
      <c r="B2" s="145" t="s">
        <v>96</v>
      </c>
      <c r="C2" s="145"/>
      <c r="D2" s="145"/>
      <c r="E2" s="145"/>
      <c r="F2" s="145"/>
      <c r="G2" s="145"/>
      <c r="H2" s="129"/>
      <c r="I2" s="130"/>
    </row>
    <row r="3" spans="5:9" s="1" customFormat="1" ht="16.5" thickBot="1">
      <c r="E3" s="2"/>
      <c r="F3" s="144" t="s">
        <v>165</v>
      </c>
      <c r="G3" s="144"/>
      <c r="H3" s="108">
        <v>1214090</v>
      </c>
      <c r="I3" s="109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116</v>
      </c>
      <c r="F4" s="7" t="s">
        <v>3</v>
      </c>
      <c r="G4" s="131" t="s">
        <v>147</v>
      </c>
      <c r="H4" s="131" t="s">
        <v>164</v>
      </c>
      <c r="I4" s="86" t="s">
        <v>139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2">
        <v>6</v>
      </c>
      <c r="H5" s="9">
        <v>7</v>
      </c>
      <c r="I5" s="87">
        <v>8</v>
      </c>
    </row>
    <row r="6" spans="2:9" s="2" customFormat="1" ht="12.75" customHeight="1">
      <c r="B6" s="10" t="s">
        <v>54</v>
      </c>
      <c r="C6" s="11" t="s">
        <v>4</v>
      </c>
      <c r="D6" s="11" t="s">
        <v>5</v>
      </c>
      <c r="E6" s="9"/>
      <c r="F6" s="9"/>
      <c r="G6" s="32"/>
      <c r="H6" s="102"/>
      <c r="I6" s="88"/>
    </row>
    <row r="7" spans="2:9" s="1" customFormat="1" ht="12.75" customHeight="1">
      <c r="B7" s="17"/>
      <c r="C7" s="12"/>
      <c r="D7" s="12"/>
      <c r="E7" s="9">
        <v>611000</v>
      </c>
      <c r="F7" s="12" t="s">
        <v>82</v>
      </c>
      <c r="G7" s="136">
        <f>SUM(G8:G11)</f>
        <v>172860</v>
      </c>
      <c r="H7" s="136">
        <f>SUM(H8:H11)</f>
        <v>0</v>
      </c>
      <c r="I7" s="89">
        <f aca="true" t="shared" si="0" ref="I7:I40">IF(G7=0,"",H7/G7*100)</f>
        <v>0</v>
      </c>
    </row>
    <row r="8" spans="2:9" ht="12.75" customHeight="1">
      <c r="B8" s="14"/>
      <c r="C8" s="15"/>
      <c r="D8" s="15"/>
      <c r="E8" s="16">
        <v>611100</v>
      </c>
      <c r="F8" s="26" t="s">
        <v>107</v>
      </c>
      <c r="G8" s="138">
        <f>137200+6760</f>
        <v>143960</v>
      </c>
      <c r="H8" s="138"/>
      <c r="I8" s="90">
        <f t="shared" si="0"/>
        <v>0</v>
      </c>
    </row>
    <row r="9" spans="2:9" ht="12.75" customHeight="1">
      <c r="B9" s="14"/>
      <c r="C9" s="15"/>
      <c r="D9" s="15"/>
      <c r="E9" s="16">
        <v>611200</v>
      </c>
      <c r="F9" s="15" t="s">
        <v>108</v>
      </c>
      <c r="G9" s="138">
        <f>28900</f>
        <v>28900</v>
      </c>
      <c r="H9" s="138"/>
      <c r="I9" s="90">
        <f t="shared" si="0"/>
        <v>0</v>
      </c>
    </row>
    <row r="10" spans="2:11" ht="12.75" customHeight="1">
      <c r="B10" s="14"/>
      <c r="C10" s="15"/>
      <c r="D10" s="15"/>
      <c r="E10" s="16">
        <v>611200</v>
      </c>
      <c r="F10" s="134" t="s">
        <v>148</v>
      </c>
      <c r="G10" s="135">
        <v>0</v>
      </c>
      <c r="H10" s="135"/>
      <c r="I10" s="90">
        <f t="shared" si="0"/>
      </c>
      <c r="K10" s="54"/>
    </row>
    <row r="11" spans="2:9" ht="12.75" customHeight="1">
      <c r="B11" s="14"/>
      <c r="C11" s="15"/>
      <c r="D11" s="15"/>
      <c r="E11" s="16"/>
      <c r="F11" s="26"/>
      <c r="G11" s="138"/>
      <c r="H11" s="138"/>
      <c r="I11" s="90">
        <f t="shared" si="0"/>
      </c>
    </row>
    <row r="12" spans="2:9" ht="12.75" customHeight="1">
      <c r="B12" s="14"/>
      <c r="C12" s="15"/>
      <c r="D12" s="15"/>
      <c r="E12" s="16"/>
      <c r="F12" s="15"/>
      <c r="G12" s="136"/>
      <c r="H12" s="136"/>
      <c r="I12" s="90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81</v>
      </c>
      <c r="G13" s="136">
        <f>G14</f>
        <v>16630</v>
      </c>
      <c r="H13" s="136">
        <f>H14</f>
        <v>0</v>
      </c>
      <c r="I13" s="89">
        <f t="shared" si="0"/>
        <v>0</v>
      </c>
    </row>
    <row r="14" spans="2:9" ht="12.75" customHeight="1">
      <c r="B14" s="14"/>
      <c r="C14" s="15"/>
      <c r="D14" s="15"/>
      <c r="E14" s="16">
        <v>612100</v>
      </c>
      <c r="F14" s="18" t="s">
        <v>6</v>
      </c>
      <c r="G14" s="138">
        <f>15900+730</f>
        <v>16630</v>
      </c>
      <c r="H14" s="138"/>
      <c r="I14" s="90">
        <f t="shared" si="0"/>
        <v>0</v>
      </c>
    </row>
    <row r="15" spans="2:9" ht="12.75" customHeight="1">
      <c r="B15" s="14"/>
      <c r="C15" s="15"/>
      <c r="D15" s="15"/>
      <c r="E15" s="16"/>
      <c r="F15" s="15"/>
      <c r="G15" s="71"/>
      <c r="H15" s="71"/>
      <c r="I15" s="90">
        <f t="shared" si="0"/>
      </c>
    </row>
    <row r="16" spans="2:9" ht="12.75" customHeight="1">
      <c r="B16" s="14"/>
      <c r="C16" s="15"/>
      <c r="D16" s="15"/>
      <c r="E16" s="16"/>
      <c r="F16" s="15"/>
      <c r="G16" s="20"/>
      <c r="H16" s="20"/>
      <c r="I16" s="90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83</v>
      </c>
      <c r="G17" s="37">
        <f>SUM(G18:G27)</f>
        <v>24600</v>
      </c>
      <c r="H17" s="37">
        <f>SUM(H18:H27)</f>
        <v>0</v>
      </c>
      <c r="I17" s="89">
        <f t="shared" si="0"/>
        <v>0</v>
      </c>
    </row>
    <row r="18" spans="2:9" ht="12.75" customHeight="1">
      <c r="B18" s="14"/>
      <c r="C18" s="15"/>
      <c r="D18" s="15"/>
      <c r="E18" s="16">
        <v>613100</v>
      </c>
      <c r="F18" s="15" t="s">
        <v>7</v>
      </c>
      <c r="G18" s="34">
        <v>5000</v>
      </c>
      <c r="H18" s="34"/>
      <c r="I18" s="90">
        <f t="shared" si="0"/>
        <v>0</v>
      </c>
    </row>
    <row r="19" spans="2:9" ht="12.75" customHeight="1">
      <c r="B19" s="14"/>
      <c r="C19" s="15"/>
      <c r="D19" s="15"/>
      <c r="E19" s="16">
        <v>613200</v>
      </c>
      <c r="F19" s="15" t="s">
        <v>8</v>
      </c>
      <c r="G19" s="34">
        <v>0</v>
      </c>
      <c r="H19" s="34"/>
      <c r="I19" s="90">
        <f t="shared" si="0"/>
      </c>
    </row>
    <row r="20" spans="2:9" ht="12.75" customHeight="1">
      <c r="B20" s="14"/>
      <c r="C20" s="15"/>
      <c r="D20" s="15"/>
      <c r="E20" s="16">
        <v>613300</v>
      </c>
      <c r="F20" s="26" t="s">
        <v>109</v>
      </c>
      <c r="G20" s="34">
        <v>3500</v>
      </c>
      <c r="H20" s="34"/>
      <c r="I20" s="90">
        <f t="shared" si="0"/>
        <v>0</v>
      </c>
    </row>
    <row r="21" spans="2:9" ht="12.75" customHeight="1">
      <c r="B21" s="14"/>
      <c r="C21" s="15"/>
      <c r="D21" s="15"/>
      <c r="E21" s="16">
        <v>613400</v>
      </c>
      <c r="F21" s="15" t="s">
        <v>84</v>
      </c>
      <c r="G21" s="34">
        <v>100</v>
      </c>
      <c r="H21" s="34"/>
      <c r="I21" s="90">
        <f t="shared" si="0"/>
        <v>0</v>
      </c>
    </row>
    <row r="22" spans="2:9" ht="12.75" customHeight="1">
      <c r="B22" s="14"/>
      <c r="C22" s="15"/>
      <c r="D22" s="15"/>
      <c r="E22" s="16">
        <v>613500</v>
      </c>
      <c r="F22" s="15" t="s">
        <v>9</v>
      </c>
      <c r="G22" s="34">
        <v>0</v>
      </c>
      <c r="H22" s="34"/>
      <c r="I22" s="90">
        <f t="shared" si="0"/>
      </c>
    </row>
    <row r="23" spans="2:9" ht="12.75" customHeight="1">
      <c r="B23" s="14"/>
      <c r="C23" s="15"/>
      <c r="D23" s="15"/>
      <c r="E23" s="16">
        <v>613600</v>
      </c>
      <c r="F23" s="26" t="s">
        <v>110</v>
      </c>
      <c r="G23" s="34">
        <v>0</v>
      </c>
      <c r="H23" s="34"/>
      <c r="I23" s="90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10</v>
      </c>
      <c r="G24" s="34">
        <v>1000</v>
      </c>
      <c r="H24" s="34"/>
      <c r="I24" s="90">
        <f t="shared" si="0"/>
        <v>0</v>
      </c>
    </row>
    <row r="25" spans="2:11" ht="12.75" customHeight="1">
      <c r="B25" s="14"/>
      <c r="C25" s="15"/>
      <c r="D25" s="15"/>
      <c r="E25" s="16">
        <v>613800</v>
      </c>
      <c r="F25" s="15" t="s">
        <v>85</v>
      </c>
      <c r="G25" s="34">
        <v>0</v>
      </c>
      <c r="H25" s="34"/>
      <c r="I25" s="90">
        <f t="shared" si="0"/>
      </c>
      <c r="K25" s="51"/>
    </row>
    <row r="26" spans="2:11" ht="12.75" customHeight="1">
      <c r="B26" s="14"/>
      <c r="C26" s="15"/>
      <c r="D26" s="15"/>
      <c r="E26" s="16">
        <v>613900</v>
      </c>
      <c r="F26" s="15" t="s">
        <v>86</v>
      </c>
      <c r="G26" s="71">
        <v>15000</v>
      </c>
      <c r="H26" s="71"/>
      <c r="I26" s="90">
        <f t="shared" si="0"/>
        <v>0</v>
      </c>
      <c r="K26" s="51"/>
    </row>
    <row r="27" spans="2:9" ht="12.75" customHeight="1">
      <c r="B27" s="14"/>
      <c r="C27" s="15"/>
      <c r="D27" s="15"/>
      <c r="E27" s="16">
        <v>613900</v>
      </c>
      <c r="F27" s="134" t="s">
        <v>149</v>
      </c>
      <c r="G27" s="34">
        <v>0</v>
      </c>
      <c r="H27" s="34"/>
      <c r="I27" s="90">
        <f t="shared" si="0"/>
      </c>
    </row>
    <row r="28" spans="2:9" ht="12.75" customHeight="1">
      <c r="B28" s="14"/>
      <c r="C28" s="15"/>
      <c r="D28" s="15"/>
      <c r="E28" s="16"/>
      <c r="F28" s="15"/>
      <c r="G28" s="20"/>
      <c r="H28" s="20"/>
      <c r="I28" s="90">
        <f t="shared" si="0"/>
      </c>
    </row>
    <row r="29" spans="2:9" s="1" customFormat="1" ht="12.75" customHeight="1">
      <c r="B29" s="17"/>
      <c r="C29" s="12"/>
      <c r="D29" s="12"/>
      <c r="E29" s="9">
        <v>614000</v>
      </c>
      <c r="F29" s="12" t="s">
        <v>111</v>
      </c>
      <c r="G29" s="20">
        <f>SUM(G30:G30)</f>
        <v>900000</v>
      </c>
      <c r="H29" s="20">
        <f>SUM(H30:H30)</f>
        <v>0</v>
      </c>
      <c r="I29" s="89">
        <f t="shared" si="0"/>
        <v>0</v>
      </c>
    </row>
    <row r="30" spans="2:9" s="1" customFormat="1" ht="12.75" customHeight="1">
      <c r="B30" s="17"/>
      <c r="C30" s="12"/>
      <c r="D30" s="49"/>
      <c r="E30" s="74">
        <v>614500</v>
      </c>
      <c r="F30" s="69" t="s">
        <v>33</v>
      </c>
      <c r="G30" s="71">
        <v>900000</v>
      </c>
      <c r="H30" s="71"/>
      <c r="I30" s="90">
        <f t="shared" si="0"/>
        <v>0</v>
      </c>
    </row>
    <row r="31" spans="2:9" ht="12.75" customHeight="1">
      <c r="B31" s="14"/>
      <c r="C31" s="15"/>
      <c r="D31" s="15"/>
      <c r="E31" s="16"/>
      <c r="F31" s="26"/>
      <c r="G31" s="71"/>
      <c r="H31" s="71"/>
      <c r="I31" s="90">
        <f t="shared" si="0"/>
      </c>
    </row>
    <row r="32" spans="2:9" ht="12.75" customHeight="1">
      <c r="B32" s="17"/>
      <c r="C32" s="12"/>
      <c r="D32" s="12"/>
      <c r="E32" s="9">
        <v>821000</v>
      </c>
      <c r="F32" s="12" t="s">
        <v>13</v>
      </c>
      <c r="G32" s="63">
        <f>SUM(G33:G34)</f>
        <v>2000</v>
      </c>
      <c r="H32" s="63">
        <f>SUM(H33:H34)</f>
        <v>0</v>
      </c>
      <c r="I32" s="89">
        <f t="shared" si="0"/>
        <v>0</v>
      </c>
    </row>
    <row r="33" spans="2:9" ht="12.75" customHeight="1">
      <c r="B33" s="14"/>
      <c r="C33" s="15"/>
      <c r="D33" s="15"/>
      <c r="E33" s="16">
        <v>821200</v>
      </c>
      <c r="F33" s="15" t="s">
        <v>14</v>
      </c>
      <c r="G33" s="71">
        <v>0</v>
      </c>
      <c r="H33" s="71"/>
      <c r="I33" s="90">
        <f t="shared" si="0"/>
      </c>
    </row>
    <row r="34" spans="2:9" ht="12.75" customHeight="1">
      <c r="B34" s="14"/>
      <c r="C34" s="15"/>
      <c r="D34" s="15"/>
      <c r="E34" s="16">
        <v>821300</v>
      </c>
      <c r="F34" s="15" t="s">
        <v>15</v>
      </c>
      <c r="G34" s="71">
        <v>2000</v>
      </c>
      <c r="H34" s="71"/>
      <c r="I34" s="90">
        <f t="shared" si="0"/>
        <v>0</v>
      </c>
    </row>
    <row r="35" spans="2:9" s="1" customFormat="1" ht="12.75" customHeight="1">
      <c r="B35" s="14"/>
      <c r="C35" s="15"/>
      <c r="D35" s="15"/>
      <c r="E35" s="16"/>
      <c r="F35" s="15"/>
      <c r="G35" s="34"/>
      <c r="H35" s="34"/>
      <c r="I35" s="90">
        <f t="shared" si="0"/>
      </c>
    </row>
    <row r="36" spans="2:9" ht="12.75" customHeight="1">
      <c r="B36" s="14"/>
      <c r="C36" s="15"/>
      <c r="D36" s="15"/>
      <c r="E36" s="16"/>
      <c r="F36" s="15"/>
      <c r="G36" s="34"/>
      <c r="H36" s="34"/>
      <c r="I36" s="90">
        <f t="shared" si="0"/>
      </c>
    </row>
    <row r="37" spans="2:9" ht="12.75" customHeight="1">
      <c r="B37" s="17"/>
      <c r="C37" s="12"/>
      <c r="D37" s="12"/>
      <c r="E37" s="9"/>
      <c r="F37" s="12" t="s">
        <v>16</v>
      </c>
      <c r="G37" s="63">
        <v>7</v>
      </c>
      <c r="H37" s="63"/>
      <c r="I37" s="90"/>
    </row>
    <row r="38" spans="2:9" ht="12.75" customHeight="1">
      <c r="B38" s="17"/>
      <c r="C38" s="12"/>
      <c r="D38" s="12"/>
      <c r="E38" s="9"/>
      <c r="F38" s="12" t="s">
        <v>32</v>
      </c>
      <c r="G38" s="20">
        <f>G7+G13+G17+G29+G32</f>
        <v>1116090</v>
      </c>
      <c r="H38" s="20">
        <f>H7+H13+H17+H29+H32</f>
        <v>0</v>
      </c>
      <c r="I38" s="89">
        <f t="shared" si="0"/>
        <v>0</v>
      </c>
    </row>
    <row r="39" spans="2:9" ht="12.75" customHeight="1">
      <c r="B39" s="17"/>
      <c r="C39" s="12"/>
      <c r="D39" s="12"/>
      <c r="E39" s="9"/>
      <c r="F39" s="12" t="s">
        <v>17</v>
      </c>
      <c r="G39" s="20">
        <f>G38</f>
        <v>1116090</v>
      </c>
      <c r="H39" s="20">
        <f>H38</f>
        <v>0</v>
      </c>
      <c r="I39" s="89">
        <f t="shared" si="0"/>
        <v>0</v>
      </c>
    </row>
    <row r="40" spans="2:9" s="1" customFormat="1" ht="12.75" customHeight="1">
      <c r="B40" s="17"/>
      <c r="C40" s="12"/>
      <c r="D40" s="12"/>
      <c r="E40" s="9"/>
      <c r="F40" s="12" t="s">
        <v>18</v>
      </c>
      <c r="G40" s="20">
        <f>G39</f>
        <v>1116090</v>
      </c>
      <c r="H40" s="20">
        <f>H39</f>
        <v>0</v>
      </c>
      <c r="I40" s="89">
        <f t="shared" si="0"/>
        <v>0</v>
      </c>
    </row>
    <row r="41" spans="2:9" s="1" customFormat="1" ht="12.75" customHeight="1" thickBot="1">
      <c r="B41" s="21"/>
      <c r="C41" s="22"/>
      <c r="D41" s="22"/>
      <c r="E41" s="23"/>
      <c r="F41" s="22"/>
      <c r="G41" s="35"/>
      <c r="H41" s="35"/>
      <c r="I41" s="93"/>
    </row>
    <row r="42" spans="2:9" s="1" customFormat="1" ht="12.75" customHeight="1">
      <c r="B42" s="13"/>
      <c r="C42" s="13"/>
      <c r="D42" s="13"/>
      <c r="E42" s="24"/>
      <c r="F42" s="51"/>
      <c r="G42" s="55"/>
      <c r="H42" s="55"/>
      <c r="I42" s="80"/>
    </row>
    <row r="43" spans="2:9" s="1" customFormat="1" ht="12.75" customHeight="1">
      <c r="B43" s="51"/>
      <c r="C43" s="13"/>
      <c r="D43" s="13"/>
      <c r="E43" s="24"/>
      <c r="F43" s="13"/>
      <c r="G43" s="55"/>
      <c r="H43" s="55"/>
      <c r="I43" s="80"/>
    </row>
    <row r="44" spans="2:7" ht="12.75" customHeight="1">
      <c r="B44" s="51"/>
      <c r="G44" s="55"/>
    </row>
    <row r="45" spans="2:7" ht="12.75">
      <c r="B45" s="51"/>
      <c r="G45" s="55"/>
    </row>
    <row r="46" spans="2:7" ht="12.75">
      <c r="B46" s="51"/>
      <c r="G46" s="55"/>
    </row>
    <row r="47" ht="12.75">
      <c r="G47" s="55"/>
    </row>
    <row r="48" ht="12.75">
      <c r="G48" s="55"/>
    </row>
    <row r="49" ht="12.75">
      <c r="G49" s="55"/>
    </row>
    <row r="50" ht="12.75">
      <c r="G50" s="55"/>
    </row>
    <row r="51" ht="12.75">
      <c r="G51" s="55"/>
    </row>
    <row r="52" ht="12.75">
      <c r="G52" s="55"/>
    </row>
    <row r="53" ht="12.75">
      <c r="G53" s="55"/>
    </row>
    <row r="54" ht="12.75">
      <c r="G54" s="55"/>
    </row>
    <row r="55" ht="12.75">
      <c r="G55" s="55"/>
    </row>
    <row r="56" ht="12.75">
      <c r="G56" s="55"/>
    </row>
    <row r="57" ht="12.75">
      <c r="G57" s="55"/>
    </row>
    <row r="58" ht="12.75">
      <c r="G58" s="55"/>
    </row>
    <row r="59" ht="12.75">
      <c r="G59" s="55"/>
    </row>
    <row r="60" ht="12.75">
      <c r="G60" s="55"/>
    </row>
    <row r="61" ht="12.75">
      <c r="G61" s="55"/>
    </row>
    <row r="62" ht="12.75">
      <c r="G62" s="55"/>
    </row>
  </sheetData>
  <sheetProtection/>
  <mergeCells count="2">
    <mergeCell ref="B2:G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&amp;R22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9"/>
  <dimension ref="B2:K55"/>
  <sheetViews>
    <sheetView workbookViewId="0" topLeftCell="A1">
      <selection activeCell="H4" sqref="H4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7109375" style="24" customWidth="1"/>
    <col min="6" max="6" width="43.7109375" style="13" customWidth="1"/>
    <col min="7" max="8" width="15.7109375" style="13" customWidth="1"/>
    <col min="9" max="9" width="8.7109375" style="80" customWidth="1"/>
    <col min="10" max="16384" width="9.140625" style="13" customWidth="1"/>
  </cols>
  <sheetData>
    <row r="2" spans="2:9" ht="15" customHeight="1">
      <c r="B2" s="145" t="s">
        <v>56</v>
      </c>
      <c r="C2" s="145"/>
      <c r="D2" s="145"/>
      <c r="E2" s="145"/>
      <c r="F2" s="145"/>
      <c r="G2" s="145"/>
      <c r="H2" s="145"/>
      <c r="I2" s="84"/>
    </row>
    <row r="3" spans="5:9" s="1" customFormat="1" ht="16.5" thickBot="1">
      <c r="E3" s="2"/>
      <c r="F3" s="144" t="s">
        <v>165</v>
      </c>
      <c r="G3" s="144"/>
      <c r="H3" s="108">
        <v>1590360</v>
      </c>
      <c r="I3" s="109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31" t="s">
        <v>147</v>
      </c>
      <c r="H4" s="131" t="s">
        <v>164</v>
      </c>
      <c r="I4" s="86" t="s">
        <v>139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2">
        <v>6</v>
      </c>
      <c r="H5" s="9">
        <v>7</v>
      </c>
      <c r="I5" s="87">
        <v>8</v>
      </c>
    </row>
    <row r="6" spans="2:9" s="2" customFormat="1" ht="12.75" customHeight="1">
      <c r="B6" s="10" t="s">
        <v>55</v>
      </c>
      <c r="C6" s="11" t="s">
        <v>4</v>
      </c>
      <c r="D6" s="11" t="s">
        <v>5</v>
      </c>
      <c r="E6" s="9"/>
      <c r="F6" s="9"/>
      <c r="G6" s="32"/>
      <c r="H6" s="9"/>
      <c r="I6" s="88"/>
    </row>
    <row r="7" spans="2:9" s="2" customFormat="1" ht="12.75" customHeight="1">
      <c r="B7" s="10"/>
      <c r="C7" s="11"/>
      <c r="D7" s="11"/>
      <c r="E7" s="9">
        <v>600000</v>
      </c>
      <c r="F7" s="27" t="s">
        <v>40</v>
      </c>
      <c r="G7" s="25">
        <f>G8</f>
        <v>15000</v>
      </c>
      <c r="H7" s="25">
        <f>H8</f>
        <v>0</v>
      </c>
      <c r="I7" s="89">
        <f aca="true" t="shared" si="0" ref="I7:I53">IF(G7=0,"",H7/G7*100)</f>
        <v>0</v>
      </c>
    </row>
    <row r="8" spans="2:9" s="2" customFormat="1" ht="12.75" customHeight="1">
      <c r="B8" s="10"/>
      <c r="C8" s="11"/>
      <c r="D8" s="11"/>
      <c r="E8" s="38">
        <v>600000</v>
      </c>
      <c r="F8" s="39" t="s">
        <v>28</v>
      </c>
      <c r="G8" s="52">
        <v>15000</v>
      </c>
      <c r="H8" s="52"/>
      <c r="I8" s="90">
        <f t="shared" si="0"/>
        <v>0</v>
      </c>
    </row>
    <row r="9" spans="2:9" s="2" customFormat="1" ht="12.75" customHeight="1">
      <c r="B9" s="10"/>
      <c r="C9" s="11"/>
      <c r="D9" s="11"/>
      <c r="E9" s="9"/>
      <c r="F9" s="9"/>
      <c r="G9" s="52"/>
      <c r="H9" s="52"/>
      <c r="I9" s="90">
        <f t="shared" si="0"/>
      </c>
    </row>
    <row r="10" spans="2:9" s="1" customFormat="1" ht="12.75" customHeight="1">
      <c r="B10" s="17"/>
      <c r="C10" s="12"/>
      <c r="D10" s="12"/>
      <c r="E10" s="9">
        <v>611000</v>
      </c>
      <c r="F10" s="12" t="s">
        <v>82</v>
      </c>
      <c r="G10" s="136">
        <f>SUM(G11:G13)</f>
        <v>369600</v>
      </c>
      <c r="H10" s="136">
        <f>SUM(H11:H13)</f>
        <v>0</v>
      </c>
      <c r="I10" s="89">
        <f t="shared" si="0"/>
        <v>0</v>
      </c>
    </row>
    <row r="11" spans="2:9" ht="12.75" customHeight="1">
      <c r="B11" s="14"/>
      <c r="C11" s="15"/>
      <c r="D11" s="15"/>
      <c r="E11" s="16">
        <v>611100</v>
      </c>
      <c r="F11" s="26" t="s">
        <v>107</v>
      </c>
      <c r="G11" s="138">
        <f>287800+14300</f>
        <v>302100</v>
      </c>
      <c r="H11" s="138"/>
      <c r="I11" s="90">
        <f t="shared" si="0"/>
        <v>0</v>
      </c>
    </row>
    <row r="12" spans="2:9" ht="12.75" customHeight="1">
      <c r="B12" s="14"/>
      <c r="C12" s="15"/>
      <c r="D12" s="15"/>
      <c r="E12" s="16">
        <v>611200</v>
      </c>
      <c r="F12" s="15" t="s">
        <v>108</v>
      </c>
      <c r="G12" s="135">
        <f>64500+3000</f>
        <v>67500</v>
      </c>
      <c r="H12" s="135"/>
      <c r="I12" s="90">
        <f t="shared" si="0"/>
        <v>0</v>
      </c>
    </row>
    <row r="13" spans="2:11" ht="12.75" customHeight="1">
      <c r="B13" s="14"/>
      <c r="C13" s="15"/>
      <c r="D13" s="15"/>
      <c r="E13" s="16">
        <v>611200</v>
      </c>
      <c r="F13" s="134" t="s">
        <v>148</v>
      </c>
      <c r="G13" s="135">
        <v>0</v>
      </c>
      <c r="H13" s="135"/>
      <c r="I13" s="90">
        <f t="shared" si="0"/>
      </c>
      <c r="K13" s="54"/>
    </row>
    <row r="14" spans="2:9" ht="12.75" customHeight="1">
      <c r="B14" s="14"/>
      <c r="C14" s="15"/>
      <c r="D14" s="15"/>
      <c r="E14" s="16"/>
      <c r="F14" s="26"/>
      <c r="G14" s="135"/>
      <c r="H14" s="135"/>
      <c r="I14" s="90">
        <f t="shared" si="0"/>
      </c>
    </row>
    <row r="15" spans="2:9" ht="12.75" customHeight="1">
      <c r="B15" s="14"/>
      <c r="C15" s="15"/>
      <c r="D15" s="15"/>
      <c r="E15" s="16"/>
      <c r="F15" s="15"/>
      <c r="G15" s="135"/>
      <c r="H15" s="135"/>
      <c r="I15" s="90">
        <f t="shared" si="0"/>
      </c>
    </row>
    <row r="16" spans="2:9" s="1" customFormat="1" ht="12.75" customHeight="1">
      <c r="B16" s="17"/>
      <c r="C16" s="12"/>
      <c r="D16" s="12"/>
      <c r="E16" s="9">
        <v>612000</v>
      </c>
      <c r="F16" s="12" t="s">
        <v>81</v>
      </c>
      <c r="G16" s="136">
        <f>G17+G18</f>
        <v>33330</v>
      </c>
      <c r="H16" s="136">
        <f>H17+H18</f>
        <v>0</v>
      </c>
      <c r="I16" s="89">
        <f t="shared" si="0"/>
        <v>0</v>
      </c>
    </row>
    <row r="17" spans="2:9" ht="12.75" customHeight="1">
      <c r="B17" s="14"/>
      <c r="C17" s="15"/>
      <c r="D17" s="15"/>
      <c r="E17" s="16">
        <v>612100</v>
      </c>
      <c r="F17" s="18" t="s">
        <v>6</v>
      </c>
      <c r="G17" s="135">
        <f>31800+1530</f>
        <v>33330</v>
      </c>
      <c r="H17" s="135"/>
      <c r="I17" s="90">
        <f t="shared" si="0"/>
        <v>0</v>
      </c>
    </row>
    <row r="18" spans="2:9" ht="12.75" customHeight="1">
      <c r="B18" s="14"/>
      <c r="C18" s="15"/>
      <c r="D18" s="15"/>
      <c r="E18" s="16"/>
      <c r="F18" s="15"/>
      <c r="G18" s="33"/>
      <c r="H18" s="33"/>
      <c r="I18" s="90">
        <f t="shared" si="0"/>
      </c>
    </row>
    <row r="19" spans="2:9" ht="12.75" customHeight="1">
      <c r="B19" s="14"/>
      <c r="C19" s="15"/>
      <c r="D19" s="15"/>
      <c r="E19" s="16"/>
      <c r="F19" s="15"/>
      <c r="G19" s="33"/>
      <c r="H19" s="33"/>
      <c r="I19" s="90">
        <f t="shared" si="0"/>
      </c>
    </row>
    <row r="20" spans="2:9" s="1" customFormat="1" ht="12.75" customHeight="1">
      <c r="B20" s="17"/>
      <c r="C20" s="12"/>
      <c r="D20" s="12"/>
      <c r="E20" s="9">
        <v>613000</v>
      </c>
      <c r="F20" s="12" t="s">
        <v>83</v>
      </c>
      <c r="G20" s="37">
        <f>SUM(G21:G31)</f>
        <v>117600</v>
      </c>
      <c r="H20" s="37">
        <f>SUM(H21:H31)</f>
        <v>0</v>
      </c>
      <c r="I20" s="89">
        <f t="shared" si="0"/>
        <v>0</v>
      </c>
    </row>
    <row r="21" spans="2:9" ht="12.75" customHeight="1">
      <c r="B21" s="14"/>
      <c r="C21" s="15"/>
      <c r="D21" s="15"/>
      <c r="E21" s="16">
        <v>613100</v>
      </c>
      <c r="F21" s="15" t="s">
        <v>7</v>
      </c>
      <c r="G21" s="33">
        <v>4500</v>
      </c>
      <c r="H21" s="33"/>
      <c r="I21" s="90">
        <f t="shared" si="0"/>
        <v>0</v>
      </c>
    </row>
    <row r="22" spans="2:9" ht="12.75" customHeight="1">
      <c r="B22" s="14"/>
      <c r="C22" s="15"/>
      <c r="D22" s="15"/>
      <c r="E22" s="16">
        <v>613200</v>
      </c>
      <c r="F22" s="15" t="s">
        <v>8</v>
      </c>
      <c r="G22" s="33">
        <v>0</v>
      </c>
      <c r="H22" s="33"/>
      <c r="I22" s="90">
        <f t="shared" si="0"/>
      </c>
    </row>
    <row r="23" spans="2:9" ht="12.75" customHeight="1">
      <c r="B23" s="14"/>
      <c r="C23" s="15"/>
      <c r="D23" s="15"/>
      <c r="E23" s="16">
        <v>613300</v>
      </c>
      <c r="F23" s="26" t="s">
        <v>109</v>
      </c>
      <c r="G23" s="33">
        <v>5900</v>
      </c>
      <c r="H23" s="33"/>
      <c r="I23" s="90">
        <f t="shared" si="0"/>
        <v>0</v>
      </c>
    </row>
    <row r="24" spans="2:9" ht="12.75" customHeight="1">
      <c r="B24" s="14"/>
      <c r="C24" s="15"/>
      <c r="D24" s="15"/>
      <c r="E24" s="16">
        <v>613400</v>
      </c>
      <c r="F24" s="15" t="s">
        <v>84</v>
      </c>
      <c r="G24" s="33">
        <v>3000</v>
      </c>
      <c r="H24" s="33"/>
      <c r="I24" s="90">
        <f t="shared" si="0"/>
        <v>0</v>
      </c>
    </row>
    <row r="25" spans="2:9" ht="12.75" customHeight="1">
      <c r="B25" s="14"/>
      <c r="C25" s="15"/>
      <c r="D25" s="15"/>
      <c r="E25" s="16">
        <v>613500</v>
      </c>
      <c r="F25" s="15" t="s">
        <v>9</v>
      </c>
      <c r="G25" s="52">
        <v>0</v>
      </c>
      <c r="H25" s="52"/>
      <c r="I25" s="90">
        <f t="shared" si="0"/>
      </c>
    </row>
    <row r="26" spans="2:9" ht="12.75" customHeight="1">
      <c r="B26" s="14"/>
      <c r="C26" s="15"/>
      <c r="D26" s="15"/>
      <c r="E26" s="16">
        <v>613600</v>
      </c>
      <c r="F26" s="26" t="s">
        <v>110</v>
      </c>
      <c r="G26" s="52">
        <v>0</v>
      </c>
      <c r="H26" s="52"/>
      <c r="I26" s="90">
        <f t="shared" si="0"/>
      </c>
    </row>
    <row r="27" spans="2:9" ht="12.75" customHeight="1">
      <c r="B27" s="14"/>
      <c r="C27" s="15"/>
      <c r="D27" s="15"/>
      <c r="E27" s="16">
        <v>613700</v>
      </c>
      <c r="F27" s="15" t="s">
        <v>10</v>
      </c>
      <c r="G27" s="71">
        <v>2000</v>
      </c>
      <c r="H27" s="71"/>
      <c r="I27" s="90">
        <f t="shared" si="0"/>
        <v>0</v>
      </c>
    </row>
    <row r="28" spans="2:9" ht="12.75" customHeight="1">
      <c r="B28" s="14"/>
      <c r="C28" s="15"/>
      <c r="D28" s="15"/>
      <c r="E28" s="16">
        <v>613800</v>
      </c>
      <c r="F28" s="15" t="s">
        <v>85</v>
      </c>
      <c r="G28" s="52">
        <v>7200</v>
      </c>
      <c r="H28" s="52"/>
      <c r="I28" s="90">
        <f t="shared" si="0"/>
        <v>0</v>
      </c>
    </row>
    <row r="29" spans="2:9" ht="12.75" customHeight="1">
      <c r="B29" s="14"/>
      <c r="C29" s="15"/>
      <c r="D29" s="15"/>
      <c r="E29" s="16">
        <v>613900</v>
      </c>
      <c r="F29" s="15" t="s">
        <v>86</v>
      </c>
      <c r="G29" s="103">
        <v>21500</v>
      </c>
      <c r="H29" s="103"/>
      <c r="I29" s="90">
        <f t="shared" si="0"/>
        <v>0</v>
      </c>
    </row>
    <row r="30" spans="2:9" ht="12.75" customHeight="1">
      <c r="B30" s="14"/>
      <c r="C30" s="15"/>
      <c r="D30" s="15"/>
      <c r="E30" s="45">
        <v>613900</v>
      </c>
      <c r="F30" s="26" t="s">
        <v>150</v>
      </c>
      <c r="G30" s="52">
        <v>73500</v>
      </c>
      <c r="H30" s="52"/>
      <c r="I30" s="90">
        <f t="shared" si="0"/>
        <v>0</v>
      </c>
    </row>
    <row r="31" spans="2:9" ht="12.75" customHeight="1">
      <c r="B31" s="14"/>
      <c r="C31" s="15"/>
      <c r="D31" s="15"/>
      <c r="E31" s="16">
        <v>613900</v>
      </c>
      <c r="F31" s="134" t="s">
        <v>149</v>
      </c>
      <c r="G31" s="52">
        <v>0</v>
      </c>
      <c r="H31" s="52"/>
      <c r="I31" s="90">
        <f t="shared" si="0"/>
      </c>
    </row>
    <row r="32" spans="2:9" ht="12.75" customHeight="1">
      <c r="B32" s="14"/>
      <c r="C32" s="15"/>
      <c r="D32" s="15"/>
      <c r="E32" s="45"/>
      <c r="F32" s="15"/>
      <c r="G32" s="52"/>
      <c r="H32" s="52"/>
      <c r="I32" s="90">
        <f t="shared" si="0"/>
      </c>
    </row>
    <row r="33" spans="2:9" s="1" customFormat="1" ht="12.75" customHeight="1">
      <c r="B33" s="17"/>
      <c r="C33" s="12"/>
      <c r="D33" s="30"/>
      <c r="E33" s="9">
        <v>614000</v>
      </c>
      <c r="F33" s="12" t="s">
        <v>111</v>
      </c>
      <c r="G33" s="63">
        <f>SUM(G34:G36)</f>
        <v>330000</v>
      </c>
      <c r="H33" s="63">
        <f>SUM(H34:H36)</f>
        <v>0</v>
      </c>
      <c r="I33" s="89">
        <f t="shared" si="0"/>
        <v>0</v>
      </c>
    </row>
    <row r="34" spans="2:11" ht="12.75" customHeight="1">
      <c r="B34" s="14"/>
      <c r="C34" s="15"/>
      <c r="D34" s="29"/>
      <c r="E34" s="16">
        <v>614100</v>
      </c>
      <c r="F34" s="40" t="s">
        <v>138</v>
      </c>
      <c r="G34" s="52">
        <v>250000</v>
      </c>
      <c r="H34" s="52"/>
      <c r="I34" s="90">
        <f t="shared" si="0"/>
        <v>0</v>
      </c>
      <c r="J34" s="62"/>
      <c r="K34" s="51"/>
    </row>
    <row r="35" spans="2:10" ht="12.75" customHeight="1">
      <c r="B35" s="14"/>
      <c r="C35" s="15"/>
      <c r="D35" s="29"/>
      <c r="E35" s="43">
        <v>614800</v>
      </c>
      <c r="F35" s="40" t="s">
        <v>30</v>
      </c>
      <c r="G35" s="52">
        <v>50000</v>
      </c>
      <c r="H35" s="52"/>
      <c r="I35" s="90">
        <f t="shared" si="0"/>
        <v>0</v>
      </c>
      <c r="J35" s="51"/>
    </row>
    <row r="36" spans="2:10" ht="12.75" customHeight="1">
      <c r="B36" s="14"/>
      <c r="C36" s="15"/>
      <c r="D36" s="29"/>
      <c r="E36" s="43">
        <v>614800</v>
      </c>
      <c r="F36" s="40" t="s">
        <v>145</v>
      </c>
      <c r="G36" s="52">
        <v>30000</v>
      </c>
      <c r="H36" s="52"/>
      <c r="I36" s="90">
        <f t="shared" si="0"/>
        <v>0</v>
      </c>
      <c r="J36" s="51"/>
    </row>
    <row r="37" spans="2:9" ht="12.75" customHeight="1">
      <c r="B37" s="14"/>
      <c r="C37" s="15"/>
      <c r="D37" s="29"/>
      <c r="E37" s="61"/>
      <c r="F37" s="40"/>
      <c r="G37" s="52"/>
      <c r="H37" s="52"/>
      <c r="I37" s="90">
        <f t="shared" si="0"/>
      </c>
    </row>
    <row r="38" spans="2:9" ht="12.75" customHeight="1">
      <c r="B38" s="14"/>
      <c r="C38" s="15"/>
      <c r="D38" s="15"/>
      <c r="E38" s="60">
        <v>616000</v>
      </c>
      <c r="F38" s="31" t="s">
        <v>114</v>
      </c>
      <c r="G38" s="104">
        <f>SUM(G39:G41)</f>
        <v>80500</v>
      </c>
      <c r="H38" s="104">
        <f>SUM(H39:H41)</f>
        <v>0</v>
      </c>
      <c r="I38" s="89">
        <f t="shared" si="0"/>
        <v>0</v>
      </c>
    </row>
    <row r="39" spans="2:11" ht="12.75" customHeight="1">
      <c r="B39" s="14"/>
      <c r="C39" s="15"/>
      <c r="D39" s="15"/>
      <c r="E39" s="50">
        <v>616300</v>
      </c>
      <c r="F39" s="46" t="s">
        <v>134</v>
      </c>
      <c r="G39" s="52">
        <v>11000</v>
      </c>
      <c r="H39" s="52"/>
      <c r="I39" s="90">
        <f t="shared" si="0"/>
        <v>0</v>
      </c>
      <c r="K39" s="55"/>
    </row>
    <row r="40" spans="2:9" ht="12.75" customHeight="1">
      <c r="B40" s="14"/>
      <c r="C40" s="15"/>
      <c r="D40" s="15"/>
      <c r="E40" s="50">
        <v>616300</v>
      </c>
      <c r="F40" s="46" t="s">
        <v>117</v>
      </c>
      <c r="G40" s="52">
        <v>25000</v>
      </c>
      <c r="H40" s="52"/>
      <c r="I40" s="90">
        <f t="shared" si="0"/>
        <v>0</v>
      </c>
    </row>
    <row r="41" spans="2:9" ht="12.75" customHeight="1">
      <c r="B41" s="14"/>
      <c r="C41" s="15"/>
      <c r="D41" s="15"/>
      <c r="E41" s="50">
        <v>616300</v>
      </c>
      <c r="F41" s="46" t="s">
        <v>121</v>
      </c>
      <c r="G41" s="52">
        <v>44500</v>
      </c>
      <c r="H41" s="52"/>
      <c r="I41" s="90">
        <f t="shared" si="0"/>
        <v>0</v>
      </c>
    </row>
    <row r="42" spans="2:9" ht="12.75" customHeight="1">
      <c r="B42" s="14"/>
      <c r="C42" s="15"/>
      <c r="D42" s="15"/>
      <c r="E42" s="16"/>
      <c r="F42" s="15"/>
      <c r="G42" s="63"/>
      <c r="H42" s="63"/>
      <c r="I42" s="90">
        <f t="shared" si="0"/>
      </c>
    </row>
    <row r="43" spans="2:9" ht="12.75" customHeight="1">
      <c r="B43" s="17"/>
      <c r="C43" s="12"/>
      <c r="D43" s="12"/>
      <c r="E43" s="9">
        <v>821000</v>
      </c>
      <c r="F43" s="12" t="s">
        <v>13</v>
      </c>
      <c r="G43" s="63">
        <f>SUM(G44:G45)</f>
        <v>5000</v>
      </c>
      <c r="H43" s="63">
        <f>SUM(H44:H45)</f>
        <v>0</v>
      </c>
      <c r="I43" s="89">
        <f t="shared" si="0"/>
        <v>0</v>
      </c>
    </row>
    <row r="44" spans="2:9" ht="12.75" customHeight="1">
      <c r="B44" s="14"/>
      <c r="C44" s="15"/>
      <c r="D44" s="15"/>
      <c r="E44" s="16">
        <v>821200</v>
      </c>
      <c r="F44" s="15" t="s">
        <v>14</v>
      </c>
      <c r="G44" s="71">
        <v>0</v>
      </c>
      <c r="H44" s="71"/>
      <c r="I44" s="90">
        <f t="shared" si="0"/>
      </c>
    </row>
    <row r="45" spans="2:9" s="1" customFormat="1" ht="12.75" customHeight="1">
      <c r="B45" s="14"/>
      <c r="C45" s="15"/>
      <c r="D45" s="15"/>
      <c r="E45" s="16">
        <v>821300</v>
      </c>
      <c r="F45" s="15" t="s">
        <v>15</v>
      </c>
      <c r="G45" s="71">
        <v>5000</v>
      </c>
      <c r="H45" s="71"/>
      <c r="I45" s="90">
        <f t="shared" si="0"/>
        <v>0</v>
      </c>
    </row>
    <row r="46" spans="2:9" ht="12.75" customHeight="1">
      <c r="B46" s="14"/>
      <c r="C46" s="15"/>
      <c r="D46" s="15"/>
      <c r="E46" s="16"/>
      <c r="F46" s="15"/>
      <c r="G46" s="52"/>
      <c r="H46" s="52"/>
      <c r="I46" s="90">
        <f t="shared" si="0"/>
      </c>
    </row>
    <row r="47" spans="2:9" ht="12.75" customHeight="1">
      <c r="B47" s="17"/>
      <c r="C47" s="12"/>
      <c r="D47" s="12"/>
      <c r="E47" s="9">
        <v>823000</v>
      </c>
      <c r="F47" s="12" t="s">
        <v>118</v>
      </c>
      <c r="G47" s="63">
        <f>SUM(G48:G48)</f>
        <v>1384620</v>
      </c>
      <c r="H47" s="63">
        <f>SUM(H48:H48)</f>
        <v>0</v>
      </c>
      <c r="I47" s="89">
        <f t="shared" si="0"/>
        <v>0</v>
      </c>
    </row>
    <row r="48" spans="2:9" ht="12.75" customHeight="1">
      <c r="B48" s="14"/>
      <c r="C48" s="15"/>
      <c r="D48" s="15"/>
      <c r="E48" s="16">
        <v>823300</v>
      </c>
      <c r="F48" s="26" t="s">
        <v>132</v>
      </c>
      <c r="G48" s="71">
        <v>1384620</v>
      </c>
      <c r="H48" s="71"/>
      <c r="I48" s="90">
        <f t="shared" si="0"/>
        <v>0</v>
      </c>
    </row>
    <row r="49" spans="2:9" ht="12.75" customHeight="1">
      <c r="B49" s="14"/>
      <c r="C49" s="15"/>
      <c r="D49" s="15"/>
      <c r="E49" s="16"/>
      <c r="F49" s="15"/>
      <c r="G49" s="15"/>
      <c r="H49" s="15"/>
      <c r="I49" s="90">
        <f t="shared" si="0"/>
      </c>
    </row>
    <row r="50" spans="2:9" ht="12.75" customHeight="1">
      <c r="B50" s="17"/>
      <c r="C50" s="12"/>
      <c r="D50" s="12"/>
      <c r="E50" s="9"/>
      <c r="F50" s="12" t="s">
        <v>16</v>
      </c>
      <c r="G50" s="141">
        <v>15</v>
      </c>
      <c r="H50" s="141"/>
      <c r="I50" s="90"/>
    </row>
    <row r="51" spans="2:9" ht="12.75" customHeight="1">
      <c r="B51" s="17"/>
      <c r="C51" s="12"/>
      <c r="D51" s="12"/>
      <c r="E51" s="9"/>
      <c r="F51" s="12" t="s">
        <v>32</v>
      </c>
      <c r="G51" s="20">
        <f>G7+G10+G16+G20+G33+G38+G43+G47</f>
        <v>2335650</v>
      </c>
      <c r="H51" s="20">
        <f>H7+H10+H16+H20+H33+H38+H43+H47</f>
        <v>0</v>
      </c>
      <c r="I51" s="89">
        <f t="shared" si="0"/>
        <v>0</v>
      </c>
    </row>
    <row r="52" spans="2:9" s="1" customFormat="1" ht="12.75" customHeight="1">
      <c r="B52" s="17"/>
      <c r="C52" s="12"/>
      <c r="D52" s="12"/>
      <c r="E52" s="9"/>
      <c r="F52" s="12" t="s">
        <v>17</v>
      </c>
      <c r="G52" s="20">
        <f>G51</f>
        <v>2335650</v>
      </c>
      <c r="H52" s="20">
        <f>H51</f>
        <v>0</v>
      </c>
      <c r="I52" s="89">
        <f t="shared" si="0"/>
        <v>0</v>
      </c>
    </row>
    <row r="53" spans="2:9" s="1" customFormat="1" ht="12.75" customHeight="1">
      <c r="B53" s="17"/>
      <c r="C53" s="12"/>
      <c r="D53" s="12"/>
      <c r="E53" s="9"/>
      <c r="F53" s="12" t="s">
        <v>18</v>
      </c>
      <c r="G53" s="20">
        <f>G52</f>
        <v>2335650</v>
      </c>
      <c r="H53" s="20">
        <f>H52</f>
        <v>0</v>
      </c>
      <c r="I53" s="89">
        <f t="shared" si="0"/>
        <v>0</v>
      </c>
    </row>
    <row r="54" spans="2:9" s="1" customFormat="1" ht="12.75" customHeight="1" thickBot="1">
      <c r="B54" s="21"/>
      <c r="C54" s="22"/>
      <c r="D54" s="22"/>
      <c r="E54" s="23"/>
      <c r="F54" s="22"/>
      <c r="G54" s="22"/>
      <c r="H54" s="22"/>
      <c r="I54" s="93"/>
    </row>
    <row r="55" spans="2:9" s="1" customFormat="1" ht="12.75" customHeight="1">
      <c r="B55" s="13"/>
      <c r="C55" s="13"/>
      <c r="D55" s="13"/>
      <c r="E55" s="24"/>
      <c r="F55" s="13"/>
      <c r="G55" s="13"/>
      <c r="H55" s="13"/>
      <c r="I55" s="80"/>
    </row>
    <row r="56" ht="12.75" customHeight="1"/>
  </sheetData>
  <sheetProtection/>
  <mergeCells count="2">
    <mergeCell ref="B2:H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&amp;R23</oddFooter>
  </headerFooter>
  <colBreaks count="1" manualBreakCount="1">
    <brk id="9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0"/>
  <dimension ref="B2:K50"/>
  <sheetViews>
    <sheetView zoomScaleSheetLayoutView="130" workbookViewId="0" topLeftCell="C1">
      <selection activeCell="H4" sqref="H4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57421875" style="24" customWidth="1"/>
    <col min="6" max="6" width="43.7109375" style="13" customWidth="1"/>
    <col min="7" max="8" width="15.7109375" style="13" customWidth="1"/>
    <col min="9" max="9" width="8.7109375" style="80" customWidth="1"/>
    <col min="10" max="16384" width="9.140625" style="13" customWidth="1"/>
  </cols>
  <sheetData>
    <row r="2" spans="2:9" ht="15" customHeight="1">
      <c r="B2" s="143" t="s">
        <v>57</v>
      </c>
      <c r="C2" s="143"/>
      <c r="D2" s="143"/>
      <c r="E2" s="143"/>
      <c r="F2" s="143"/>
      <c r="G2" s="143"/>
      <c r="H2" s="143"/>
      <c r="I2" s="83"/>
    </row>
    <row r="3" spans="5:9" s="1" customFormat="1" ht="16.5" thickBot="1">
      <c r="E3" s="2"/>
      <c r="F3" s="144" t="s">
        <v>165</v>
      </c>
      <c r="G3" s="144"/>
      <c r="H3" s="108">
        <v>3672170</v>
      </c>
      <c r="I3" s="109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31" t="s">
        <v>147</v>
      </c>
      <c r="H4" s="131" t="s">
        <v>164</v>
      </c>
      <c r="I4" s="86" t="s">
        <v>139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2">
        <v>6</v>
      </c>
      <c r="H5" s="9">
        <v>7</v>
      </c>
      <c r="I5" s="87">
        <v>8</v>
      </c>
    </row>
    <row r="6" spans="2:9" s="2" customFormat="1" ht="12.75" customHeight="1">
      <c r="B6" s="10" t="s">
        <v>58</v>
      </c>
      <c r="C6" s="11" t="s">
        <v>4</v>
      </c>
      <c r="D6" s="11" t="s">
        <v>5</v>
      </c>
      <c r="E6" s="9"/>
      <c r="F6" s="9"/>
      <c r="G6" s="32"/>
      <c r="H6" s="9"/>
      <c r="I6" s="88"/>
    </row>
    <row r="7" spans="2:9" s="1" customFormat="1" ht="12.75" customHeight="1">
      <c r="B7" s="17"/>
      <c r="C7" s="12"/>
      <c r="D7" s="12"/>
      <c r="E7" s="9">
        <v>611000</v>
      </c>
      <c r="F7" s="12" t="s">
        <v>82</v>
      </c>
      <c r="G7" s="136">
        <f>SUM(G8:G11)</f>
        <v>231460</v>
      </c>
      <c r="H7" s="136">
        <f>SUM(H8:H11)</f>
        <v>0</v>
      </c>
      <c r="I7" s="89">
        <f aca="true" t="shared" si="0" ref="I7:I42">IF(G7=0,"",H7/G7*100)</f>
        <v>0</v>
      </c>
    </row>
    <row r="8" spans="2:9" ht="12.75" customHeight="1">
      <c r="B8" s="14"/>
      <c r="C8" s="15"/>
      <c r="D8" s="15"/>
      <c r="E8" s="16">
        <v>611100</v>
      </c>
      <c r="F8" s="26" t="s">
        <v>107</v>
      </c>
      <c r="G8" s="135">
        <f>148400+35100+7400+1760</f>
        <v>192660</v>
      </c>
      <c r="H8" s="135"/>
      <c r="I8" s="90">
        <f t="shared" si="0"/>
        <v>0</v>
      </c>
    </row>
    <row r="9" spans="2:9" ht="12.75" customHeight="1">
      <c r="B9" s="14"/>
      <c r="C9" s="15"/>
      <c r="D9" s="15"/>
      <c r="E9" s="16">
        <v>611200</v>
      </c>
      <c r="F9" s="15" t="s">
        <v>108</v>
      </c>
      <c r="G9" s="135">
        <f>31900+6900</f>
        <v>38800</v>
      </c>
      <c r="H9" s="135"/>
      <c r="I9" s="90">
        <f t="shared" si="0"/>
        <v>0</v>
      </c>
    </row>
    <row r="10" spans="2:11" ht="12.75" customHeight="1">
      <c r="B10" s="14"/>
      <c r="C10" s="15"/>
      <c r="D10" s="15"/>
      <c r="E10" s="16">
        <v>611200</v>
      </c>
      <c r="F10" s="134" t="s">
        <v>148</v>
      </c>
      <c r="G10" s="135">
        <v>0</v>
      </c>
      <c r="H10" s="135"/>
      <c r="I10" s="90">
        <f t="shared" si="0"/>
      </c>
      <c r="K10" s="54"/>
    </row>
    <row r="11" spans="2:9" ht="12.75" customHeight="1">
      <c r="B11" s="14"/>
      <c r="C11" s="15"/>
      <c r="D11" s="15"/>
      <c r="E11" s="16"/>
      <c r="F11" s="26"/>
      <c r="G11" s="135"/>
      <c r="H11" s="135"/>
      <c r="I11" s="90">
        <f t="shared" si="0"/>
      </c>
    </row>
    <row r="12" spans="2:9" ht="12.75" customHeight="1">
      <c r="B12" s="14"/>
      <c r="C12" s="15"/>
      <c r="D12" s="15"/>
      <c r="E12" s="16"/>
      <c r="F12" s="15"/>
      <c r="G12" s="136"/>
      <c r="H12" s="136"/>
      <c r="I12" s="90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81</v>
      </c>
      <c r="G13" s="136">
        <f>G14</f>
        <v>21580</v>
      </c>
      <c r="H13" s="136">
        <f>H14</f>
        <v>0</v>
      </c>
      <c r="I13" s="89">
        <f t="shared" si="0"/>
        <v>0</v>
      </c>
    </row>
    <row r="14" spans="2:9" ht="12.75" customHeight="1">
      <c r="B14" s="14"/>
      <c r="C14" s="15"/>
      <c r="D14" s="15"/>
      <c r="E14" s="16">
        <v>612100</v>
      </c>
      <c r="F14" s="18" t="s">
        <v>6</v>
      </c>
      <c r="G14" s="135">
        <f>16700+3900+780+200</f>
        <v>21580</v>
      </c>
      <c r="H14" s="135"/>
      <c r="I14" s="90">
        <f t="shared" si="0"/>
        <v>0</v>
      </c>
    </row>
    <row r="15" spans="2:9" ht="12.75" customHeight="1">
      <c r="B15" s="14"/>
      <c r="C15" s="15"/>
      <c r="D15" s="15"/>
      <c r="E15" s="16"/>
      <c r="F15" s="15"/>
      <c r="G15" s="33"/>
      <c r="H15" s="33"/>
      <c r="I15" s="90">
        <f t="shared" si="0"/>
      </c>
    </row>
    <row r="16" spans="2:9" ht="12.75" customHeight="1">
      <c r="B16" s="14"/>
      <c r="C16" s="15"/>
      <c r="D16" s="15"/>
      <c r="E16" s="16"/>
      <c r="F16" s="15"/>
      <c r="G16" s="37"/>
      <c r="H16" s="37"/>
      <c r="I16" s="90">
        <f t="shared" si="0"/>
      </c>
    </row>
    <row r="17" spans="2:11" s="1" customFormat="1" ht="12.75" customHeight="1">
      <c r="B17" s="17"/>
      <c r="C17" s="12"/>
      <c r="D17" s="12"/>
      <c r="E17" s="9">
        <v>613000</v>
      </c>
      <c r="F17" s="12" t="s">
        <v>83</v>
      </c>
      <c r="G17" s="37">
        <f>SUM(G18:G27)</f>
        <v>92610</v>
      </c>
      <c r="H17" s="37">
        <f>SUM(H18:H27)</f>
        <v>0</v>
      </c>
      <c r="I17" s="89">
        <f t="shared" si="0"/>
        <v>0</v>
      </c>
      <c r="K17" s="56"/>
    </row>
    <row r="18" spans="2:9" ht="12.75" customHeight="1">
      <c r="B18" s="14"/>
      <c r="C18" s="15"/>
      <c r="D18" s="15"/>
      <c r="E18" s="16">
        <v>613100</v>
      </c>
      <c r="F18" s="15" t="s">
        <v>7</v>
      </c>
      <c r="G18" s="33">
        <v>3510</v>
      </c>
      <c r="H18" s="33"/>
      <c r="I18" s="90">
        <f t="shared" si="0"/>
        <v>0</v>
      </c>
    </row>
    <row r="19" spans="2:9" ht="12.75" customHeight="1">
      <c r="B19" s="14"/>
      <c r="C19" s="15"/>
      <c r="D19" s="15"/>
      <c r="E19" s="16">
        <v>613200</v>
      </c>
      <c r="F19" s="15" t="s">
        <v>8</v>
      </c>
      <c r="G19" s="33">
        <v>0</v>
      </c>
      <c r="H19" s="33"/>
      <c r="I19" s="90">
        <f t="shared" si="0"/>
      </c>
    </row>
    <row r="20" spans="2:9" ht="12.75" customHeight="1">
      <c r="B20" s="14"/>
      <c r="C20" s="15"/>
      <c r="D20" s="15"/>
      <c r="E20" s="16">
        <v>613300</v>
      </c>
      <c r="F20" s="26" t="s">
        <v>109</v>
      </c>
      <c r="G20" s="33">
        <v>15000</v>
      </c>
      <c r="H20" s="33"/>
      <c r="I20" s="90">
        <f t="shared" si="0"/>
        <v>0</v>
      </c>
    </row>
    <row r="21" spans="2:9" ht="12.75" customHeight="1">
      <c r="B21" s="14"/>
      <c r="C21" s="15"/>
      <c r="D21" s="15"/>
      <c r="E21" s="16">
        <v>613400</v>
      </c>
      <c r="F21" s="15" t="s">
        <v>84</v>
      </c>
      <c r="G21" s="52">
        <v>600</v>
      </c>
      <c r="H21" s="52"/>
      <c r="I21" s="90">
        <f t="shared" si="0"/>
        <v>0</v>
      </c>
    </row>
    <row r="22" spans="2:9" ht="12.75" customHeight="1">
      <c r="B22" s="14"/>
      <c r="C22" s="15"/>
      <c r="D22" s="15"/>
      <c r="E22" s="16">
        <v>613500</v>
      </c>
      <c r="F22" s="15" t="s">
        <v>9</v>
      </c>
      <c r="G22" s="52">
        <v>0</v>
      </c>
      <c r="H22" s="52"/>
      <c r="I22" s="90">
        <f t="shared" si="0"/>
      </c>
    </row>
    <row r="23" spans="2:9" ht="12.75" customHeight="1">
      <c r="B23" s="14"/>
      <c r="C23" s="15"/>
      <c r="D23" s="15"/>
      <c r="E23" s="16">
        <v>613600</v>
      </c>
      <c r="F23" s="26" t="s">
        <v>110</v>
      </c>
      <c r="G23" s="52">
        <v>0</v>
      </c>
      <c r="H23" s="52"/>
      <c r="I23" s="90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10</v>
      </c>
      <c r="G24" s="52">
        <v>3500</v>
      </c>
      <c r="H24" s="52"/>
      <c r="I24" s="90">
        <f t="shared" si="0"/>
        <v>0</v>
      </c>
    </row>
    <row r="25" spans="2:9" ht="12.75" customHeight="1">
      <c r="B25" s="14"/>
      <c r="C25" s="15"/>
      <c r="D25" s="15"/>
      <c r="E25" s="16">
        <v>613800</v>
      </c>
      <c r="F25" s="15" t="s">
        <v>85</v>
      </c>
      <c r="G25" s="52">
        <v>0</v>
      </c>
      <c r="H25" s="52"/>
      <c r="I25" s="90">
        <f t="shared" si="0"/>
      </c>
    </row>
    <row r="26" spans="2:9" ht="12.75" customHeight="1">
      <c r="B26" s="14"/>
      <c r="C26" s="15"/>
      <c r="D26" s="15"/>
      <c r="E26" s="16">
        <v>613900</v>
      </c>
      <c r="F26" s="15" t="s">
        <v>86</v>
      </c>
      <c r="G26" s="71">
        <v>70000</v>
      </c>
      <c r="H26" s="71"/>
      <c r="I26" s="90">
        <f t="shared" si="0"/>
        <v>0</v>
      </c>
    </row>
    <row r="27" spans="2:9" ht="12.75" customHeight="1">
      <c r="B27" s="14"/>
      <c r="C27" s="15"/>
      <c r="D27" s="15"/>
      <c r="E27" s="16">
        <v>613900</v>
      </c>
      <c r="F27" s="134" t="s">
        <v>149</v>
      </c>
      <c r="G27" s="52">
        <v>0</v>
      </c>
      <c r="H27" s="52"/>
      <c r="I27" s="90">
        <f t="shared" si="0"/>
      </c>
    </row>
    <row r="28" spans="2:9" ht="12.75" customHeight="1">
      <c r="B28" s="14"/>
      <c r="C28" s="15"/>
      <c r="D28" s="15"/>
      <c r="E28" s="16"/>
      <c r="F28" s="15"/>
      <c r="G28" s="63"/>
      <c r="H28" s="63"/>
      <c r="I28" s="90">
        <f t="shared" si="0"/>
      </c>
    </row>
    <row r="29" spans="2:9" s="1" customFormat="1" ht="12.75" customHeight="1">
      <c r="B29" s="17"/>
      <c r="C29" s="12"/>
      <c r="D29" s="12"/>
      <c r="E29" s="9">
        <v>614000</v>
      </c>
      <c r="F29" s="12" t="s">
        <v>111</v>
      </c>
      <c r="G29" s="63">
        <f>SUM(G30:G31)</f>
        <v>3000000</v>
      </c>
      <c r="H29" s="63">
        <f>SUM(H30:H31)</f>
        <v>0</v>
      </c>
      <c r="I29" s="89">
        <f t="shared" si="0"/>
        <v>0</v>
      </c>
    </row>
    <row r="30" spans="2:9" ht="12.75" customHeight="1">
      <c r="B30" s="14"/>
      <c r="C30" s="15"/>
      <c r="D30" s="29"/>
      <c r="E30" s="16">
        <v>614100</v>
      </c>
      <c r="F30" s="26" t="s">
        <v>120</v>
      </c>
      <c r="G30" s="71">
        <v>300000</v>
      </c>
      <c r="H30" s="71"/>
      <c r="I30" s="90">
        <f t="shared" si="0"/>
        <v>0</v>
      </c>
    </row>
    <row r="31" spans="2:9" ht="12.75" customHeight="1">
      <c r="B31" s="14"/>
      <c r="C31" s="15"/>
      <c r="D31" s="15"/>
      <c r="E31" s="16">
        <v>614200</v>
      </c>
      <c r="F31" s="26" t="s">
        <v>27</v>
      </c>
      <c r="G31" s="71">
        <v>2700000</v>
      </c>
      <c r="H31" s="71"/>
      <c r="I31" s="90">
        <f t="shared" si="0"/>
        <v>0</v>
      </c>
    </row>
    <row r="32" spans="2:9" ht="12.75" customHeight="1">
      <c r="B32" s="14"/>
      <c r="C32" s="15"/>
      <c r="D32" s="15"/>
      <c r="E32" s="16"/>
      <c r="F32" s="15"/>
      <c r="G32" s="52"/>
      <c r="H32" s="52"/>
      <c r="I32" s="90">
        <f t="shared" si="0"/>
      </c>
    </row>
    <row r="33" spans="2:9" ht="12.75" customHeight="1">
      <c r="B33" s="14"/>
      <c r="C33" s="15"/>
      <c r="D33" s="15"/>
      <c r="E33" s="16"/>
      <c r="F33" s="15"/>
      <c r="G33" s="63"/>
      <c r="H33" s="63"/>
      <c r="I33" s="90">
        <f t="shared" si="0"/>
      </c>
    </row>
    <row r="34" spans="2:9" ht="12.75" customHeight="1">
      <c r="B34" s="17"/>
      <c r="C34" s="12"/>
      <c r="D34" s="12"/>
      <c r="E34" s="9">
        <v>821000</v>
      </c>
      <c r="F34" s="12" t="s">
        <v>13</v>
      </c>
      <c r="G34" s="63">
        <f>G35+G36</f>
        <v>1500</v>
      </c>
      <c r="H34" s="63">
        <f>H35+H36</f>
        <v>0</v>
      </c>
      <c r="I34" s="89">
        <f t="shared" si="0"/>
        <v>0</v>
      </c>
    </row>
    <row r="35" spans="2:10" s="1" customFormat="1" ht="12.75" customHeight="1">
      <c r="B35" s="14"/>
      <c r="C35" s="15"/>
      <c r="D35" s="15"/>
      <c r="E35" s="16">
        <v>821200</v>
      </c>
      <c r="F35" s="15" t="s">
        <v>14</v>
      </c>
      <c r="G35" s="52">
        <v>0</v>
      </c>
      <c r="H35" s="52"/>
      <c r="I35" s="90">
        <f t="shared" si="0"/>
      </c>
      <c r="J35" s="1" t="s">
        <v>94</v>
      </c>
    </row>
    <row r="36" spans="2:9" ht="12.75" customHeight="1">
      <c r="B36" s="14"/>
      <c r="C36" s="15"/>
      <c r="D36" s="15"/>
      <c r="E36" s="16">
        <v>821300</v>
      </c>
      <c r="F36" s="15" t="s">
        <v>15</v>
      </c>
      <c r="G36" s="52">
        <v>1500</v>
      </c>
      <c r="H36" s="52"/>
      <c r="I36" s="90">
        <f t="shared" si="0"/>
        <v>0</v>
      </c>
    </row>
    <row r="37" spans="2:9" ht="12.75" customHeight="1">
      <c r="B37" s="14"/>
      <c r="C37" s="15"/>
      <c r="D37" s="15"/>
      <c r="E37" s="16"/>
      <c r="F37" s="15"/>
      <c r="G37" s="52"/>
      <c r="H37" s="52"/>
      <c r="I37" s="90">
        <f t="shared" si="0"/>
      </c>
    </row>
    <row r="38" spans="2:9" ht="12.75" customHeight="1">
      <c r="B38" s="14"/>
      <c r="C38" s="15"/>
      <c r="D38" s="15"/>
      <c r="E38" s="16"/>
      <c r="F38" s="15"/>
      <c r="G38" s="20"/>
      <c r="H38" s="20"/>
      <c r="I38" s="90">
        <f t="shared" si="0"/>
      </c>
    </row>
    <row r="39" spans="2:9" ht="12.75" customHeight="1">
      <c r="B39" s="17"/>
      <c r="C39" s="12"/>
      <c r="D39" s="12"/>
      <c r="E39" s="9"/>
      <c r="F39" s="12" t="s">
        <v>16</v>
      </c>
      <c r="G39" s="63">
        <v>10</v>
      </c>
      <c r="H39" s="63"/>
      <c r="I39" s="90"/>
    </row>
    <row r="40" spans="2:9" s="1" customFormat="1" ht="12.75" customHeight="1">
      <c r="B40" s="17"/>
      <c r="C40" s="12"/>
      <c r="D40" s="12"/>
      <c r="E40" s="9"/>
      <c r="F40" s="12" t="s">
        <v>32</v>
      </c>
      <c r="G40" s="20">
        <f>G7+G13+G17+G29+G34</f>
        <v>3347150</v>
      </c>
      <c r="H40" s="20">
        <f>H7+H13+H17+H29+H34</f>
        <v>0</v>
      </c>
      <c r="I40" s="89">
        <f t="shared" si="0"/>
        <v>0</v>
      </c>
    </row>
    <row r="41" spans="2:9" s="1" customFormat="1" ht="12.75" customHeight="1">
      <c r="B41" s="17"/>
      <c r="C41" s="12"/>
      <c r="D41" s="12"/>
      <c r="E41" s="9"/>
      <c r="F41" s="12" t="s">
        <v>17</v>
      </c>
      <c r="G41" s="20">
        <f>G40</f>
        <v>3347150</v>
      </c>
      <c r="H41" s="20">
        <f>H40</f>
        <v>0</v>
      </c>
      <c r="I41" s="89">
        <f t="shared" si="0"/>
        <v>0</v>
      </c>
    </row>
    <row r="42" spans="2:9" s="1" customFormat="1" ht="12.75" customHeight="1">
      <c r="B42" s="17"/>
      <c r="C42" s="12"/>
      <c r="D42" s="12"/>
      <c r="E42" s="9"/>
      <c r="F42" s="12" t="s">
        <v>18</v>
      </c>
      <c r="G42" s="20">
        <f>G41</f>
        <v>3347150</v>
      </c>
      <c r="H42" s="20">
        <f>H41</f>
        <v>0</v>
      </c>
      <c r="I42" s="89">
        <f t="shared" si="0"/>
        <v>0</v>
      </c>
    </row>
    <row r="43" spans="2:9" s="1" customFormat="1" ht="12.75" customHeight="1" thickBot="1">
      <c r="B43" s="21"/>
      <c r="C43" s="22"/>
      <c r="D43" s="22"/>
      <c r="E43" s="23"/>
      <c r="F43" s="22"/>
      <c r="G43" s="22"/>
      <c r="H43" s="22"/>
      <c r="I43" s="93"/>
    </row>
    <row r="44" ht="12.75" customHeight="1"/>
    <row r="46" ht="12.75">
      <c r="B46" s="51"/>
    </row>
    <row r="47" ht="12.75">
      <c r="B47" s="51"/>
    </row>
    <row r="48" ht="12.75">
      <c r="B48" s="51"/>
    </row>
    <row r="49" ht="12.75">
      <c r="B49" s="51"/>
    </row>
    <row r="50" ht="12.75">
      <c r="B50" s="51"/>
    </row>
  </sheetData>
  <sheetProtection/>
  <mergeCells count="2">
    <mergeCell ref="B2:H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&amp;R24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1"/>
  <dimension ref="B2:K62"/>
  <sheetViews>
    <sheetView zoomScaleSheetLayoutView="100" workbookViewId="0" topLeftCell="C1">
      <selection activeCell="H4" sqref="H4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1.00390625" style="24" customWidth="1"/>
    <col min="6" max="6" width="43.7109375" style="13" customWidth="1"/>
    <col min="7" max="7" width="15.7109375" style="13" customWidth="1"/>
    <col min="8" max="8" width="15.7109375" style="55" customWidth="1"/>
    <col min="9" max="9" width="8.7109375" style="80" customWidth="1"/>
    <col min="10" max="16384" width="9.140625" style="13" customWidth="1"/>
  </cols>
  <sheetData>
    <row r="2" spans="2:7" ht="15" customHeight="1">
      <c r="B2" s="143" t="s">
        <v>97</v>
      </c>
      <c r="C2" s="143"/>
      <c r="D2" s="143"/>
      <c r="E2" s="143"/>
      <c r="F2" s="143"/>
      <c r="G2" s="143"/>
    </row>
    <row r="3" spans="5:9" s="1" customFormat="1" ht="16.5" thickBot="1">
      <c r="E3" s="2"/>
      <c r="F3" s="144" t="s">
        <v>165</v>
      </c>
      <c r="G3" s="144"/>
      <c r="H3" s="108">
        <v>1537640</v>
      </c>
      <c r="I3" s="109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31" t="s">
        <v>147</v>
      </c>
      <c r="H4" s="131" t="s">
        <v>164</v>
      </c>
      <c r="I4" s="86" t="s">
        <v>139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2">
        <v>6</v>
      </c>
      <c r="H5" s="9">
        <v>7</v>
      </c>
      <c r="I5" s="87">
        <v>8</v>
      </c>
    </row>
    <row r="6" spans="2:9" s="2" customFormat="1" ht="12.75" customHeight="1">
      <c r="B6" s="10" t="s">
        <v>59</v>
      </c>
      <c r="C6" s="11" t="s">
        <v>4</v>
      </c>
      <c r="D6" s="11" t="s">
        <v>5</v>
      </c>
      <c r="E6" s="9"/>
      <c r="F6" s="9"/>
      <c r="G6" s="32"/>
      <c r="H6" s="102"/>
      <c r="I6" s="88"/>
    </row>
    <row r="7" spans="2:9" s="1" customFormat="1" ht="12.75" customHeight="1">
      <c r="B7" s="17"/>
      <c r="C7" s="12"/>
      <c r="D7" s="12"/>
      <c r="E7" s="9">
        <v>611000</v>
      </c>
      <c r="F7" s="12" t="s">
        <v>82</v>
      </c>
      <c r="G7" s="136">
        <f>SUM(G8:G11)</f>
        <v>221810</v>
      </c>
      <c r="H7" s="136">
        <f>SUM(H8:H11)</f>
        <v>0</v>
      </c>
      <c r="I7" s="89">
        <f aca="true" t="shared" si="0" ref="I7:I45">IF(G7=0,"",H7/G7*100)</f>
        <v>0</v>
      </c>
    </row>
    <row r="8" spans="2:9" ht="12.75" customHeight="1">
      <c r="B8" s="14"/>
      <c r="C8" s="15"/>
      <c r="D8" s="15"/>
      <c r="E8" s="16">
        <v>611100</v>
      </c>
      <c r="F8" s="26" t="s">
        <v>107</v>
      </c>
      <c r="G8" s="138">
        <f>174200+8610</f>
        <v>182810</v>
      </c>
      <c r="H8" s="138"/>
      <c r="I8" s="90">
        <f t="shared" si="0"/>
        <v>0</v>
      </c>
    </row>
    <row r="9" spans="2:9" ht="12.75" customHeight="1">
      <c r="B9" s="14"/>
      <c r="C9" s="15"/>
      <c r="D9" s="15"/>
      <c r="E9" s="16">
        <v>611200</v>
      </c>
      <c r="F9" s="15" t="s">
        <v>108</v>
      </c>
      <c r="G9" s="138">
        <f>37500+1500</f>
        <v>39000</v>
      </c>
      <c r="H9" s="138"/>
      <c r="I9" s="90">
        <f t="shared" si="0"/>
        <v>0</v>
      </c>
    </row>
    <row r="10" spans="2:11" ht="12.75" customHeight="1">
      <c r="B10" s="14"/>
      <c r="C10" s="15"/>
      <c r="D10" s="15"/>
      <c r="E10" s="16">
        <v>611200</v>
      </c>
      <c r="F10" s="134" t="s">
        <v>148</v>
      </c>
      <c r="G10" s="135">
        <v>0</v>
      </c>
      <c r="H10" s="135"/>
      <c r="I10" s="90">
        <f t="shared" si="0"/>
      </c>
      <c r="K10" s="54"/>
    </row>
    <row r="11" spans="2:9" ht="12.75" customHeight="1">
      <c r="B11" s="14"/>
      <c r="C11" s="15"/>
      <c r="D11" s="15"/>
      <c r="E11" s="16"/>
      <c r="F11" s="26"/>
      <c r="G11" s="138"/>
      <c r="H11" s="138"/>
      <c r="I11" s="90">
        <f t="shared" si="0"/>
      </c>
    </row>
    <row r="12" spans="2:9" ht="12.75" customHeight="1">
      <c r="B12" s="14"/>
      <c r="C12" s="15"/>
      <c r="D12" s="15"/>
      <c r="E12" s="16"/>
      <c r="F12" s="15"/>
      <c r="G12" s="136"/>
      <c r="H12" s="136"/>
      <c r="I12" s="90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81</v>
      </c>
      <c r="G13" s="136">
        <f>G14</f>
        <v>20330</v>
      </c>
      <c r="H13" s="136">
        <f>H14</f>
        <v>0</v>
      </c>
      <c r="I13" s="89">
        <f t="shared" si="0"/>
        <v>0</v>
      </c>
    </row>
    <row r="14" spans="2:9" ht="12.75" customHeight="1">
      <c r="B14" s="14"/>
      <c r="C14" s="15"/>
      <c r="D14" s="15"/>
      <c r="E14" s="16">
        <v>612100</v>
      </c>
      <c r="F14" s="18" t="s">
        <v>6</v>
      </c>
      <c r="G14" s="138">
        <f>19400+930</f>
        <v>20330</v>
      </c>
      <c r="H14" s="138"/>
      <c r="I14" s="90">
        <f t="shared" si="0"/>
        <v>0</v>
      </c>
    </row>
    <row r="15" spans="2:9" ht="12.75" customHeight="1">
      <c r="B15" s="14"/>
      <c r="C15" s="15"/>
      <c r="D15" s="15"/>
      <c r="E15" s="16"/>
      <c r="F15" s="15"/>
      <c r="G15" s="34"/>
      <c r="H15" s="34"/>
      <c r="I15" s="90">
        <f t="shared" si="0"/>
      </c>
    </row>
    <row r="16" spans="2:9" ht="12.75" customHeight="1">
      <c r="B16" s="14"/>
      <c r="C16" s="15"/>
      <c r="D16" s="15"/>
      <c r="E16" s="16"/>
      <c r="F16" s="15"/>
      <c r="G16" s="20"/>
      <c r="H16" s="20"/>
      <c r="I16" s="90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83</v>
      </c>
      <c r="G17" s="37">
        <f>SUM(G18:G28)</f>
        <v>317800</v>
      </c>
      <c r="H17" s="37">
        <f>SUM(H18:H28)</f>
        <v>0</v>
      </c>
      <c r="I17" s="89">
        <f t="shared" si="0"/>
        <v>0</v>
      </c>
    </row>
    <row r="18" spans="2:9" ht="12.75" customHeight="1">
      <c r="B18" s="14"/>
      <c r="C18" s="15"/>
      <c r="D18" s="15"/>
      <c r="E18" s="16">
        <v>613100</v>
      </c>
      <c r="F18" s="15" t="s">
        <v>7</v>
      </c>
      <c r="G18" s="34">
        <v>1800</v>
      </c>
      <c r="H18" s="34"/>
      <c r="I18" s="90">
        <f t="shared" si="0"/>
        <v>0</v>
      </c>
    </row>
    <row r="19" spans="2:9" ht="12.75" customHeight="1">
      <c r="B19" s="14"/>
      <c r="C19" s="15"/>
      <c r="D19" s="15"/>
      <c r="E19" s="16">
        <v>613200</v>
      </c>
      <c r="F19" s="15" t="s">
        <v>8</v>
      </c>
      <c r="G19" s="34">
        <v>0</v>
      </c>
      <c r="H19" s="34"/>
      <c r="I19" s="90">
        <f t="shared" si="0"/>
      </c>
    </row>
    <row r="20" spans="2:9" ht="12.75" customHeight="1">
      <c r="B20" s="14"/>
      <c r="C20" s="15"/>
      <c r="D20" s="15"/>
      <c r="E20" s="16">
        <v>613300</v>
      </c>
      <c r="F20" s="26" t="s">
        <v>109</v>
      </c>
      <c r="G20" s="34">
        <v>5000</v>
      </c>
      <c r="H20" s="34"/>
      <c r="I20" s="90">
        <f t="shared" si="0"/>
        <v>0</v>
      </c>
    </row>
    <row r="21" spans="2:9" ht="12.75" customHeight="1">
      <c r="B21" s="14"/>
      <c r="C21" s="15"/>
      <c r="D21" s="15"/>
      <c r="E21" s="16">
        <v>613400</v>
      </c>
      <c r="F21" s="15" t="s">
        <v>84</v>
      </c>
      <c r="G21" s="34">
        <v>0</v>
      </c>
      <c r="H21" s="34"/>
      <c r="I21" s="90">
        <f t="shared" si="0"/>
      </c>
    </row>
    <row r="22" spans="2:9" ht="12.75" customHeight="1">
      <c r="B22" s="14"/>
      <c r="C22" s="15"/>
      <c r="D22" s="15"/>
      <c r="E22" s="16">
        <v>613500</v>
      </c>
      <c r="F22" s="15" t="s">
        <v>9</v>
      </c>
      <c r="G22" s="71">
        <v>0</v>
      </c>
      <c r="H22" s="71"/>
      <c r="I22" s="90">
        <f t="shared" si="0"/>
      </c>
    </row>
    <row r="23" spans="2:9" ht="12.75" customHeight="1">
      <c r="B23" s="14"/>
      <c r="C23" s="15"/>
      <c r="D23" s="15"/>
      <c r="E23" s="16">
        <v>613600</v>
      </c>
      <c r="F23" s="26" t="s">
        <v>110</v>
      </c>
      <c r="G23" s="71">
        <v>0</v>
      </c>
      <c r="H23" s="71"/>
      <c r="I23" s="90">
        <f t="shared" si="0"/>
      </c>
    </row>
    <row r="24" spans="2:9" ht="12.75" customHeight="1">
      <c r="B24" s="14"/>
      <c r="C24" s="15"/>
      <c r="D24" s="15"/>
      <c r="E24" s="45">
        <v>613700</v>
      </c>
      <c r="F24" s="15" t="s">
        <v>10</v>
      </c>
      <c r="G24" s="71">
        <v>1000</v>
      </c>
      <c r="H24" s="71"/>
      <c r="I24" s="90">
        <f t="shared" si="0"/>
        <v>0</v>
      </c>
    </row>
    <row r="25" spans="2:9" ht="12.75" customHeight="1">
      <c r="B25" s="14"/>
      <c r="C25" s="15"/>
      <c r="D25" s="29"/>
      <c r="E25" s="16">
        <v>613700</v>
      </c>
      <c r="F25" s="44" t="s">
        <v>11</v>
      </c>
      <c r="G25" s="71">
        <v>300000</v>
      </c>
      <c r="H25" s="71"/>
      <c r="I25" s="90">
        <f t="shared" si="0"/>
        <v>0</v>
      </c>
    </row>
    <row r="26" spans="2:9" ht="12.75" customHeight="1">
      <c r="B26" s="14"/>
      <c r="C26" s="15"/>
      <c r="D26" s="15"/>
      <c r="E26" s="42">
        <v>613800</v>
      </c>
      <c r="F26" s="15" t="s">
        <v>85</v>
      </c>
      <c r="G26" s="71">
        <v>0</v>
      </c>
      <c r="H26" s="71"/>
      <c r="I26" s="90">
        <f t="shared" si="0"/>
      </c>
    </row>
    <row r="27" spans="2:10" ht="12.75" customHeight="1">
      <c r="B27" s="14"/>
      <c r="C27" s="15"/>
      <c r="D27" s="15"/>
      <c r="E27" s="16">
        <v>613900</v>
      </c>
      <c r="F27" s="15" t="s">
        <v>86</v>
      </c>
      <c r="G27" s="71">
        <v>10000</v>
      </c>
      <c r="H27" s="71"/>
      <c r="I27" s="90">
        <f t="shared" si="0"/>
        <v>0</v>
      </c>
      <c r="J27" s="62"/>
    </row>
    <row r="28" spans="2:9" ht="12.75" customHeight="1">
      <c r="B28" s="14"/>
      <c r="C28" s="15"/>
      <c r="D28" s="15"/>
      <c r="E28" s="16">
        <v>613900</v>
      </c>
      <c r="F28" s="134" t="s">
        <v>149</v>
      </c>
      <c r="G28" s="71">
        <v>0</v>
      </c>
      <c r="H28" s="71"/>
      <c r="I28" s="90">
        <f t="shared" si="0"/>
      </c>
    </row>
    <row r="29" spans="2:9" ht="12.75" customHeight="1">
      <c r="B29" s="14"/>
      <c r="C29" s="15"/>
      <c r="D29" s="15"/>
      <c r="E29" s="16"/>
      <c r="F29" s="15"/>
      <c r="G29" s="71"/>
      <c r="H29" s="71"/>
      <c r="I29" s="90">
        <f t="shared" si="0"/>
      </c>
    </row>
    <row r="30" spans="2:9" s="1" customFormat="1" ht="12.75" customHeight="1">
      <c r="B30" s="17"/>
      <c r="C30" s="12"/>
      <c r="D30" s="12"/>
      <c r="E30" s="9">
        <v>614000</v>
      </c>
      <c r="F30" s="12" t="s">
        <v>111</v>
      </c>
      <c r="G30" s="63">
        <f>SUM(G31:G32)</f>
        <v>160000</v>
      </c>
      <c r="H30" s="63">
        <f>SUM(H31:H32)</f>
        <v>0</v>
      </c>
      <c r="I30" s="89">
        <f t="shared" si="0"/>
        <v>0</v>
      </c>
    </row>
    <row r="31" spans="2:9" ht="12.75" customHeight="1">
      <c r="B31" s="14"/>
      <c r="C31" s="15"/>
      <c r="D31" s="29"/>
      <c r="E31" s="42">
        <v>614100</v>
      </c>
      <c r="F31" s="48" t="s">
        <v>95</v>
      </c>
      <c r="G31" s="71">
        <v>140000</v>
      </c>
      <c r="H31" s="71"/>
      <c r="I31" s="90">
        <f t="shared" si="0"/>
        <v>0</v>
      </c>
    </row>
    <row r="32" spans="2:9" ht="12.75" customHeight="1">
      <c r="B32" s="14"/>
      <c r="C32" s="15"/>
      <c r="D32" s="15"/>
      <c r="E32" s="16">
        <v>614100</v>
      </c>
      <c r="F32" s="26" t="s">
        <v>122</v>
      </c>
      <c r="G32" s="71">
        <v>20000</v>
      </c>
      <c r="H32" s="71"/>
      <c r="I32" s="90">
        <f t="shared" si="0"/>
        <v>0</v>
      </c>
    </row>
    <row r="33" spans="2:9" ht="12.75" customHeight="1">
      <c r="B33" s="14"/>
      <c r="C33" s="15"/>
      <c r="D33" s="15"/>
      <c r="E33" s="16"/>
      <c r="F33" s="15"/>
      <c r="G33" s="71"/>
      <c r="H33" s="71"/>
      <c r="I33" s="90">
        <f t="shared" si="0"/>
      </c>
    </row>
    <row r="34" spans="2:9" ht="12.75" customHeight="1">
      <c r="B34" s="14"/>
      <c r="C34" s="15"/>
      <c r="D34" s="15"/>
      <c r="E34" s="9"/>
      <c r="F34" s="12"/>
      <c r="G34" s="63"/>
      <c r="H34" s="63"/>
      <c r="I34" s="90">
        <f t="shared" si="0"/>
      </c>
    </row>
    <row r="35" spans="2:9" ht="12.75" customHeight="1">
      <c r="B35" s="14"/>
      <c r="C35" s="15"/>
      <c r="D35" s="15"/>
      <c r="E35" s="16"/>
      <c r="F35" s="26"/>
      <c r="G35" s="71"/>
      <c r="H35" s="71"/>
      <c r="I35" s="90">
        <f t="shared" si="0"/>
      </c>
    </row>
    <row r="36" spans="2:9" ht="12.75" customHeight="1">
      <c r="B36" s="14"/>
      <c r="C36" s="15"/>
      <c r="D36" s="15"/>
      <c r="E36" s="16"/>
      <c r="F36" s="15"/>
      <c r="G36" s="71"/>
      <c r="H36" s="71"/>
      <c r="I36" s="90">
        <f t="shared" si="0"/>
      </c>
    </row>
    <row r="37" spans="2:9" s="1" customFormat="1" ht="12.75" customHeight="1">
      <c r="B37" s="17"/>
      <c r="C37" s="12"/>
      <c r="D37" s="12"/>
      <c r="E37" s="9">
        <v>821000</v>
      </c>
      <c r="F37" s="12" t="s">
        <v>13</v>
      </c>
      <c r="G37" s="63">
        <f>SUM(G38:G40)</f>
        <v>603000</v>
      </c>
      <c r="H37" s="63">
        <f>SUM(H38:H40)</f>
        <v>0</v>
      </c>
      <c r="I37" s="89">
        <f t="shared" si="0"/>
        <v>0</v>
      </c>
    </row>
    <row r="38" spans="2:9" ht="12.75" customHeight="1">
      <c r="B38" s="14"/>
      <c r="C38" s="15"/>
      <c r="D38" s="15"/>
      <c r="E38" s="16">
        <v>821200</v>
      </c>
      <c r="F38" s="15" t="s">
        <v>14</v>
      </c>
      <c r="G38" s="71">
        <v>0</v>
      </c>
      <c r="H38" s="71"/>
      <c r="I38" s="90">
        <f t="shared" si="0"/>
      </c>
    </row>
    <row r="39" spans="2:9" ht="12.75" customHeight="1">
      <c r="B39" s="14"/>
      <c r="C39" s="15"/>
      <c r="D39" s="15"/>
      <c r="E39" s="16">
        <v>821300</v>
      </c>
      <c r="F39" s="15" t="s">
        <v>15</v>
      </c>
      <c r="G39" s="71">
        <v>3000</v>
      </c>
      <c r="H39" s="71"/>
      <c r="I39" s="90">
        <f t="shared" si="0"/>
        <v>0</v>
      </c>
    </row>
    <row r="40" spans="2:11" ht="12.75" customHeight="1">
      <c r="B40" s="14"/>
      <c r="C40" s="15"/>
      <c r="D40" s="15"/>
      <c r="E40" s="73">
        <v>821600</v>
      </c>
      <c r="F40" s="65" t="s">
        <v>26</v>
      </c>
      <c r="G40" s="71">
        <v>600000</v>
      </c>
      <c r="H40" s="71"/>
      <c r="I40" s="90">
        <f t="shared" si="0"/>
        <v>0</v>
      </c>
      <c r="K40" s="55"/>
    </row>
    <row r="41" spans="2:9" ht="12.75" customHeight="1">
      <c r="B41" s="14"/>
      <c r="C41" s="15"/>
      <c r="D41" s="15"/>
      <c r="E41" s="16"/>
      <c r="F41" s="15"/>
      <c r="G41" s="63"/>
      <c r="H41" s="63"/>
      <c r="I41" s="90">
        <f t="shared" si="0"/>
      </c>
    </row>
    <row r="42" spans="2:9" s="1" customFormat="1" ht="12.75" customHeight="1">
      <c r="B42" s="17"/>
      <c r="C42" s="12"/>
      <c r="D42" s="12"/>
      <c r="E42" s="9"/>
      <c r="F42" s="12" t="s">
        <v>16</v>
      </c>
      <c r="G42" s="63">
        <v>9</v>
      </c>
      <c r="H42" s="63"/>
      <c r="I42" s="90"/>
    </row>
    <row r="43" spans="2:9" s="1" customFormat="1" ht="12.75" customHeight="1">
      <c r="B43" s="17"/>
      <c r="C43" s="12"/>
      <c r="D43" s="12"/>
      <c r="E43" s="9"/>
      <c r="F43" s="12" t="s">
        <v>32</v>
      </c>
      <c r="G43" s="20">
        <f>G7+G13+G17+G30+G37</f>
        <v>1322940</v>
      </c>
      <c r="H43" s="20">
        <f>H7+H13+H17+H30+H37</f>
        <v>0</v>
      </c>
      <c r="I43" s="89">
        <f t="shared" si="0"/>
        <v>0</v>
      </c>
    </row>
    <row r="44" spans="2:9" s="1" customFormat="1" ht="12.75" customHeight="1">
      <c r="B44" s="17"/>
      <c r="C44" s="12"/>
      <c r="D44" s="12"/>
      <c r="E44" s="9"/>
      <c r="F44" s="12" t="s">
        <v>17</v>
      </c>
      <c r="G44" s="20">
        <f>G43</f>
        <v>1322940</v>
      </c>
      <c r="H44" s="20">
        <f>H43</f>
        <v>0</v>
      </c>
      <c r="I44" s="89">
        <f t="shared" si="0"/>
        <v>0</v>
      </c>
    </row>
    <row r="45" spans="2:9" s="1" customFormat="1" ht="12.75" customHeight="1">
      <c r="B45" s="17"/>
      <c r="C45" s="12"/>
      <c r="D45" s="12"/>
      <c r="E45" s="9"/>
      <c r="F45" s="12" t="s">
        <v>18</v>
      </c>
      <c r="G45" s="20">
        <f>G44</f>
        <v>1322940</v>
      </c>
      <c r="H45" s="20">
        <f>H44</f>
        <v>0</v>
      </c>
      <c r="I45" s="89">
        <f t="shared" si="0"/>
        <v>0</v>
      </c>
    </row>
    <row r="46" spans="2:9" ht="12.75" customHeight="1" thickBot="1">
      <c r="B46" s="21"/>
      <c r="C46" s="22"/>
      <c r="D46" s="22"/>
      <c r="E46" s="23"/>
      <c r="F46" s="22"/>
      <c r="G46" s="35"/>
      <c r="H46" s="35"/>
      <c r="I46" s="93"/>
    </row>
    <row r="47" ht="12.75">
      <c r="G47" s="55"/>
    </row>
    <row r="48" spans="2:7" ht="12.75">
      <c r="B48" s="51"/>
      <c r="G48" s="55"/>
    </row>
    <row r="49" spans="2:7" ht="12.75">
      <c r="B49" s="51"/>
      <c r="G49" s="55"/>
    </row>
    <row r="50" spans="2:7" ht="12.75">
      <c r="B50" s="51"/>
      <c r="G50" s="55"/>
    </row>
    <row r="51" ht="12.75">
      <c r="G51" s="55"/>
    </row>
    <row r="52" ht="12.75">
      <c r="G52" s="55"/>
    </row>
    <row r="53" ht="12.75">
      <c r="G53" s="55"/>
    </row>
    <row r="54" ht="12.75">
      <c r="G54" s="55"/>
    </row>
    <row r="55" ht="12.75">
      <c r="G55" s="55"/>
    </row>
    <row r="56" ht="12.75">
      <c r="G56" s="55"/>
    </row>
    <row r="57" ht="12.75">
      <c r="G57" s="55"/>
    </row>
    <row r="58" ht="12.75">
      <c r="G58" s="55"/>
    </row>
    <row r="59" ht="12.75">
      <c r="G59" s="55"/>
    </row>
    <row r="60" ht="12.75">
      <c r="G60" s="55"/>
    </row>
    <row r="61" ht="12.75">
      <c r="G61" s="55"/>
    </row>
    <row r="62" ht="12.75">
      <c r="G62" s="55"/>
    </row>
  </sheetData>
  <sheetProtection/>
  <mergeCells count="2">
    <mergeCell ref="B2:G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&amp;R25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2"/>
  <dimension ref="B2:K48"/>
  <sheetViews>
    <sheetView zoomScaleSheetLayoutView="100" workbookViewId="0" topLeftCell="C1">
      <selection activeCell="H4" sqref="H4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8515625" style="24" customWidth="1"/>
    <col min="6" max="6" width="43.7109375" style="13" customWidth="1"/>
    <col min="7" max="8" width="15.7109375" style="13" customWidth="1"/>
    <col min="9" max="9" width="8.7109375" style="80" customWidth="1"/>
    <col min="10" max="16384" width="9.140625" style="13" customWidth="1"/>
  </cols>
  <sheetData>
    <row r="2" spans="2:9" ht="15" customHeight="1">
      <c r="B2" s="145" t="s">
        <v>60</v>
      </c>
      <c r="C2" s="145"/>
      <c r="D2" s="145"/>
      <c r="E2" s="145"/>
      <c r="F2" s="145"/>
      <c r="G2" s="145"/>
      <c r="H2" s="145"/>
      <c r="I2" s="84"/>
    </row>
    <row r="3" spans="5:9" s="1" customFormat="1" ht="16.5" thickBot="1">
      <c r="E3" s="2"/>
      <c r="F3" s="144" t="s">
        <v>165</v>
      </c>
      <c r="G3" s="144"/>
      <c r="H3" s="108">
        <v>2515580</v>
      </c>
      <c r="I3" s="109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31" t="s">
        <v>147</v>
      </c>
      <c r="H4" s="131" t="s">
        <v>164</v>
      </c>
      <c r="I4" s="86" t="s">
        <v>139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2">
        <v>6</v>
      </c>
      <c r="H5" s="9">
        <v>7</v>
      </c>
      <c r="I5" s="87">
        <v>8</v>
      </c>
    </row>
    <row r="6" spans="2:9" s="2" customFormat="1" ht="12.75" customHeight="1">
      <c r="B6" s="10" t="s">
        <v>61</v>
      </c>
      <c r="C6" s="11" t="s">
        <v>4</v>
      </c>
      <c r="D6" s="11" t="s">
        <v>5</v>
      </c>
      <c r="E6" s="9"/>
      <c r="F6" s="9"/>
      <c r="G6" s="32"/>
      <c r="H6" s="9"/>
      <c r="I6" s="88"/>
    </row>
    <row r="7" spans="2:9" s="1" customFormat="1" ht="12.75" customHeight="1">
      <c r="B7" s="17"/>
      <c r="C7" s="12"/>
      <c r="D7" s="12"/>
      <c r="E7" s="9">
        <v>611000</v>
      </c>
      <c r="F7" s="12" t="s">
        <v>82</v>
      </c>
      <c r="G7" s="136">
        <f>SUM(G8:G11)</f>
        <v>529540</v>
      </c>
      <c r="H7" s="136">
        <f>SUM(H8:H11)</f>
        <v>0</v>
      </c>
      <c r="I7" s="89">
        <f aca="true" t="shared" si="0" ref="I7:I43">IF(G7=0,"",H7/G7*100)</f>
        <v>0</v>
      </c>
    </row>
    <row r="8" spans="2:9" ht="12.75" customHeight="1">
      <c r="B8" s="14"/>
      <c r="C8" s="15"/>
      <c r="D8" s="15"/>
      <c r="E8" s="16">
        <v>611100</v>
      </c>
      <c r="F8" s="26" t="s">
        <v>107</v>
      </c>
      <c r="G8" s="135">
        <f>405900+11700+20150+590</f>
        <v>438340</v>
      </c>
      <c r="H8" s="135"/>
      <c r="I8" s="90">
        <f t="shared" si="0"/>
        <v>0</v>
      </c>
    </row>
    <row r="9" spans="2:9" ht="12.75" customHeight="1">
      <c r="B9" s="14"/>
      <c r="C9" s="15"/>
      <c r="D9" s="15"/>
      <c r="E9" s="16">
        <v>611200</v>
      </c>
      <c r="F9" s="15" t="s">
        <v>108</v>
      </c>
      <c r="G9" s="139">
        <f>88300+2900</f>
        <v>91200</v>
      </c>
      <c r="H9" s="139"/>
      <c r="I9" s="90">
        <f t="shared" si="0"/>
        <v>0</v>
      </c>
    </row>
    <row r="10" spans="2:11" ht="12.75" customHeight="1">
      <c r="B10" s="14"/>
      <c r="C10" s="15"/>
      <c r="D10" s="15"/>
      <c r="E10" s="16">
        <v>611200</v>
      </c>
      <c r="F10" s="134" t="s">
        <v>148</v>
      </c>
      <c r="G10" s="135">
        <v>0</v>
      </c>
      <c r="H10" s="135"/>
      <c r="I10" s="90">
        <f t="shared" si="0"/>
      </c>
      <c r="K10" s="54"/>
    </row>
    <row r="11" spans="2:9" ht="12.75" customHeight="1">
      <c r="B11" s="14"/>
      <c r="C11" s="15"/>
      <c r="D11" s="15"/>
      <c r="E11" s="16"/>
      <c r="F11" s="26"/>
      <c r="G11" s="135"/>
      <c r="H11" s="135"/>
      <c r="I11" s="90">
        <f t="shared" si="0"/>
      </c>
    </row>
    <row r="12" spans="2:9" ht="12.75" customHeight="1">
      <c r="B12" s="14"/>
      <c r="C12" s="15"/>
      <c r="D12" s="15"/>
      <c r="E12" s="16"/>
      <c r="F12" s="15"/>
      <c r="G12" s="136"/>
      <c r="H12" s="136"/>
      <c r="I12" s="90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81</v>
      </c>
      <c r="G13" s="136">
        <f>G14</f>
        <v>48530</v>
      </c>
      <c r="H13" s="136">
        <f>H14</f>
        <v>0</v>
      </c>
      <c r="I13" s="89">
        <f t="shared" si="0"/>
        <v>0</v>
      </c>
    </row>
    <row r="14" spans="2:9" ht="12.75" customHeight="1">
      <c r="B14" s="14"/>
      <c r="C14" s="15"/>
      <c r="D14" s="15"/>
      <c r="E14" s="16">
        <v>612100</v>
      </c>
      <c r="F14" s="18" t="s">
        <v>6</v>
      </c>
      <c r="G14" s="135">
        <f>45000+1300+2160+70</f>
        <v>48530</v>
      </c>
      <c r="H14" s="135"/>
      <c r="I14" s="90">
        <f t="shared" si="0"/>
        <v>0</v>
      </c>
    </row>
    <row r="15" spans="2:9" ht="12.75" customHeight="1">
      <c r="B15" s="14"/>
      <c r="C15" s="15"/>
      <c r="D15" s="15"/>
      <c r="E15" s="16"/>
      <c r="F15" s="15"/>
      <c r="G15" s="33"/>
      <c r="H15" s="33"/>
      <c r="I15" s="90">
        <f t="shared" si="0"/>
      </c>
    </row>
    <row r="16" spans="2:9" ht="12.75" customHeight="1">
      <c r="B16" s="14"/>
      <c r="C16" s="15"/>
      <c r="D16" s="15"/>
      <c r="E16" s="16"/>
      <c r="F16" s="15"/>
      <c r="G16" s="37"/>
      <c r="H16" s="37"/>
      <c r="I16" s="90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83</v>
      </c>
      <c r="G17" s="37">
        <f>SUM(G18:G27)</f>
        <v>65490</v>
      </c>
      <c r="H17" s="37">
        <f>SUM(H18:H27)</f>
        <v>0</v>
      </c>
      <c r="I17" s="89">
        <f t="shared" si="0"/>
        <v>0</v>
      </c>
    </row>
    <row r="18" spans="2:9" ht="12.75" customHeight="1">
      <c r="B18" s="14"/>
      <c r="C18" s="15"/>
      <c r="D18" s="15"/>
      <c r="E18" s="16">
        <v>613100</v>
      </c>
      <c r="F18" s="15" t="s">
        <v>7</v>
      </c>
      <c r="G18" s="52">
        <v>7000</v>
      </c>
      <c r="H18" s="52"/>
      <c r="I18" s="90">
        <f t="shared" si="0"/>
        <v>0</v>
      </c>
    </row>
    <row r="19" spans="2:9" ht="12.75" customHeight="1">
      <c r="B19" s="14"/>
      <c r="C19" s="15"/>
      <c r="D19" s="15"/>
      <c r="E19" s="16">
        <v>613200</v>
      </c>
      <c r="F19" s="15" t="s">
        <v>8</v>
      </c>
      <c r="G19" s="52">
        <v>0</v>
      </c>
      <c r="H19" s="52"/>
      <c r="I19" s="90">
        <f t="shared" si="0"/>
      </c>
    </row>
    <row r="20" spans="2:9" ht="12.75" customHeight="1">
      <c r="B20" s="14"/>
      <c r="C20" s="15"/>
      <c r="D20" s="15"/>
      <c r="E20" s="16">
        <v>613300</v>
      </c>
      <c r="F20" s="26" t="s">
        <v>109</v>
      </c>
      <c r="G20" s="52">
        <v>6500</v>
      </c>
      <c r="H20" s="52"/>
      <c r="I20" s="90">
        <f t="shared" si="0"/>
        <v>0</v>
      </c>
    </row>
    <row r="21" spans="2:9" ht="12.75" customHeight="1">
      <c r="B21" s="14"/>
      <c r="C21" s="15"/>
      <c r="D21" s="15"/>
      <c r="E21" s="16">
        <v>613400</v>
      </c>
      <c r="F21" s="15" t="s">
        <v>84</v>
      </c>
      <c r="G21" s="52">
        <v>2100</v>
      </c>
      <c r="H21" s="52"/>
      <c r="I21" s="90">
        <f t="shared" si="0"/>
        <v>0</v>
      </c>
    </row>
    <row r="22" spans="2:9" ht="12.75" customHeight="1">
      <c r="B22" s="14"/>
      <c r="C22" s="15"/>
      <c r="D22" s="15"/>
      <c r="E22" s="16">
        <v>613500</v>
      </c>
      <c r="F22" s="15" t="s">
        <v>9</v>
      </c>
      <c r="G22" s="52">
        <v>1890</v>
      </c>
      <c r="H22" s="52"/>
      <c r="I22" s="90">
        <f t="shared" si="0"/>
        <v>0</v>
      </c>
    </row>
    <row r="23" spans="2:9" ht="12.75" customHeight="1">
      <c r="B23" s="14"/>
      <c r="C23" s="15"/>
      <c r="D23" s="15"/>
      <c r="E23" s="16">
        <v>613600</v>
      </c>
      <c r="F23" s="26" t="s">
        <v>110</v>
      </c>
      <c r="G23" s="52">
        <v>5500</v>
      </c>
      <c r="H23" s="52"/>
      <c r="I23" s="90">
        <f t="shared" si="0"/>
        <v>0</v>
      </c>
    </row>
    <row r="24" spans="2:9" ht="12.75" customHeight="1">
      <c r="B24" s="14"/>
      <c r="C24" s="15"/>
      <c r="D24" s="15"/>
      <c r="E24" s="16">
        <v>613700</v>
      </c>
      <c r="F24" s="15" t="s">
        <v>10</v>
      </c>
      <c r="G24" s="52">
        <v>7500</v>
      </c>
      <c r="H24" s="52"/>
      <c r="I24" s="90">
        <f t="shared" si="0"/>
        <v>0</v>
      </c>
    </row>
    <row r="25" spans="2:9" ht="12.75" customHeight="1">
      <c r="B25" s="14"/>
      <c r="C25" s="15"/>
      <c r="D25" s="15"/>
      <c r="E25" s="16">
        <v>613800</v>
      </c>
      <c r="F25" s="15" t="s">
        <v>85</v>
      </c>
      <c r="G25" s="52">
        <v>0</v>
      </c>
      <c r="H25" s="52"/>
      <c r="I25" s="90">
        <f t="shared" si="0"/>
      </c>
    </row>
    <row r="26" spans="2:10" ht="12.75" customHeight="1">
      <c r="B26" s="14"/>
      <c r="C26" s="15"/>
      <c r="D26" s="15"/>
      <c r="E26" s="16">
        <v>613900</v>
      </c>
      <c r="F26" s="15" t="s">
        <v>86</v>
      </c>
      <c r="G26" s="52">
        <v>35000</v>
      </c>
      <c r="H26" s="52"/>
      <c r="I26" s="90">
        <f t="shared" si="0"/>
        <v>0</v>
      </c>
      <c r="J26" s="62"/>
    </row>
    <row r="27" spans="2:9" ht="12.75" customHeight="1">
      <c r="B27" s="14"/>
      <c r="C27" s="15"/>
      <c r="D27" s="15"/>
      <c r="E27" s="16">
        <v>613900</v>
      </c>
      <c r="F27" s="134" t="s">
        <v>149</v>
      </c>
      <c r="G27" s="52">
        <v>0</v>
      </c>
      <c r="H27" s="52"/>
      <c r="I27" s="90">
        <f t="shared" si="0"/>
      </c>
    </row>
    <row r="28" spans="2:9" ht="12.75" customHeight="1">
      <c r="B28" s="14"/>
      <c r="C28" s="15"/>
      <c r="D28" s="15"/>
      <c r="E28" s="16"/>
      <c r="F28" s="15"/>
      <c r="G28" s="63"/>
      <c r="H28" s="63"/>
      <c r="I28" s="90">
        <f t="shared" si="0"/>
      </c>
    </row>
    <row r="29" spans="2:9" s="1" customFormat="1" ht="12.75" customHeight="1">
      <c r="B29" s="17"/>
      <c r="C29" s="12"/>
      <c r="D29" s="12"/>
      <c r="E29" s="9">
        <v>614000</v>
      </c>
      <c r="F29" s="12" t="s">
        <v>111</v>
      </c>
      <c r="G29" s="63">
        <f>SUM(G30:G33)</f>
        <v>1865000</v>
      </c>
      <c r="H29" s="63">
        <f>SUM(H30:H33)</f>
        <v>0</v>
      </c>
      <c r="I29" s="89">
        <f t="shared" si="0"/>
        <v>0</v>
      </c>
    </row>
    <row r="30" spans="2:9" s="1" customFormat="1" ht="12.75" customHeight="1">
      <c r="B30" s="17"/>
      <c r="C30" s="12"/>
      <c r="D30" s="30"/>
      <c r="E30" s="38">
        <v>614100</v>
      </c>
      <c r="F30" s="18" t="s">
        <v>80</v>
      </c>
      <c r="G30" s="71">
        <v>150000</v>
      </c>
      <c r="H30" s="71"/>
      <c r="I30" s="90">
        <f t="shared" si="0"/>
        <v>0</v>
      </c>
    </row>
    <row r="31" spans="2:9" ht="12.75" customHeight="1">
      <c r="B31" s="14"/>
      <c r="C31" s="15"/>
      <c r="D31" s="15"/>
      <c r="E31" s="16">
        <v>614500</v>
      </c>
      <c r="F31" s="28" t="s">
        <v>140</v>
      </c>
      <c r="G31" s="71">
        <v>900000</v>
      </c>
      <c r="H31" s="71"/>
      <c r="I31" s="90">
        <f t="shared" si="0"/>
        <v>0</v>
      </c>
    </row>
    <row r="32" spans="2:9" ht="12.75" customHeight="1">
      <c r="B32" s="14"/>
      <c r="C32" s="15"/>
      <c r="D32" s="15"/>
      <c r="E32" s="16">
        <v>614500</v>
      </c>
      <c r="F32" s="28" t="s">
        <v>141</v>
      </c>
      <c r="G32" s="71">
        <v>400000</v>
      </c>
      <c r="H32" s="71"/>
      <c r="I32" s="90">
        <f t="shared" si="0"/>
        <v>0</v>
      </c>
    </row>
    <row r="33" spans="2:9" ht="12.75" customHeight="1">
      <c r="B33" s="14"/>
      <c r="C33" s="15"/>
      <c r="D33" s="15"/>
      <c r="E33" s="38">
        <v>614500</v>
      </c>
      <c r="F33" s="28" t="s">
        <v>142</v>
      </c>
      <c r="G33" s="71">
        <v>415000</v>
      </c>
      <c r="H33" s="71"/>
      <c r="I33" s="90">
        <f t="shared" si="0"/>
        <v>0</v>
      </c>
    </row>
    <row r="34" spans="2:9" ht="12.75" customHeight="1">
      <c r="B34" s="14"/>
      <c r="C34" s="15"/>
      <c r="D34" s="15"/>
      <c r="E34" s="16"/>
      <c r="F34" s="26"/>
      <c r="G34" s="52"/>
      <c r="H34" s="52"/>
      <c r="I34" s="90">
        <f t="shared" si="0"/>
      </c>
    </row>
    <row r="35" spans="2:9" s="1" customFormat="1" ht="12.75" customHeight="1">
      <c r="B35" s="17"/>
      <c r="C35" s="12"/>
      <c r="D35" s="12"/>
      <c r="E35" s="9">
        <v>821000</v>
      </c>
      <c r="F35" s="12" t="s">
        <v>13</v>
      </c>
      <c r="G35" s="63">
        <f>SUM(G36:G38)</f>
        <v>13000</v>
      </c>
      <c r="H35" s="63">
        <f>SUM(H36:H38)</f>
        <v>0</v>
      </c>
      <c r="I35" s="89">
        <f t="shared" si="0"/>
        <v>0</v>
      </c>
    </row>
    <row r="36" spans="2:9" ht="12.75" customHeight="1">
      <c r="B36" s="14"/>
      <c r="C36" s="15"/>
      <c r="D36" s="15"/>
      <c r="E36" s="16">
        <v>821200</v>
      </c>
      <c r="F36" s="15" t="s">
        <v>14</v>
      </c>
      <c r="G36" s="52">
        <v>0</v>
      </c>
      <c r="H36" s="52"/>
      <c r="I36" s="90">
        <f t="shared" si="0"/>
      </c>
    </row>
    <row r="37" spans="2:9" ht="12.75" customHeight="1">
      <c r="B37" s="14"/>
      <c r="C37" s="15"/>
      <c r="D37" s="15"/>
      <c r="E37" s="16">
        <v>821300</v>
      </c>
      <c r="F37" s="15" t="s">
        <v>15</v>
      </c>
      <c r="G37" s="52">
        <v>13000</v>
      </c>
      <c r="H37" s="52"/>
      <c r="I37" s="90">
        <f t="shared" si="0"/>
        <v>0</v>
      </c>
    </row>
    <row r="38" spans="2:9" ht="12.75" customHeight="1">
      <c r="B38" s="14"/>
      <c r="C38" s="15"/>
      <c r="D38" s="15"/>
      <c r="E38" s="16"/>
      <c r="F38" s="26"/>
      <c r="G38" s="52"/>
      <c r="H38" s="52"/>
      <c r="I38" s="90">
        <f t="shared" si="0"/>
      </c>
    </row>
    <row r="39" spans="2:9" ht="12.75" customHeight="1">
      <c r="B39" s="14"/>
      <c r="C39" s="15"/>
      <c r="D39" s="15"/>
      <c r="E39" s="16"/>
      <c r="F39" s="15"/>
      <c r="G39" s="33"/>
      <c r="H39" s="33"/>
      <c r="I39" s="90">
        <f t="shared" si="0"/>
      </c>
    </row>
    <row r="40" spans="2:9" s="1" customFormat="1" ht="12.75" customHeight="1">
      <c r="B40" s="17"/>
      <c r="C40" s="12"/>
      <c r="D40" s="12"/>
      <c r="E40" s="9"/>
      <c r="F40" s="12" t="s">
        <v>16</v>
      </c>
      <c r="G40" s="20">
        <v>22</v>
      </c>
      <c r="H40" s="20"/>
      <c r="I40" s="90"/>
    </row>
    <row r="41" spans="2:9" s="1" customFormat="1" ht="12.75" customHeight="1">
      <c r="B41" s="17"/>
      <c r="C41" s="12"/>
      <c r="D41" s="12"/>
      <c r="E41" s="9"/>
      <c r="F41" s="12" t="s">
        <v>32</v>
      </c>
      <c r="G41" s="20">
        <f>G7+G13+G17+G29+G35</f>
        <v>2521560</v>
      </c>
      <c r="H41" s="20">
        <f>H7+H13+H17+H29+H35</f>
        <v>0</v>
      </c>
      <c r="I41" s="89">
        <f t="shared" si="0"/>
        <v>0</v>
      </c>
    </row>
    <row r="42" spans="2:9" s="1" customFormat="1" ht="12.75" customHeight="1">
      <c r="B42" s="17"/>
      <c r="C42" s="12"/>
      <c r="D42" s="12"/>
      <c r="E42" s="9"/>
      <c r="F42" s="12" t="s">
        <v>17</v>
      </c>
      <c r="G42" s="20">
        <f>G41</f>
        <v>2521560</v>
      </c>
      <c r="H42" s="20">
        <f>H41</f>
        <v>0</v>
      </c>
      <c r="I42" s="89">
        <f t="shared" si="0"/>
        <v>0</v>
      </c>
    </row>
    <row r="43" spans="2:9" s="1" customFormat="1" ht="12.75" customHeight="1">
      <c r="B43" s="17"/>
      <c r="C43" s="12"/>
      <c r="D43" s="12"/>
      <c r="E43" s="9"/>
      <c r="F43" s="12" t="s">
        <v>18</v>
      </c>
      <c r="G43" s="20">
        <f>G42</f>
        <v>2521560</v>
      </c>
      <c r="H43" s="20">
        <f>H42</f>
        <v>0</v>
      </c>
      <c r="I43" s="89">
        <f t="shared" si="0"/>
        <v>0</v>
      </c>
    </row>
    <row r="44" spans="2:9" ht="12.75" customHeight="1" thickBot="1">
      <c r="B44" s="21"/>
      <c r="C44" s="22"/>
      <c r="D44" s="22"/>
      <c r="E44" s="23"/>
      <c r="F44" s="22"/>
      <c r="G44" s="35"/>
      <c r="H44" s="35"/>
      <c r="I44" s="93"/>
    </row>
    <row r="46" ht="12.75">
      <c r="B46" s="51"/>
    </row>
    <row r="47" ht="12.75">
      <c r="B47" s="51"/>
    </row>
    <row r="48" ht="12.75">
      <c r="B48" s="51"/>
    </row>
  </sheetData>
  <sheetProtection/>
  <mergeCells count="2">
    <mergeCell ref="B2:H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&amp;R26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3"/>
  <dimension ref="B2:K64"/>
  <sheetViews>
    <sheetView zoomScaleSheetLayoutView="100" workbookViewId="0" topLeftCell="A10">
      <selection activeCell="H4" sqref="H4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8515625" style="24" customWidth="1"/>
    <col min="6" max="6" width="43.7109375" style="13" customWidth="1"/>
    <col min="7" max="8" width="15.7109375" style="13" customWidth="1"/>
    <col min="9" max="9" width="8.7109375" style="80" customWidth="1"/>
    <col min="10" max="16384" width="9.140625" style="13" customWidth="1"/>
  </cols>
  <sheetData>
    <row r="2" spans="2:7" ht="15" customHeight="1">
      <c r="B2" s="145" t="s">
        <v>62</v>
      </c>
      <c r="C2" s="145"/>
      <c r="D2" s="145"/>
      <c r="E2" s="145"/>
      <c r="F2" s="145"/>
      <c r="G2" s="145"/>
    </row>
    <row r="3" spans="5:9" s="1" customFormat="1" ht="16.5" thickBot="1">
      <c r="E3" s="2"/>
      <c r="F3" s="144" t="s">
        <v>165</v>
      </c>
      <c r="G3" s="144"/>
      <c r="H3" s="108">
        <v>1541110</v>
      </c>
      <c r="I3" s="109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31" t="s">
        <v>147</v>
      </c>
      <c r="H4" s="131" t="s">
        <v>164</v>
      </c>
      <c r="I4" s="86" t="s">
        <v>139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2">
        <v>6</v>
      </c>
      <c r="H5" s="9">
        <v>7</v>
      </c>
      <c r="I5" s="87">
        <v>8</v>
      </c>
    </row>
    <row r="6" spans="2:9" s="2" customFormat="1" ht="12.75" customHeight="1">
      <c r="B6" s="10" t="s">
        <v>63</v>
      </c>
      <c r="C6" s="11" t="s">
        <v>4</v>
      </c>
      <c r="D6" s="11" t="s">
        <v>5</v>
      </c>
      <c r="E6" s="9"/>
      <c r="F6" s="9"/>
      <c r="G6" s="32"/>
      <c r="H6" s="9"/>
      <c r="I6" s="88"/>
    </row>
    <row r="7" spans="2:9" s="1" customFormat="1" ht="12.75" customHeight="1">
      <c r="B7" s="17"/>
      <c r="C7" s="12"/>
      <c r="D7" s="12"/>
      <c r="E7" s="9">
        <v>611000</v>
      </c>
      <c r="F7" s="12" t="s">
        <v>82</v>
      </c>
      <c r="G7" s="136">
        <f>SUM(G8:G11)</f>
        <v>271280</v>
      </c>
      <c r="H7" s="136">
        <f>SUM(H8:H11)</f>
        <v>0</v>
      </c>
      <c r="I7" s="89">
        <f aca="true" t="shared" si="0" ref="I7:I55">IF(G7=0,"",H7/G7*100)</f>
        <v>0</v>
      </c>
    </row>
    <row r="8" spans="2:9" ht="12.75" customHeight="1">
      <c r="B8" s="14"/>
      <c r="C8" s="15"/>
      <c r="D8" s="15"/>
      <c r="E8" s="16">
        <v>611100</v>
      </c>
      <c r="F8" s="26" t="s">
        <v>107</v>
      </c>
      <c r="G8" s="138">
        <f>221300+10580</f>
        <v>231880</v>
      </c>
      <c r="H8" s="138"/>
      <c r="I8" s="90">
        <f t="shared" si="0"/>
        <v>0</v>
      </c>
    </row>
    <row r="9" spans="2:11" ht="12.75" customHeight="1">
      <c r="B9" s="14"/>
      <c r="C9" s="15"/>
      <c r="D9" s="15"/>
      <c r="E9" s="16">
        <v>611200</v>
      </c>
      <c r="F9" s="15" t="s">
        <v>108</v>
      </c>
      <c r="G9" s="138">
        <f>37900+1500</f>
        <v>39400</v>
      </c>
      <c r="H9" s="138"/>
      <c r="I9" s="90">
        <f t="shared" si="0"/>
        <v>0</v>
      </c>
      <c r="K9" s="55"/>
    </row>
    <row r="10" spans="2:11" ht="12.75" customHeight="1">
      <c r="B10" s="14"/>
      <c r="C10" s="15"/>
      <c r="D10" s="15"/>
      <c r="E10" s="16">
        <v>611200</v>
      </c>
      <c r="F10" s="134" t="s">
        <v>148</v>
      </c>
      <c r="G10" s="135">
        <v>0</v>
      </c>
      <c r="H10" s="135"/>
      <c r="I10" s="90">
        <f t="shared" si="0"/>
      </c>
      <c r="K10" s="54"/>
    </row>
    <row r="11" spans="2:9" ht="12.75" customHeight="1">
      <c r="B11" s="14"/>
      <c r="C11" s="15"/>
      <c r="D11" s="15"/>
      <c r="E11" s="16"/>
      <c r="F11" s="26"/>
      <c r="G11" s="138"/>
      <c r="H11" s="138"/>
      <c r="I11" s="90">
        <f t="shared" si="0"/>
      </c>
    </row>
    <row r="12" spans="2:9" ht="12.75" customHeight="1">
      <c r="B12" s="14"/>
      <c r="C12" s="15"/>
      <c r="D12" s="15"/>
      <c r="E12" s="16"/>
      <c r="F12" s="15"/>
      <c r="G12" s="136"/>
      <c r="H12" s="136"/>
      <c r="I12" s="90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81</v>
      </c>
      <c r="G13" s="136">
        <f>G14</f>
        <v>24730</v>
      </c>
      <c r="H13" s="136">
        <f>H14</f>
        <v>0</v>
      </c>
      <c r="I13" s="89">
        <f t="shared" si="0"/>
        <v>0</v>
      </c>
    </row>
    <row r="14" spans="2:9" ht="12.75" customHeight="1">
      <c r="B14" s="14"/>
      <c r="C14" s="15"/>
      <c r="D14" s="15"/>
      <c r="E14" s="16">
        <v>612100</v>
      </c>
      <c r="F14" s="18" t="s">
        <v>6</v>
      </c>
      <c r="G14" s="138">
        <f>23600+1130</f>
        <v>24730</v>
      </c>
      <c r="H14" s="138"/>
      <c r="I14" s="90">
        <f t="shared" si="0"/>
        <v>0</v>
      </c>
    </row>
    <row r="15" spans="2:9" ht="12.75" customHeight="1">
      <c r="B15" s="14"/>
      <c r="C15" s="15"/>
      <c r="D15" s="15"/>
      <c r="E15" s="16"/>
      <c r="F15" s="15"/>
      <c r="G15" s="71"/>
      <c r="H15" s="71"/>
      <c r="I15" s="90">
        <f t="shared" si="0"/>
      </c>
    </row>
    <row r="16" spans="2:9" ht="12.75" customHeight="1">
      <c r="B16" s="14"/>
      <c r="C16" s="15"/>
      <c r="D16" s="15"/>
      <c r="E16" s="16"/>
      <c r="F16" s="15"/>
      <c r="G16" s="63"/>
      <c r="H16" s="63"/>
      <c r="I16" s="90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83</v>
      </c>
      <c r="G17" s="63">
        <f>SUM(G18:G29)</f>
        <v>93300</v>
      </c>
      <c r="H17" s="63">
        <f>SUM(H18:H29)</f>
        <v>0</v>
      </c>
      <c r="I17" s="89">
        <f t="shared" si="0"/>
        <v>0</v>
      </c>
    </row>
    <row r="18" spans="2:9" ht="12.75" customHeight="1">
      <c r="B18" s="14"/>
      <c r="C18" s="15"/>
      <c r="D18" s="15"/>
      <c r="E18" s="16">
        <v>613100</v>
      </c>
      <c r="F18" s="15" t="s">
        <v>7</v>
      </c>
      <c r="G18" s="71">
        <v>4500</v>
      </c>
      <c r="H18" s="71"/>
      <c r="I18" s="90">
        <f t="shared" si="0"/>
        <v>0</v>
      </c>
    </row>
    <row r="19" spans="2:9" ht="12.75" customHeight="1">
      <c r="B19" s="14"/>
      <c r="C19" s="15"/>
      <c r="D19" s="15"/>
      <c r="E19" s="16">
        <v>613200</v>
      </c>
      <c r="F19" s="15" t="s">
        <v>8</v>
      </c>
      <c r="G19" s="71">
        <v>0</v>
      </c>
      <c r="H19" s="71"/>
      <c r="I19" s="90">
        <f t="shared" si="0"/>
      </c>
    </row>
    <row r="20" spans="2:9" ht="12.75" customHeight="1">
      <c r="B20" s="14"/>
      <c r="C20" s="15"/>
      <c r="D20" s="15"/>
      <c r="E20" s="16">
        <v>613300</v>
      </c>
      <c r="F20" s="26" t="s">
        <v>109</v>
      </c>
      <c r="G20" s="71">
        <v>4100</v>
      </c>
      <c r="H20" s="71"/>
      <c r="I20" s="90">
        <f t="shared" si="0"/>
        <v>0</v>
      </c>
    </row>
    <row r="21" spans="2:9" ht="12.75" customHeight="1">
      <c r="B21" s="14"/>
      <c r="C21" s="15"/>
      <c r="D21" s="15"/>
      <c r="E21" s="16">
        <v>613400</v>
      </c>
      <c r="F21" s="15" t="s">
        <v>84</v>
      </c>
      <c r="G21" s="71">
        <v>7700</v>
      </c>
      <c r="H21" s="71"/>
      <c r="I21" s="90">
        <f t="shared" si="0"/>
        <v>0</v>
      </c>
    </row>
    <row r="22" spans="2:9" ht="12.75" customHeight="1">
      <c r="B22" s="14"/>
      <c r="C22" s="15"/>
      <c r="D22" s="15"/>
      <c r="E22" s="16">
        <v>613500</v>
      </c>
      <c r="F22" s="15" t="s">
        <v>9</v>
      </c>
      <c r="G22" s="71">
        <v>0</v>
      </c>
      <c r="H22" s="71"/>
      <c r="I22" s="90">
        <f t="shared" si="0"/>
      </c>
    </row>
    <row r="23" spans="2:9" ht="12.75" customHeight="1">
      <c r="B23" s="14"/>
      <c r="C23" s="15"/>
      <c r="D23" s="15"/>
      <c r="E23" s="16">
        <v>613600</v>
      </c>
      <c r="F23" s="26" t="s">
        <v>110</v>
      </c>
      <c r="G23" s="71">
        <v>0</v>
      </c>
      <c r="H23" s="71"/>
      <c r="I23" s="90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10</v>
      </c>
      <c r="G24" s="71">
        <v>3000</v>
      </c>
      <c r="H24" s="71"/>
      <c r="I24" s="90">
        <f t="shared" si="0"/>
        <v>0</v>
      </c>
    </row>
    <row r="25" spans="2:9" ht="12.75" customHeight="1">
      <c r="B25" s="14"/>
      <c r="C25" s="15"/>
      <c r="D25" s="15"/>
      <c r="E25" s="16">
        <v>613800</v>
      </c>
      <c r="F25" s="15" t="s">
        <v>85</v>
      </c>
      <c r="G25" s="71">
        <v>0</v>
      </c>
      <c r="H25" s="71"/>
      <c r="I25" s="90">
        <f t="shared" si="0"/>
      </c>
    </row>
    <row r="26" spans="2:9" ht="12.75" customHeight="1">
      <c r="B26" s="14"/>
      <c r="C26" s="15"/>
      <c r="D26" s="15"/>
      <c r="E26" s="16">
        <v>613800</v>
      </c>
      <c r="F26" s="26" t="s">
        <v>103</v>
      </c>
      <c r="G26" s="71">
        <v>0</v>
      </c>
      <c r="H26" s="71"/>
      <c r="I26" s="90">
        <f t="shared" si="0"/>
      </c>
    </row>
    <row r="27" spans="2:9" ht="12.75" customHeight="1">
      <c r="B27" s="14"/>
      <c r="C27" s="15"/>
      <c r="D27" s="15"/>
      <c r="E27" s="16">
        <v>613900</v>
      </c>
      <c r="F27" s="26" t="s">
        <v>86</v>
      </c>
      <c r="G27" s="71">
        <v>19000</v>
      </c>
      <c r="H27" s="71"/>
      <c r="I27" s="90">
        <f t="shared" si="0"/>
        <v>0</v>
      </c>
    </row>
    <row r="28" spans="2:9" ht="12.75" customHeight="1">
      <c r="B28" s="14"/>
      <c r="C28" s="15"/>
      <c r="D28" s="15"/>
      <c r="E28" s="16">
        <v>613900</v>
      </c>
      <c r="F28" s="26" t="s">
        <v>99</v>
      </c>
      <c r="G28" s="71">
        <v>55000</v>
      </c>
      <c r="H28" s="71"/>
      <c r="I28" s="90">
        <f t="shared" si="0"/>
        <v>0</v>
      </c>
    </row>
    <row r="29" spans="2:9" ht="12.75" customHeight="1">
      <c r="B29" s="14"/>
      <c r="C29" s="15"/>
      <c r="D29" s="15"/>
      <c r="E29" s="16">
        <v>613900</v>
      </c>
      <c r="F29" s="134" t="s">
        <v>149</v>
      </c>
      <c r="G29" s="71">
        <v>0</v>
      </c>
      <c r="H29" s="71"/>
      <c r="I29" s="90">
        <f t="shared" si="0"/>
      </c>
    </row>
    <row r="30" spans="2:9" ht="12.75" customHeight="1">
      <c r="B30" s="14"/>
      <c r="C30" s="15"/>
      <c r="D30" s="15"/>
      <c r="E30" s="16"/>
      <c r="F30" s="15"/>
      <c r="G30" s="71"/>
      <c r="H30" s="71"/>
      <c r="I30" s="90">
        <f t="shared" si="0"/>
      </c>
    </row>
    <row r="31" spans="2:9" s="1" customFormat="1" ht="12.75" customHeight="1">
      <c r="B31" s="17"/>
      <c r="C31" s="12"/>
      <c r="D31" s="12"/>
      <c r="E31" s="9">
        <v>614000</v>
      </c>
      <c r="F31" s="12" t="s">
        <v>111</v>
      </c>
      <c r="G31" s="63">
        <f>SUM(G32:G38)</f>
        <v>1070000</v>
      </c>
      <c r="H31" s="63">
        <f>SUM(H32:H38)</f>
        <v>0</v>
      </c>
      <c r="I31" s="89">
        <f t="shared" si="0"/>
        <v>0</v>
      </c>
    </row>
    <row r="32" spans="2:10" s="118" customFormat="1" ht="24.75" customHeight="1">
      <c r="B32" s="110"/>
      <c r="C32" s="111"/>
      <c r="D32" s="112"/>
      <c r="E32" s="113">
        <v>614100</v>
      </c>
      <c r="F32" s="114" t="s">
        <v>125</v>
      </c>
      <c r="G32" s="115">
        <v>160000</v>
      </c>
      <c r="H32" s="115"/>
      <c r="I32" s="116">
        <f t="shared" si="0"/>
        <v>0</v>
      </c>
      <c r="J32" s="117"/>
    </row>
    <row r="33" spans="2:9" ht="12.75" customHeight="1">
      <c r="B33" s="14"/>
      <c r="C33" s="15"/>
      <c r="D33" s="15"/>
      <c r="E33" s="72">
        <v>614100</v>
      </c>
      <c r="F33" s="69" t="s">
        <v>23</v>
      </c>
      <c r="G33" s="71">
        <v>300000</v>
      </c>
      <c r="H33" s="71"/>
      <c r="I33" s="90">
        <f t="shared" si="0"/>
        <v>0</v>
      </c>
    </row>
    <row r="34" spans="2:9" ht="12.75" customHeight="1">
      <c r="B34" s="14"/>
      <c r="C34" s="15"/>
      <c r="D34" s="15"/>
      <c r="E34" s="72">
        <v>614100</v>
      </c>
      <c r="F34" s="69" t="s">
        <v>143</v>
      </c>
      <c r="G34" s="71">
        <v>295000</v>
      </c>
      <c r="H34" s="71"/>
      <c r="I34" s="90">
        <f t="shared" si="0"/>
        <v>0</v>
      </c>
    </row>
    <row r="35" spans="2:9" ht="12.75" customHeight="1">
      <c r="B35" s="14"/>
      <c r="C35" s="15"/>
      <c r="D35" s="15"/>
      <c r="E35" s="16">
        <v>614200</v>
      </c>
      <c r="F35" s="28" t="s">
        <v>31</v>
      </c>
      <c r="G35" s="71">
        <v>120000</v>
      </c>
      <c r="H35" s="71"/>
      <c r="I35" s="90">
        <f t="shared" si="0"/>
        <v>0</v>
      </c>
    </row>
    <row r="36" spans="2:9" s="118" customFormat="1" ht="24.75" customHeight="1">
      <c r="B36" s="110"/>
      <c r="C36" s="111"/>
      <c r="D36" s="111"/>
      <c r="E36" s="113">
        <v>614200</v>
      </c>
      <c r="F36" s="119" t="s">
        <v>133</v>
      </c>
      <c r="G36" s="115">
        <v>15000</v>
      </c>
      <c r="H36" s="115"/>
      <c r="I36" s="116">
        <f t="shared" si="0"/>
        <v>0</v>
      </c>
    </row>
    <row r="37" spans="2:9" ht="12.75" customHeight="1">
      <c r="B37" s="14"/>
      <c r="C37" s="15"/>
      <c r="D37" s="15"/>
      <c r="E37" s="38">
        <v>614300</v>
      </c>
      <c r="F37" s="28" t="s">
        <v>24</v>
      </c>
      <c r="G37" s="71">
        <v>30000</v>
      </c>
      <c r="H37" s="71"/>
      <c r="I37" s="90">
        <f t="shared" si="0"/>
        <v>0</v>
      </c>
    </row>
    <row r="38" spans="2:10" ht="12.75" customHeight="1">
      <c r="B38" s="14"/>
      <c r="C38" s="15"/>
      <c r="D38" s="15"/>
      <c r="E38" s="38">
        <v>614300</v>
      </c>
      <c r="F38" s="28" t="s">
        <v>25</v>
      </c>
      <c r="G38" s="71">
        <v>150000</v>
      </c>
      <c r="H38" s="71"/>
      <c r="I38" s="90">
        <f t="shared" si="0"/>
        <v>0</v>
      </c>
      <c r="J38" s="62"/>
    </row>
    <row r="39" spans="2:10" ht="12.75" customHeight="1">
      <c r="B39" s="14"/>
      <c r="C39" s="15"/>
      <c r="D39" s="15"/>
      <c r="E39" s="38"/>
      <c r="F39" s="28"/>
      <c r="G39" s="71"/>
      <c r="H39" s="71"/>
      <c r="I39" s="90">
        <f t="shared" si="0"/>
      </c>
      <c r="J39" s="62"/>
    </row>
    <row r="40" spans="2:10" ht="12.75" customHeight="1">
      <c r="B40" s="14"/>
      <c r="C40" s="15"/>
      <c r="D40" s="15"/>
      <c r="E40" s="9">
        <v>615000</v>
      </c>
      <c r="F40" s="31" t="s">
        <v>12</v>
      </c>
      <c r="G40" s="63">
        <f>G41</f>
        <v>0</v>
      </c>
      <c r="H40" s="63">
        <f>H41</f>
        <v>0</v>
      </c>
      <c r="I40" s="89">
        <f t="shared" si="0"/>
      </c>
      <c r="J40" s="62"/>
    </row>
    <row r="41" spans="2:10" ht="12.75" customHeight="1">
      <c r="B41" s="14"/>
      <c r="C41" s="15"/>
      <c r="D41" s="15"/>
      <c r="E41" s="16">
        <v>615100</v>
      </c>
      <c r="F41" s="46" t="s">
        <v>12</v>
      </c>
      <c r="G41" s="71">
        <v>0</v>
      </c>
      <c r="H41" s="71"/>
      <c r="I41" s="90">
        <f t="shared" si="0"/>
      </c>
      <c r="J41" s="62"/>
    </row>
    <row r="42" spans="2:9" ht="12.75" customHeight="1">
      <c r="B42" s="14"/>
      <c r="C42" s="15"/>
      <c r="D42" s="15"/>
      <c r="E42" s="38"/>
      <c r="F42" s="28"/>
      <c r="G42" s="71"/>
      <c r="H42" s="71"/>
      <c r="I42" s="90">
        <f t="shared" si="0"/>
      </c>
    </row>
    <row r="43" spans="2:9" ht="12.75" customHeight="1">
      <c r="B43" s="14"/>
      <c r="C43" s="15"/>
      <c r="D43" s="15"/>
      <c r="E43" s="9">
        <v>616000</v>
      </c>
      <c r="F43" s="31" t="s">
        <v>112</v>
      </c>
      <c r="G43" s="63">
        <f>G44</f>
        <v>9300</v>
      </c>
      <c r="H43" s="63">
        <f>H44</f>
        <v>0</v>
      </c>
      <c r="I43" s="89">
        <f t="shared" si="0"/>
        <v>0</v>
      </c>
    </row>
    <row r="44" spans="2:9" ht="12.75" customHeight="1">
      <c r="B44" s="14"/>
      <c r="C44" s="15"/>
      <c r="D44" s="15"/>
      <c r="E44" s="16">
        <v>616300</v>
      </c>
      <c r="F44" s="46" t="s">
        <v>119</v>
      </c>
      <c r="G44" s="71">
        <v>9300</v>
      </c>
      <c r="H44" s="71"/>
      <c r="I44" s="90">
        <f t="shared" si="0"/>
        <v>0</v>
      </c>
    </row>
    <row r="45" spans="2:9" ht="12.75" customHeight="1">
      <c r="B45" s="14"/>
      <c r="C45" s="15"/>
      <c r="D45" s="15"/>
      <c r="E45" s="16"/>
      <c r="F45" s="15"/>
      <c r="G45" s="52"/>
      <c r="H45" s="52"/>
      <c r="I45" s="90">
        <f t="shared" si="0"/>
      </c>
    </row>
    <row r="46" spans="2:9" s="1" customFormat="1" ht="12.75" customHeight="1">
      <c r="B46" s="17"/>
      <c r="C46" s="12"/>
      <c r="D46" s="12"/>
      <c r="E46" s="9">
        <v>821000</v>
      </c>
      <c r="F46" s="12" t="s">
        <v>13</v>
      </c>
      <c r="G46" s="63">
        <f>SUM(G47:G48)</f>
        <v>16100</v>
      </c>
      <c r="H46" s="63">
        <f>SUM(H47:H48)</f>
        <v>0</v>
      </c>
      <c r="I46" s="89">
        <f t="shared" si="0"/>
        <v>0</v>
      </c>
    </row>
    <row r="47" spans="2:9" ht="12.75" customHeight="1">
      <c r="B47" s="14"/>
      <c r="C47" s="15"/>
      <c r="D47" s="15"/>
      <c r="E47" s="16">
        <v>821200</v>
      </c>
      <c r="F47" s="15" t="s">
        <v>14</v>
      </c>
      <c r="G47" s="52">
        <v>0</v>
      </c>
      <c r="H47" s="52"/>
      <c r="I47" s="90">
        <f t="shared" si="0"/>
      </c>
    </row>
    <row r="48" spans="2:9" ht="12.75" customHeight="1">
      <c r="B48" s="14"/>
      <c r="C48" s="15"/>
      <c r="D48" s="15"/>
      <c r="E48" s="16">
        <v>821300</v>
      </c>
      <c r="F48" s="15" t="s">
        <v>15</v>
      </c>
      <c r="G48" s="71">
        <v>16100</v>
      </c>
      <c r="H48" s="71"/>
      <c r="I48" s="90">
        <f t="shared" si="0"/>
        <v>0</v>
      </c>
    </row>
    <row r="49" spans="2:9" ht="12.75" customHeight="1">
      <c r="B49" s="14"/>
      <c r="C49" s="15"/>
      <c r="D49" s="15"/>
      <c r="E49" s="16"/>
      <c r="F49" s="15"/>
      <c r="G49" s="52"/>
      <c r="H49" s="52"/>
      <c r="I49" s="90">
        <f t="shared" si="0"/>
      </c>
    </row>
    <row r="50" spans="2:9" ht="12.75" customHeight="1">
      <c r="B50" s="14"/>
      <c r="C50" s="15"/>
      <c r="D50" s="15"/>
      <c r="E50" s="9">
        <v>823000</v>
      </c>
      <c r="F50" s="12" t="s">
        <v>113</v>
      </c>
      <c r="G50" s="63">
        <f>G51</f>
        <v>75000</v>
      </c>
      <c r="H50" s="63">
        <f>H51</f>
        <v>0</v>
      </c>
      <c r="I50" s="89">
        <f t="shared" si="0"/>
        <v>0</v>
      </c>
    </row>
    <row r="51" spans="2:9" ht="12.75" customHeight="1">
      <c r="B51" s="14"/>
      <c r="C51" s="15"/>
      <c r="D51" s="15"/>
      <c r="E51" s="16">
        <v>823300</v>
      </c>
      <c r="F51" s="26" t="s">
        <v>102</v>
      </c>
      <c r="G51" s="71">
        <v>75000</v>
      </c>
      <c r="H51" s="71"/>
      <c r="I51" s="90">
        <f t="shared" si="0"/>
        <v>0</v>
      </c>
    </row>
    <row r="52" spans="2:9" ht="12.75" customHeight="1">
      <c r="B52" s="14"/>
      <c r="C52" s="15"/>
      <c r="D52" s="15"/>
      <c r="E52" s="16"/>
      <c r="F52" s="26"/>
      <c r="G52" s="52"/>
      <c r="H52" s="52"/>
      <c r="I52" s="90">
        <f t="shared" si="0"/>
      </c>
    </row>
    <row r="53" spans="2:9" ht="12.75" customHeight="1">
      <c r="B53" s="14"/>
      <c r="C53" s="15"/>
      <c r="D53" s="15"/>
      <c r="E53" s="16"/>
      <c r="F53" s="15"/>
      <c r="G53" s="52"/>
      <c r="H53" s="52"/>
      <c r="I53" s="90">
        <f t="shared" si="0"/>
      </c>
    </row>
    <row r="54" spans="2:9" s="1" customFormat="1" ht="12.75" customHeight="1">
      <c r="B54" s="17"/>
      <c r="C54" s="12"/>
      <c r="D54" s="12"/>
      <c r="E54" s="9"/>
      <c r="F54" s="12" t="s">
        <v>16</v>
      </c>
      <c r="G54" s="20">
        <v>10</v>
      </c>
      <c r="H54" s="20"/>
      <c r="I54" s="90"/>
    </row>
    <row r="55" spans="2:9" s="1" customFormat="1" ht="12.75" customHeight="1">
      <c r="B55" s="17"/>
      <c r="C55" s="12"/>
      <c r="D55" s="12"/>
      <c r="E55" s="9"/>
      <c r="F55" s="12" t="s">
        <v>32</v>
      </c>
      <c r="G55" s="20">
        <f>G7+G13+G17+G31+G40+G43+G46+G50</f>
        <v>1559710</v>
      </c>
      <c r="H55" s="20">
        <f>H7+H13+H17+H31+H40+H43+H46+H50</f>
        <v>0</v>
      </c>
      <c r="I55" s="89">
        <f t="shared" si="0"/>
        <v>0</v>
      </c>
    </row>
    <row r="56" spans="2:9" s="1" customFormat="1" ht="12.75" customHeight="1">
      <c r="B56" s="17"/>
      <c r="C56" s="12"/>
      <c r="D56" s="12"/>
      <c r="E56" s="9"/>
      <c r="F56" s="12" t="s">
        <v>17</v>
      </c>
      <c r="G56" s="15"/>
      <c r="H56" s="15"/>
      <c r="I56" s="91"/>
    </row>
    <row r="57" spans="2:9" s="1" customFormat="1" ht="12.75" customHeight="1">
      <c r="B57" s="17"/>
      <c r="C57" s="12"/>
      <c r="D57" s="12"/>
      <c r="E57" s="9"/>
      <c r="F57" s="12" t="s">
        <v>18</v>
      </c>
      <c r="G57" s="15"/>
      <c r="H57" s="15"/>
      <c r="I57" s="91"/>
    </row>
    <row r="58" spans="2:9" ht="12.75" customHeight="1" thickBot="1">
      <c r="B58" s="21"/>
      <c r="C58" s="22"/>
      <c r="D58" s="22"/>
      <c r="E58" s="23"/>
      <c r="F58" s="22"/>
      <c r="G58" s="22"/>
      <c r="H58" s="22"/>
      <c r="I58" s="93"/>
    </row>
    <row r="61" ht="12.75">
      <c r="B61" s="51"/>
    </row>
    <row r="62" ht="12.75">
      <c r="B62" s="51"/>
    </row>
    <row r="63" ht="12.75">
      <c r="B63" s="51"/>
    </row>
    <row r="64" ht="12.75">
      <c r="B64" s="51"/>
    </row>
  </sheetData>
  <sheetProtection/>
  <mergeCells count="2">
    <mergeCell ref="B2:G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&amp;R27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B2:M62"/>
  <sheetViews>
    <sheetView workbookViewId="0" topLeftCell="B1">
      <selection activeCell="H3" sqref="H3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57421875" style="24" customWidth="1"/>
    <col min="6" max="6" width="43.7109375" style="13" customWidth="1"/>
    <col min="7" max="8" width="15.7109375" style="13" customWidth="1"/>
    <col min="9" max="9" width="8.7109375" style="80" customWidth="1"/>
    <col min="10" max="16384" width="9.140625" style="13" customWidth="1"/>
  </cols>
  <sheetData>
    <row r="2" spans="2:9" ht="15" customHeight="1">
      <c r="B2" s="145" t="s">
        <v>38</v>
      </c>
      <c r="C2" s="145"/>
      <c r="D2" s="145"/>
      <c r="E2" s="145"/>
      <c r="F2" s="145"/>
      <c r="G2" s="145"/>
      <c r="H2" s="145"/>
      <c r="I2" s="84"/>
    </row>
    <row r="3" spans="5:9" s="1" customFormat="1" ht="16.5" thickBot="1">
      <c r="E3" s="2"/>
      <c r="F3" s="144" t="s">
        <v>165</v>
      </c>
      <c r="G3" s="144"/>
      <c r="H3" s="108">
        <v>2867100</v>
      </c>
      <c r="I3" s="109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31" t="s">
        <v>147</v>
      </c>
      <c r="H4" s="131" t="s">
        <v>164</v>
      </c>
      <c r="I4" s="86" t="s">
        <v>139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2">
        <v>6</v>
      </c>
      <c r="H5" s="9">
        <v>7</v>
      </c>
      <c r="I5" s="87">
        <v>8</v>
      </c>
    </row>
    <row r="6" spans="2:9" s="2" customFormat="1" ht="12.75" customHeight="1">
      <c r="B6" s="10" t="s">
        <v>39</v>
      </c>
      <c r="C6" s="11" t="s">
        <v>4</v>
      </c>
      <c r="D6" s="11" t="s">
        <v>5</v>
      </c>
      <c r="E6" s="9"/>
      <c r="F6" s="9"/>
      <c r="G6" s="9"/>
      <c r="H6" s="98"/>
      <c r="I6" s="88"/>
    </row>
    <row r="7" spans="2:9" s="2" customFormat="1" ht="12.75" customHeight="1">
      <c r="B7" s="10"/>
      <c r="C7" s="11"/>
      <c r="D7" s="11"/>
      <c r="E7" s="9">
        <v>600000</v>
      </c>
      <c r="F7" s="27" t="s">
        <v>40</v>
      </c>
      <c r="G7" s="99">
        <f>G8+G9+G10</f>
        <v>495000</v>
      </c>
      <c r="H7" s="99">
        <f>H8+H9+H10</f>
        <v>0</v>
      </c>
      <c r="I7" s="127">
        <f aca="true" t="shared" si="0" ref="I7:I56">IF(G7=0,"",H7/G7*100)</f>
        <v>0</v>
      </c>
    </row>
    <row r="8" spans="2:9" s="2" customFormat="1" ht="12.75" customHeight="1">
      <c r="B8" s="10"/>
      <c r="C8" s="11"/>
      <c r="D8" s="11"/>
      <c r="E8" s="38">
        <v>600000</v>
      </c>
      <c r="F8" s="39" t="s">
        <v>20</v>
      </c>
      <c r="G8" s="97">
        <v>450000</v>
      </c>
      <c r="H8" s="97"/>
      <c r="I8" s="90">
        <f t="shared" si="0"/>
        <v>0</v>
      </c>
    </row>
    <row r="9" spans="2:9" s="2" customFormat="1" ht="12.75" customHeight="1">
      <c r="B9" s="10"/>
      <c r="C9" s="11"/>
      <c r="D9" s="11"/>
      <c r="E9" s="38">
        <v>600000</v>
      </c>
      <c r="F9" s="39" t="s">
        <v>21</v>
      </c>
      <c r="G9" s="97">
        <v>30000</v>
      </c>
      <c r="H9" s="97"/>
      <c r="I9" s="90">
        <f t="shared" si="0"/>
        <v>0</v>
      </c>
    </row>
    <row r="10" spans="2:9" s="2" customFormat="1" ht="12.75" customHeight="1">
      <c r="B10" s="10"/>
      <c r="C10" s="11"/>
      <c r="D10" s="11"/>
      <c r="E10" s="38">
        <v>600000</v>
      </c>
      <c r="F10" s="39" t="s">
        <v>41</v>
      </c>
      <c r="G10" s="97">
        <v>15000</v>
      </c>
      <c r="H10" s="97"/>
      <c r="I10" s="90">
        <f t="shared" si="0"/>
        <v>0</v>
      </c>
    </row>
    <row r="11" spans="2:9" s="2" customFormat="1" ht="12.75" customHeight="1">
      <c r="B11" s="10"/>
      <c r="C11" s="11"/>
      <c r="D11" s="11"/>
      <c r="E11" s="9"/>
      <c r="F11" s="9"/>
      <c r="G11" s="100"/>
      <c r="H11" s="100"/>
      <c r="I11" s="90">
        <f t="shared" si="0"/>
      </c>
    </row>
    <row r="12" spans="2:9" s="1" customFormat="1" ht="12.75" customHeight="1">
      <c r="B12" s="17"/>
      <c r="C12" s="12"/>
      <c r="D12" s="12"/>
      <c r="E12" s="9">
        <v>611000</v>
      </c>
      <c r="F12" s="12" t="s">
        <v>82</v>
      </c>
      <c r="G12" s="142">
        <f>SUM(G13:G16)</f>
        <v>342050</v>
      </c>
      <c r="H12" s="142">
        <f>SUM(H13:H16)</f>
        <v>0</v>
      </c>
      <c r="I12" s="127">
        <f t="shared" si="0"/>
        <v>0</v>
      </c>
    </row>
    <row r="13" spans="2:9" ht="12.75" customHeight="1">
      <c r="B13" s="14"/>
      <c r="C13" s="15"/>
      <c r="D13" s="15"/>
      <c r="E13" s="16">
        <v>611100</v>
      </c>
      <c r="F13" s="26" t="s">
        <v>107</v>
      </c>
      <c r="G13" s="137">
        <f>104200+16900+5100+850</f>
        <v>127050</v>
      </c>
      <c r="H13" s="137"/>
      <c r="I13" s="90">
        <f t="shared" si="0"/>
        <v>0</v>
      </c>
    </row>
    <row r="14" spans="2:9" ht="12.75" customHeight="1">
      <c r="B14" s="14"/>
      <c r="C14" s="15"/>
      <c r="D14" s="15"/>
      <c r="E14" s="16">
        <v>611200</v>
      </c>
      <c r="F14" s="15" t="s">
        <v>108</v>
      </c>
      <c r="G14" s="137">
        <f>22900+3100</f>
        <v>26000</v>
      </c>
      <c r="H14" s="137"/>
      <c r="I14" s="90">
        <f t="shared" si="0"/>
        <v>0</v>
      </c>
    </row>
    <row r="15" spans="2:11" ht="12.75" customHeight="1">
      <c r="B15" s="14"/>
      <c r="C15" s="15"/>
      <c r="D15" s="15"/>
      <c r="E15" s="16">
        <v>611200</v>
      </c>
      <c r="F15" s="134" t="s">
        <v>157</v>
      </c>
      <c r="G15" s="137">
        <v>189000</v>
      </c>
      <c r="H15" s="137"/>
      <c r="I15" s="90">
        <f t="shared" si="0"/>
        <v>0</v>
      </c>
      <c r="K15" s="54"/>
    </row>
    <row r="16" spans="2:9" ht="12.75" customHeight="1">
      <c r="B16" s="14"/>
      <c r="C16" s="15"/>
      <c r="D16" s="15"/>
      <c r="E16" s="16"/>
      <c r="F16" s="26"/>
      <c r="G16" s="142"/>
      <c r="H16" s="142"/>
      <c r="I16" s="90">
        <f t="shared" si="0"/>
      </c>
    </row>
    <row r="17" spans="2:9" ht="12.75" customHeight="1">
      <c r="B17" s="14"/>
      <c r="C17" s="15"/>
      <c r="D17" s="15"/>
      <c r="E17" s="16"/>
      <c r="F17" s="15"/>
      <c r="G17" s="137"/>
      <c r="H17" s="137"/>
      <c r="I17" s="90">
        <f t="shared" si="0"/>
      </c>
    </row>
    <row r="18" spans="2:9" s="1" customFormat="1" ht="12.75" customHeight="1">
      <c r="B18" s="17"/>
      <c r="C18" s="12"/>
      <c r="D18" s="12"/>
      <c r="E18" s="9">
        <v>612000</v>
      </c>
      <c r="F18" s="12" t="s">
        <v>81</v>
      </c>
      <c r="G18" s="142">
        <f>G19+G20</f>
        <v>14010</v>
      </c>
      <c r="H18" s="142">
        <f>H19+H20</f>
        <v>0</v>
      </c>
      <c r="I18" s="127">
        <f t="shared" si="0"/>
        <v>0</v>
      </c>
    </row>
    <row r="19" spans="2:9" ht="12.75" customHeight="1">
      <c r="B19" s="14"/>
      <c r="C19" s="15"/>
      <c r="D19" s="15"/>
      <c r="E19" s="16">
        <v>612100</v>
      </c>
      <c r="F19" s="18" t="s">
        <v>6</v>
      </c>
      <c r="G19" s="137">
        <f>11500+1860+550+100</f>
        <v>14010</v>
      </c>
      <c r="H19" s="137"/>
      <c r="I19" s="90">
        <f t="shared" si="0"/>
        <v>0</v>
      </c>
    </row>
    <row r="20" spans="2:9" ht="12.75" customHeight="1">
      <c r="B20" s="14"/>
      <c r="C20" s="15"/>
      <c r="D20" s="15"/>
      <c r="E20" s="16"/>
      <c r="F20" s="15"/>
      <c r="G20" s="94"/>
      <c r="H20" s="94"/>
      <c r="I20" s="90">
        <f t="shared" si="0"/>
      </c>
    </row>
    <row r="21" spans="2:9" ht="12.75" customHeight="1">
      <c r="B21" s="14"/>
      <c r="C21" s="15"/>
      <c r="D21" s="15"/>
      <c r="E21" s="16"/>
      <c r="F21" s="15"/>
      <c r="G21" s="94"/>
      <c r="H21" s="94"/>
      <c r="I21" s="90">
        <f t="shared" si="0"/>
      </c>
    </row>
    <row r="22" spans="2:9" s="1" customFormat="1" ht="12.75" customHeight="1">
      <c r="B22" s="17"/>
      <c r="C22" s="12"/>
      <c r="D22" s="12"/>
      <c r="E22" s="9">
        <v>613000</v>
      </c>
      <c r="F22" s="12" t="s">
        <v>83</v>
      </c>
      <c r="G22" s="95">
        <f>SUM(G23:G33)</f>
        <v>398600</v>
      </c>
      <c r="H22" s="95">
        <f>SUM(H23:H33)</f>
        <v>0</v>
      </c>
      <c r="I22" s="127">
        <f t="shared" si="0"/>
        <v>0</v>
      </c>
    </row>
    <row r="23" spans="2:9" ht="12.75" customHeight="1">
      <c r="B23" s="14"/>
      <c r="C23" s="15"/>
      <c r="D23" s="15"/>
      <c r="E23" s="16">
        <v>613100</v>
      </c>
      <c r="F23" s="15" t="s">
        <v>7</v>
      </c>
      <c r="G23" s="94">
        <v>14000</v>
      </c>
      <c r="H23" s="94"/>
      <c r="I23" s="90">
        <f t="shared" si="0"/>
        <v>0</v>
      </c>
    </row>
    <row r="24" spans="2:9" ht="12.75" customHeight="1">
      <c r="B24" s="14"/>
      <c r="C24" s="15"/>
      <c r="D24" s="15"/>
      <c r="E24" s="16">
        <v>613200</v>
      </c>
      <c r="F24" s="15" t="s">
        <v>8</v>
      </c>
      <c r="G24" s="94">
        <v>0</v>
      </c>
      <c r="H24" s="94"/>
      <c r="I24" s="90">
        <f t="shared" si="0"/>
      </c>
    </row>
    <row r="25" spans="2:9" ht="12.75" customHeight="1">
      <c r="B25" s="14"/>
      <c r="C25" s="15"/>
      <c r="D25" s="15"/>
      <c r="E25" s="16">
        <v>613300</v>
      </c>
      <c r="F25" s="26" t="s">
        <v>109</v>
      </c>
      <c r="G25" s="94">
        <v>5500</v>
      </c>
      <c r="H25" s="94"/>
      <c r="I25" s="90">
        <f t="shared" si="0"/>
        <v>0</v>
      </c>
    </row>
    <row r="26" spans="2:9" ht="12.75" customHeight="1">
      <c r="B26" s="14"/>
      <c r="C26" s="15"/>
      <c r="D26" s="15"/>
      <c r="E26" s="16">
        <v>613400</v>
      </c>
      <c r="F26" s="15" t="s">
        <v>84</v>
      </c>
      <c r="G26" s="94">
        <v>1500</v>
      </c>
      <c r="H26" s="94"/>
      <c r="I26" s="90">
        <f t="shared" si="0"/>
        <v>0</v>
      </c>
    </row>
    <row r="27" spans="2:9" ht="12.75" customHeight="1">
      <c r="B27" s="14"/>
      <c r="C27" s="15"/>
      <c r="D27" s="15"/>
      <c r="E27" s="16">
        <v>613500</v>
      </c>
      <c r="F27" s="15" t="s">
        <v>9</v>
      </c>
      <c r="G27" s="96">
        <v>1500</v>
      </c>
      <c r="H27" s="96"/>
      <c r="I27" s="90">
        <f t="shared" si="0"/>
        <v>0</v>
      </c>
    </row>
    <row r="28" spans="2:9" ht="12.75" customHeight="1">
      <c r="B28" s="14"/>
      <c r="C28" s="15"/>
      <c r="D28" s="15"/>
      <c r="E28" s="16">
        <v>613600</v>
      </c>
      <c r="F28" s="26" t="s">
        <v>110</v>
      </c>
      <c r="G28" s="94">
        <v>0</v>
      </c>
      <c r="H28" s="94"/>
      <c r="I28" s="90">
        <f t="shared" si="0"/>
      </c>
    </row>
    <row r="29" spans="2:9" ht="12.75" customHeight="1">
      <c r="B29" s="14"/>
      <c r="C29" s="15"/>
      <c r="D29" s="15"/>
      <c r="E29" s="16">
        <v>613700</v>
      </c>
      <c r="F29" s="15" t="s">
        <v>10</v>
      </c>
      <c r="G29" s="94">
        <v>7000</v>
      </c>
      <c r="H29" s="94"/>
      <c r="I29" s="90">
        <f t="shared" si="0"/>
        <v>0</v>
      </c>
    </row>
    <row r="30" spans="2:9" ht="12.75" customHeight="1">
      <c r="B30" s="14"/>
      <c r="C30" s="15"/>
      <c r="D30" s="15"/>
      <c r="E30" s="16">
        <v>613800</v>
      </c>
      <c r="F30" s="15" t="s">
        <v>85</v>
      </c>
      <c r="G30" s="97">
        <v>4500</v>
      </c>
      <c r="H30" s="97"/>
      <c r="I30" s="90">
        <f t="shared" si="0"/>
        <v>0</v>
      </c>
    </row>
    <row r="31" spans="2:10" ht="12.75" customHeight="1">
      <c r="B31" s="14"/>
      <c r="C31" s="15"/>
      <c r="D31" s="15"/>
      <c r="E31" s="73">
        <v>613900</v>
      </c>
      <c r="F31" s="19" t="s">
        <v>86</v>
      </c>
      <c r="G31" s="97">
        <v>138100</v>
      </c>
      <c r="H31" s="97"/>
      <c r="I31" s="90">
        <f t="shared" si="0"/>
        <v>0</v>
      </c>
      <c r="J31" s="51"/>
    </row>
    <row r="32" spans="2:9" ht="12.75" customHeight="1">
      <c r="B32" s="14"/>
      <c r="C32" s="15"/>
      <c r="D32" s="15"/>
      <c r="E32" s="16">
        <v>613900</v>
      </c>
      <c r="F32" s="26" t="s">
        <v>115</v>
      </c>
      <c r="G32" s="97">
        <v>36000</v>
      </c>
      <c r="H32" s="97"/>
      <c r="I32" s="90">
        <f t="shared" si="0"/>
        <v>0</v>
      </c>
    </row>
    <row r="33" spans="2:9" ht="12.75" customHeight="1">
      <c r="B33" s="14"/>
      <c r="C33" s="15"/>
      <c r="D33" s="15"/>
      <c r="E33" s="16">
        <v>613900</v>
      </c>
      <c r="F33" s="134" t="s">
        <v>158</v>
      </c>
      <c r="G33" s="94">
        <v>190500</v>
      </c>
      <c r="H33" s="94"/>
      <c r="I33" s="90">
        <f t="shared" si="0"/>
        <v>0</v>
      </c>
    </row>
    <row r="34" spans="2:9" ht="12.75" customHeight="1">
      <c r="B34" s="14"/>
      <c r="C34" s="15"/>
      <c r="D34" s="15"/>
      <c r="E34" s="16"/>
      <c r="F34" s="15"/>
      <c r="G34" s="94"/>
      <c r="H34" s="94"/>
      <c r="I34" s="90">
        <f t="shared" si="0"/>
      </c>
    </row>
    <row r="35" spans="2:9" s="1" customFormat="1" ht="12.75" customHeight="1">
      <c r="B35" s="17"/>
      <c r="C35" s="12"/>
      <c r="D35" s="12"/>
      <c r="E35" s="9">
        <v>614000</v>
      </c>
      <c r="F35" s="12" t="s">
        <v>111</v>
      </c>
      <c r="G35" s="100">
        <f>SUM(G36:G45)</f>
        <v>850000</v>
      </c>
      <c r="H35" s="100">
        <f>SUM(H36:H45)</f>
        <v>0</v>
      </c>
      <c r="I35" s="127">
        <f t="shared" si="0"/>
        <v>0</v>
      </c>
    </row>
    <row r="36" spans="2:9" s="58" customFormat="1" ht="12.75" customHeight="1">
      <c r="B36" s="59"/>
      <c r="C36" s="18"/>
      <c r="D36" s="18"/>
      <c r="E36" s="38">
        <v>614100</v>
      </c>
      <c r="F36" s="18" t="s">
        <v>135</v>
      </c>
      <c r="G36" s="96">
        <v>200000</v>
      </c>
      <c r="H36" s="96"/>
      <c r="I36" s="90">
        <f t="shared" si="0"/>
        <v>0</v>
      </c>
    </row>
    <row r="37" spans="2:9" s="58" customFormat="1" ht="12.75" customHeight="1">
      <c r="B37" s="59"/>
      <c r="C37" s="18"/>
      <c r="D37" s="18"/>
      <c r="E37" s="38">
        <v>614100</v>
      </c>
      <c r="F37" s="70" t="s">
        <v>136</v>
      </c>
      <c r="G37" s="96">
        <v>200000</v>
      </c>
      <c r="H37" s="96"/>
      <c r="I37" s="90">
        <f t="shared" si="0"/>
        <v>0</v>
      </c>
    </row>
    <row r="38" spans="2:13" s="125" customFormat="1" ht="26.25" customHeight="1">
      <c r="B38" s="120"/>
      <c r="C38" s="121"/>
      <c r="D38" s="121"/>
      <c r="E38" s="122">
        <v>614200</v>
      </c>
      <c r="F38" s="123" t="s">
        <v>137</v>
      </c>
      <c r="G38" s="124">
        <v>100000</v>
      </c>
      <c r="H38" s="124"/>
      <c r="I38" s="116">
        <f t="shared" si="0"/>
        <v>0</v>
      </c>
      <c r="M38" s="126"/>
    </row>
    <row r="39" spans="2:9" ht="24.75" customHeight="1">
      <c r="B39" s="14"/>
      <c r="C39" s="15"/>
      <c r="D39" s="15"/>
      <c r="E39" s="16">
        <v>614300</v>
      </c>
      <c r="F39" s="140" t="s">
        <v>151</v>
      </c>
      <c r="G39" s="101">
        <v>70000</v>
      </c>
      <c r="H39" s="101"/>
      <c r="I39" s="90">
        <f t="shared" si="0"/>
        <v>0</v>
      </c>
    </row>
    <row r="40" spans="2:9" ht="12.75" customHeight="1">
      <c r="B40" s="14"/>
      <c r="C40" s="15"/>
      <c r="D40" s="15"/>
      <c r="E40" s="16">
        <v>614300</v>
      </c>
      <c r="F40" s="65" t="s">
        <v>126</v>
      </c>
      <c r="G40" s="101">
        <v>30000</v>
      </c>
      <c r="H40" s="101"/>
      <c r="I40" s="90">
        <f t="shared" si="0"/>
        <v>0</v>
      </c>
    </row>
    <row r="41" spans="2:9" ht="12.75" customHeight="1">
      <c r="B41" s="14"/>
      <c r="C41" s="15"/>
      <c r="D41" s="15"/>
      <c r="E41" s="16">
        <v>614300</v>
      </c>
      <c r="F41" s="65" t="s">
        <v>129</v>
      </c>
      <c r="G41" s="101">
        <v>25000</v>
      </c>
      <c r="H41" s="101"/>
      <c r="I41" s="90">
        <f t="shared" si="0"/>
        <v>0</v>
      </c>
    </row>
    <row r="42" spans="2:9" ht="12.75" customHeight="1">
      <c r="B42" s="14"/>
      <c r="C42" s="15"/>
      <c r="D42" s="15"/>
      <c r="E42" s="16">
        <v>614300</v>
      </c>
      <c r="F42" s="65" t="s">
        <v>163</v>
      </c>
      <c r="G42" s="101">
        <v>25000</v>
      </c>
      <c r="H42" s="101"/>
      <c r="I42" s="90">
        <f t="shared" si="0"/>
        <v>0</v>
      </c>
    </row>
    <row r="43" spans="2:9" ht="24.75" customHeight="1">
      <c r="B43" s="14"/>
      <c r="C43" s="15"/>
      <c r="D43" s="15"/>
      <c r="E43" s="16">
        <v>614300</v>
      </c>
      <c r="F43" s="133" t="s">
        <v>144</v>
      </c>
      <c r="G43" s="101">
        <v>10000</v>
      </c>
      <c r="H43" s="101"/>
      <c r="I43" s="90">
        <f t="shared" si="0"/>
        <v>0</v>
      </c>
    </row>
    <row r="44" spans="2:9" ht="12.75" customHeight="1">
      <c r="B44" s="14"/>
      <c r="C44" s="15"/>
      <c r="D44" s="15"/>
      <c r="E44" s="16">
        <v>614300</v>
      </c>
      <c r="F44" s="65" t="s">
        <v>128</v>
      </c>
      <c r="G44" s="101">
        <v>30000</v>
      </c>
      <c r="H44" s="101"/>
      <c r="I44" s="90">
        <f t="shared" si="0"/>
        <v>0</v>
      </c>
    </row>
    <row r="45" spans="2:9" ht="12.75" customHeight="1">
      <c r="B45" s="14"/>
      <c r="C45" s="15"/>
      <c r="D45" s="15"/>
      <c r="E45" s="16">
        <v>614300</v>
      </c>
      <c r="F45" s="132" t="s">
        <v>19</v>
      </c>
      <c r="G45" s="101">
        <v>160000</v>
      </c>
      <c r="H45" s="101"/>
      <c r="I45" s="90">
        <f t="shared" si="0"/>
        <v>0</v>
      </c>
    </row>
    <row r="46" spans="2:9" ht="12.75" customHeight="1">
      <c r="B46" s="14"/>
      <c r="C46" s="15"/>
      <c r="D46" s="15"/>
      <c r="E46" s="16"/>
      <c r="F46" s="65"/>
      <c r="G46" s="101"/>
      <c r="H46" s="101"/>
      <c r="I46" s="90">
        <f t="shared" si="0"/>
      </c>
    </row>
    <row r="47" spans="2:9" ht="12.75" customHeight="1">
      <c r="B47" s="14"/>
      <c r="C47" s="15"/>
      <c r="D47" s="15"/>
      <c r="E47" s="9">
        <v>615000</v>
      </c>
      <c r="F47" s="12" t="s">
        <v>12</v>
      </c>
      <c r="G47" s="100">
        <f>G48</f>
        <v>400000</v>
      </c>
      <c r="H47" s="100">
        <f>H48</f>
        <v>0</v>
      </c>
      <c r="I47" s="127">
        <f t="shared" si="0"/>
        <v>0</v>
      </c>
    </row>
    <row r="48" spans="2:9" ht="12.75" customHeight="1">
      <c r="B48" s="14"/>
      <c r="C48" s="15"/>
      <c r="D48" s="15"/>
      <c r="E48" s="38">
        <v>615100</v>
      </c>
      <c r="F48" s="18" t="s">
        <v>12</v>
      </c>
      <c r="G48" s="96">
        <v>400000</v>
      </c>
      <c r="H48" s="96"/>
      <c r="I48" s="90">
        <f t="shared" si="0"/>
        <v>0</v>
      </c>
    </row>
    <row r="49" spans="2:9" ht="12.75" customHeight="1">
      <c r="B49" s="14"/>
      <c r="C49" s="15"/>
      <c r="D49" s="15"/>
      <c r="E49" s="16"/>
      <c r="F49" s="19"/>
      <c r="G49" s="97"/>
      <c r="H49" s="97"/>
      <c r="I49" s="90">
        <f t="shared" si="0"/>
      </c>
    </row>
    <row r="50" spans="2:9" ht="12.75" customHeight="1">
      <c r="B50" s="17"/>
      <c r="C50" s="12"/>
      <c r="D50" s="12"/>
      <c r="E50" s="9">
        <v>821000</v>
      </c>
      <c r="F50" s="12" t="s">
        <v>13</v>
      </c>
      <c r="G50" s="20">
        <f>SUM(G51:G53)</f>
        <v>55000</v>
      </c>
      <c r="H50" s="20">
        <f>SUM(H51:H53)</f>
        <v>0</v>
      </c>
      <c r="I50" s="127">
        <f t="shared" si="0"/>
        <v>0</v>
      </c>
    </row>
    <row r="51" spans="2:9" ht="12.75" customHeight="1">
      <c r="B51" s="14"/>
      <c r="C51" s="15"/>
      <c r="D51" s="15"/>
      <c r="E51" s="16">
        <v>821200</v>
      </c>
      <c r="F51" s="15" t="s">
        <v>14</v>
      </c>
      <c r="G51" s="52">
        <v>0</v>
      </c>
      <c r="H51" s="52"/>
      <c r="I51" s="90">
        <f t="shared" si="0"/>
      </c>
    </row>
    <row r="52" spans="2:9" ht="12.75" customHeight="1">
      <c r="B52" s="14"/>
      <c r="C52" s="15"/>
      <c r="D52" s="15"/>
      <c r="E52" s="16">
        <v>821300</v>
      </c>
      <c r="F52" s="15" t="s">
        <v>15</v>
      </c>
      <c r="G52" s="71">
        <v>5000</v>
      </c>
      <c r="H52" s="71"/>
      <c r="I52" s="90">
        <f t="shared" si="0"/>
        <v>0</v>
      </c>
    </row>
    <row r="53" spans="2:9" ht="12.75" customHeight="1">
      <c r="B53" s="14"/>
      <c r="C53" s="15"/>
      <c r="D53" s="15"/>
      <c r="E53" s="16">
        <v>821500</v>
      </c>
      <c r="F53" s="15" t="s">
        <v>146</v>
      </c>
      <c r="G53" s="105">
        <v>50000</v>
      </c>
      <c r="H53" s="105"/>
      <c r="I53" s="90">
        <f t="shared" si="0"/>
        <v>0</v>
      </c>
    </row>
    <row r="54" spans="2:9" s="1" customFormat="1" ht="12.75" customHeight="1">
      <c r="B54" s="14"/>
      <c r="C54" s="15"/>
      <c r="D54" s="15"/>
      <c r="E54" s="16"/>
      <c r="F54" s="15"/>
      <c r="G54" s="20"/>
      <c r="H54" s="20"/>
      <c r="I54" s="90">
        <f t="shared" si="0"/>
      </c>
    </row>
    <row r="55" spans="2:9" ht="12.75" customHeight="1">
      <c r="B55" s="17"/>
      <c r="C55" s="12"/>
      <c r="D55" s="12"/>
      <c r="E55" s="9"/>
      <c r="F55" s="12" t="s">
        <v>16</v>
      </c>
      <c r="G55" s="20">
        <v>6</v>
      </c>
      <c r="H55" s="20"/>
      <c r="I55" s="90"/>
    </row>
    <row r="56" spans="2:9" ht="12.75" customHeight="1">
      <c r="B56" s="17"/>
      <c r="C56" s="12"/>
      <c r="D56" s="12"/>
      <c r="E56" s="9"/>
      <c r="F56" s="12" t="s">
        <v>32</v>
      </c>
      <c r="G56" s="20">
        <f>G7+G12+G18+G22+G35+G47+G50</f>
        <v>2554660</v>
      </c>
      <c r="H56" s="20">
        <f>H7+H12+H18+H22+H35+H47+H50</f>
        <v>0</v>
      </c>
      <c r="I56" s="127">
        <f t="shared" si="0"/>
        <v>0</v>
      </c>
    </row>
    <row r="57" spans="2:9" ht="12.75" customHeight="1">
      <c r="B57" s="17"/>
      <c r="C57" s="12"/>
      <c r="D57" s="12"/>
      <c r="E57" s="9"/>
      <c r="F57" s="12" t="s">
        <v>17</v>
      </c>
      <c r="G57" s="20"/>
      <c r="H57" s="15"/>
      <c r="I57" s="91"/>
    </row>
    <row r="58" spans="2:9" ht="12.75" customHeight="1">
      <c r="B58" s="17"/>
      <c r="C58" s="12"/>
      <c r="D58" s="12"/>
      <c r="E58" s="9"/>
      <c r="F58" s="12" t="s">
        <v>18</v>
      </c>
      <c r="G58" s="20"/>
      <c r="H58" s="15"/>
      <c r="I58" s="91"/>
    </row>
    <row r="59" spans="2:9" s="1" customFormat="1" ht="12.75" customHeight="1" thickBot="1">
      <c r="B59" s="21"/>
      <c r="C59" s="22"/>
      <c r="D59" s="22"/>
      <c r="E59" s="23"/>
      <c r="F59" s="22"/>
      <c r="G59" s="35"/>
      <c r="H59" s="22"/>
      <c r="I59" s="93"/>
    </row>
    <row r="60" spans="2:9" s="1" customFormat="1" ht="12.75" customHeight="1">
      <c r="B60" s="13"/>
      <c r="C60" s="13"/>
      <c r="D60" s="13"/>
      <c r="E60" s="24"/>
      <c r="F60" s="13"/>
      <c r="G60" s="13"/>
      <c r="H60" s="13"/>
      <c r="I60" s="80"/>
    </row>
    <row r="61" spans="2:9" s="1" customFormat="1" ht="12.75" customHeight="1">
      <c r="B61" s="13"/>
      <c r="C61" s="13"/>
      <c r="D61" s="13"/>
      <c r="E61" s="24"/>
      <c r="F61" s="13"/>
      <c r="G61" s="13"/>
      <c r="H61" s="13"/>
      <c r="I61" s="80"/>
    </row>
    <row r="62" spans="2:9" s="1" customFormat="1" ht="12.75" customHeight="1">
      <c r="B62" s="13"/>
      <c r="C62" s="13"/>
      <c r="D62" s="13"/>
      <c r="E62" s="24"/>
      <c r="F62" s="13"/>
      <c r="G62" s="13"/>
      <c r="H62" s="13"/>
      <c r="I62" s="80"/>
    </row>
    <row r="63" ht="12.75" customHeight="1"/>
  </sheetData>
  <sheetProtection/>
  <mergeCells count="2">
    <mergeCell ref="B2:H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&amp;R10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5"/>
  <dimension ref="B2:L62"/>
  <sheetViews>
    <sheetView zoomScaleSheetLayoutView="100" workbookViewId="0" topLeftCell="C1">
      <selection activeCell="H4" sqref="H4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1.140625" style="24" customWidth="1"/>
    <col min="6" max="6" width="43.7109375" style="13" customWidth="1"/>
    <col min="7" max="7" width="15.7109375" style="13" customWidth="1"/>
    <col min="8" max="8" width="15.7109375" style="55" customWidth="1"/>
    <col min="9" max="9" width="8.7109375" style="80" customWidth="1"/>
    <col min="10" max="16384" width="9.140625" style="13" customWidth="1"/>
  </cols>
  <sheetData>
    <row r="2" spans="2:7" ht="15" customHeight="1">
      <c r="B2" s="143" t="s">
        <v>87</v>
      </c>
      <c r="C2" s="143"/>
      <c r="D2" s="143"/>
      <c r="E2" s="143"/>
      <c r="F2" s="143"/>
      <c r="G2" s="143"/>
    </row>
    <row r="3" spans="5:9" s="1" customFormat="1" ht="16.5" thickBot="1">
      <c r="E3" s="2"/>
      <c r="F3" s="144" t="s">
        <v>165</v>
      </c>
      <c r="G3" s="144"/>
      <c r="H3" s="108">
        <v>1389870</v>
      </c>
      <c r="I3" s="109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31" t="s">
        <v>147</v>
      </c>
      <c r="H4" s="131" t="s">
        <v>164</v>
      </c>
      <c r="I4" s="86" t="s">
        <v>139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2">
        <v>6</v>
      </c>
      <c r="H5" s="9">
        <v>7</v>
      </c>
      <c r="I5" s="87">
        <v>8</v>
      </c>
    </row>
    <row r="6" spans="2:9" s="2" customFormat="1" ht="12.75" customHeight="1">
      <c r="B6" s="10" t="s">
        <v>63</v>
      </c>
      <c r="C6" s="11" t="s">
        <v>52</v>
      </c>
      <c r="D6" s="11" t="s">
        <v>37</v>
      </c>
      <c r="E6" s="9"/>
      <c r="F6" s="9"/>
      <c r="G6" s="32"/>
      <c r="H6" s="102"/>
      <c r="I6" s="88"/>
    </row>
    <row r="7" spans="2:9" s="1" customFormat="1" ht="12.75" customHeight="1">
      <c r="B7" s="17"/>
      <c r="C7" s="12"/>
      <c r="D7" s="12"/>
      <c r="E7" s="9">
        <v>611000</v>
      </c>
      <c r="F7" s="12" t="s">
        <v>82</v>
      </c>
      <c r="G7" s="136">
        <f>SUM(G8:G11)</f>
        <v>1125570</v>
      </c>
      <c r="H7" s="136">
        <f>SUM(H8:H11)</f>
        <v>0</v>
      </c>
      <c r="I7" s="89">
        <f aca="true" t="shared" si="0" ref="I7:I42">IF(G7=0,"",H7/G7*100)</f>
        <v>0</v>
      </c>
    </row>
    <row r="8" spans="2:9" ht="12.75" customHeight="1">
      <c r="B8" s="14"/>
      <c r="C8" s="15"/>
      <c r="D8" s="15"/>
      <c r="E8" s="16">
        <v>611100</v>
      </c>
      <c r="F8" s="26" t="s">
        <v>107</v>
      </c>
      <c r="G8" s="138">
        <f>856300+10160+42800</f>
        <v>909260</v>
      </c>
      <c r="H8" s="138"/>
      <c r="I8" s="90">
        <f t="shared" si="0"/>
        <v>0</v>
      </c>
    </row>
    <row r="9" spans="2:9" ht="12.75" customHeight="1">
      <c r="B9" s="14"/>
      <c r="C9" s="15"/>
      <c r="D9" s="15"/>
      <c r="E9" s="16">
        <v>611200</v>
      </c>
      <c r="F9" s="15" t="s">
        <v>108</v>
      </c>
      <c r="G9" s="138">
        <f>196000+7500+12810</f>
        <v>216310</v>
      </c>
      <c r="H9" s="138"/>
      <c r="I9" s="90">
        <f t="shared" si="0"/>
        <v>0</v>
      </c>
    </row>
    <row r="10" spans="2:11" ht="12.75" customHeight="1">
      <c r="B10" s="14"/>
      <c r="C10" s="15"/>
      <c r="D10" s="15"/>
      <c r="E10" s="16">
        <v>611200</v>
      </c>
      <c r="F10" s="134" t="s">
        <v>148</v>
      </c>
      <c r="G10" s="135">
        <v>0</v>
      </c>
      <c r="H10" s="135"/>
      <c r="I10" s="90">
        <f t="shared" si="0"/>
      </c>
      <c r="K10" s="54"/>
    </row>
    <row r="11" spans="2:9" ht="12.75" customHeight="1">
      <c r="B11" s="14"/>
      <c r="C11" s="15"/>
      <c r="D11" s="15"/>
      <c r="E11" s="16"/>
      <c r="F11" s="26"/>
      <c r="G11" s="138"/>
      <c r="H11" s="138"/>
      <c r="I11" s="90">
        <f t="shared" si="0"/>
      </c>
    </row>
    <row r="12" spans="2:11" ht="12.75" customHeight="1">
      <c r="B12" s="14"/>
      <c r="C12" s="15"/>
      <c r="D12" s="15"/>
      <c r="E12" s="16"/>
      <c r="F12" s="15"/>
      <c r="G12" s="136"/>
      <c r="H12" s="136"/>
      <c r="I12" s="90">
        <f t="shared" si="0"/>
      </c>
      <c r="K12" s="51" t="s">
        <v>94</v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81</v>
      </c>
      <c r="G13" s="136">
        <f>G14</f>
        <v>96800</v>
      </c>
      <c r="H13" s="136">
        <f>H14</f>
        <v>0</v>
      </c>
      <c r="I13" s="89">
        <f t="shared" si="0"/>
        <v>0</v>
      </c>
    </row>
    <row r="14" spans="2:9" ht="12.75" customHeight="1">
      <c r="B14" s="14"/>
      <c r="C14" s="15"/>
      <c r="D14" s="15"/>
      <c r="E14" s="16">
        <v>612100</v>
      </c>
      <c r="F14" s="18" t="s">
        <v>6</v>
      </c>
      <c r="G14" s="138">
        <f>92200+4600</f>
        <v>96800</v>
      </c>
      <c r="H14" s="138"/>
      <c r="I14" s="90">
        <f t="shared" si="0"/>
        <v>0</v>
      </c>
    </row>
    <row r="15" spans="2:9" ht="12.75" customHeight="1">
      <c r="B15" s="14"/>
      <c r="C15" s="15"/>
      <c r="D15" s="15"/>
      <c r="E15" s="16"/>
      <c r="F15" s="15"/>
      <c r="G15" s="34"/>
      <c r="H15" s="34"/>
      <c r="I15" s="90">
        <f t="shared" si="0"/>
      </c>
    </row>
    <row r="16" spans="2:9" ht="12.75" customHeight="1">
      <c r="B16" s="14"/>
      <c r="C16" s="15"/>
      <c r="D16" s="15"/>
      <c r="E16" s="16"/>
      <c r="F16" s="15"/>
      <c r="G16" s="20"/>
      <c r="H16" s="20"/>
      <c r="I16" s="90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83</v>
      </c>
      <c r="G17" s="37">
        <f>SUM(G18:G27)</f>
        <v>167500</v>
      </c>
      <c r="H17" s="37">
        <f>SUM(H18:H27)</f>
        <v>0</v>
      </c>
      <c r="I17" s="89">
        <f t="shared" si="0"/>
        <v>0</v>
      </c>
    </row>
    <row r="18" spans="2:9" ht="12.75" customHeight="1">
      <c r="B18" s="14"/>
      <c r="C18" s="15"/>
      <c r="D18" s="15"/>
      <c r="E18" s="16">
        <v>613100</v>
      </c>
      <c r="F18" s="15" t="s">
        <v>7</v>
      </c>
      <c r="G18" s="34">
        <v>6000</v>
      </c>
      <c r="H18" s="34"/>
      <c r="I18" s="90">
        <f t="shared" si="0"/>
        <v>0</v>
      </c>
    </row>
    <row r="19" spans="2:9" ht="12.75" customHeight="1">
      <c r="B19" s="14"/>
      <c r="C19" s="15"/>
      <c r="D19" s="15"/>
      <c r="E19" s="16">
        <v>613200</v>
      </c>
      <c r="F19" s="15" t="s">
        <v>8</v>
      </c>
      <c r="G19" s="34">
        <v>70000</v>
      </c>
      <c r="H19" s="34"/>
      <c r="I19" s="90">
        <f t="shared" si="0"/>
        <v>0</v>
      </c>
    </row>
    <row r="20" spans="2:9" ht="12.75" customHeight="1">
      <c r="B20" s="14"/>
      <c r="C20" s="15"/>
      <c r="D20" s="15"/>
      <c r="E20" s="16">
        <v>613300</v>
      </c>
      <c r="F20" s="26" t="s">
        <v>109</v>
      </c>
      <c r="G20" s="34">
        <v>8000</v>
      </c>
      <c r="H20" s="34"/>
      <c r="I20" s="90">
        <f t="shared" si="0"/>
        <v>0</v>
      </c>
    </row>
    <row r="21" spans="2:9" ht="12.75" customHeight="1">
      <c r="B21" s="14"/>
      <c r="C21" s="15"/>
      <c r="D21" s="15"/>
      <c r="E21" s="16">
        <v>613400</v>
      </c>
      <c r="F21" s="15" t="s">
        <v>84</v>
      </c>
      <c r="G21" s="34">
        <v>22000</v>
      </c>
      <c r="H21" s="34"/>
      <c r="I21" s="90">
        <f t="shared" si="0"/>
        <v>0</v>
      </c>
    </row>
    <row r="22" spans="2:9" ht="12.75" customHeight="1">
      <c r="B22" s="14"/>
      <c r="C22" s="15"/>
      <c r="D22" s="15"/>
      <c r="E22" s="16">
        <v>613500</v>
      </c>
      <c r="F22" s="15" t="s">
        <v>9</v>
      </c>
      <c r="G22" s="71">
        <v>1500</v>
      </c>
      <c r="H22" s="71"/>
      <c r="I22" s="90">
        <f t="shared" si="0"/>
        <v>0</v>
      </c>
    </row>
    <row r="23" spans="2:9" ht="12.75" customHeight="1">
      <c r="B23" s="14"/>
      <c r="C23" s="15"/>
      <c r="D23" s="15"/>
      <c r="E23" s="16">
        <v>613600</v>
      </c>
      <c r="F23" s="26" t="s">
        <v>110</v>
      </c>
      <c r="G23" s="34">
        <v>0</v>
      </c>
      <c r="H23" s="34"/>
      <c r="I23" s="90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10</v>
      </c>
      <c r="G24" s="34">
        <v>15000</v>
      </c>
      <c r="H24" s="34"/>
      <c r="I24" s="90">
        <f t="shared" si="0"/>
        <v>0</v>
      </c>
    </row>
    <row r="25" spans="2:9" ht="12.75" customHeight="1">
      <c r="B25" s="14"/>
      <c r="C25" s="15"/>
      <c r="D25" s="15"/>
      <c r="E25" s="16">
        <v>613800</v>
      </c>
      <c r="F25" s="15" t="s">
        <v>85</v>
      </c>
      <c r="G25" s="34">
        <v>0</v>
      </c>
      <c r="H25" s="34"/>
      <c r="I25" s="90">
        <f t="shared" si="0"/>
      </c>
    </row>
    <row r="26" spans="2:9" ht="12.75" customHeight="1">
      <c r="B26" s="14"/>
      <c r="C26" s="15"/>
      <c r="D26" s="15"/>
      <c r="E26" s="16">
        <v>613900</v>
      </c>
      <c r="F26" s="15" t="s">
        <v>86</v>
      </c>
      <c r="G26" s="71">
        <v>45000</v>
      </c>
      <c r="H26" s="71"/>
      <c r="I26" s="90">
        <f t="shared" si="0"/>
        <v>0</v>
      </c>
    </row>
    <row r="27" spans="2:9" ht="12.75" customHeight="1">
      <c r="B27" s="14"/>
      <c r="C27" s="15"/>
      <c r="D27" s="15"/>
      <c r="E27" s="16">
        <v>613900</v>
      </c>
      <c r="F27" s="134" t="s">
        <v>149</v>
      </c>
      <c r="G27" s="64">
        <v>0</v>
      </c>
      <c r="H27" s="64"/>
      <c r="I27" s="90">
        <f t="shared" si="0"/>
      </c>
    </row>
    <row r="28" spans="2:9" s="1" customFormat="1" ht="12.75" customHeight="1">
      <c r="B28" s="17"/>
      <c r="C28" s="12"/>
      <c r="D28" s="12"/>
      <c r="E28" s="9"/>
      <c r="F28" s="12"/>
      <c r="G28" s="34"/>
      <c r="H28" s="34"/>
      <c r="I28" s="90">
        <f t="shared" si="0"/>
      </c>
    </row>
    <row r="29" spans="2:9" ht="12.75" customHeight="1">
      <c r="B29" s="14"/>
      <c r="C29" s="15"/>
      <c r="D29" s="29"/>
      <c r="E29" s="16"/>
      <c r="F29" s="28"/>
      <c r="G29" s="34"/>
      <c r="H29" s="34"/>
      <c r="I29" s="90">
        <f t="shared" si="0"/>
      </c>
    </row>
    <row r="30" spans="2:9" ht="12.75" customHeight="1">
      <c r="B30" s="14"/>
      <c r="C30" s="15"/>
      <c r="D30" s="15"/>
      <c r="E30" s="42"/>
      <c r="F30" s="28"/>
      <c r="G30" s="34"/>
      <c r="H30" s="34"/>
      <c r="I30" s="90">
        <f t="shared" si="0"/>
      </c>
    </row>
    <row r="31" spans="2:9" ht="12.75" customHeight="1">
      <c r="B31" s="14"/>
      <c r="C31" s="15"/>
      <c r="D31" s="15"/>
      <c r="E31" s="16"/>
      <c r="F31" s="15"/>
      <c r="G31" s="34"/>
      <c r="H31" s="34"/>
      <c r="I31" s="90">
        <f t="shared" si="0"/>
      </c>
    </row>
    <row r="32" spans="2:9" ht="12.75" customHeight="1">
      <c r="B32" s="14"/>
      <c r="C32" s="15"/>
      <c r="D32" s="15"/>
      <c r="E32" s="16"/>
      <c r="F32" s="15"/>
      <c r="G32" s="34"/>
      <c r="H32" s="34"/>
      <c r="I32" s="90">
        <f t="shared" si="0"/>
      </c>
    </row>
    <row r="33" spans="2:9" ht="12.75" customHeight="1">
      <c r="B33" s="14"/>
      <c r="C33" s="15"/>
      <c r="D33" s="15"/>
      <c r="E33" s="9"/>
      <c r="F33" s="12"/>
      <c r="G33" s="34"/>
      <c r="H33" s="34"/>
      <c r="I33" s="90">
        <f t="shared" si="0"/>
      </c>
    </row>
    <row r="34" spans="2:9" ht="12.75" customHeight="1">
      <c r="B34" s="14"/>
      <c r="C34" s="15"/>
      <c r="D34" s="15"/>
      <c r="E34" s="16"/>
      <c r="F34" s="26"/>
      <c r="G34" s="34"/>
      <c r="H34" s="34"/>
      <c r="I34" s="90">
        <f t="shared" si="0"/>
      </c>
    </row>
    <row r="35" spans="2:9" ht="12.75" customHeight="1">
      <c r="B35" s="14"/>
      <c r="C35" s="15"/>
      <c r="D35" s="15"/>
      <c r="E35" s="16"/>
      <c r="F35" s="15"/>
      <c r="G35" s="20"/>
      <c r="H35" s="20"/>
      <c r="I35" s="90">
        <f t="shared" si="0"/>
      </c>
    </row>
    <row r="36" spans="2:9" s="1" customFormat="1" ht="12.75" customHeight="1">
      <c r="B36" s="17"/>
      <c r="C36" s="12"/>
      <c r="D36" s="12"/>
      <c r="E36" s="9">
        <v>821000</v>
      </c>
      <c r="F36" s="12" t="s">
        <v>13</v>
      </c>
      <c r="G36" s="20">
        <f>SUM(G37:G39)</f>
        <v>81000</v>
      </c>
      <c r="H36" s="20">
        <f>SUM(H37:H39)</f>
        <v>0</v>
      </c>
      <c r="I36" s="89">
        <f t="shared" si="0"/>
        <v>0</v>
      </c>
    </row>
    <row r="37" spans="2:10" ht="12.75" customHeight="1">
      <c r="B37" s="14"/>
      <c r="C37" s="15"/>
      <c r="D37" s="15"/>
      <c r="E37" s="16">
        <v>821200</v>
      </c>
      <c r="F37" s="15" t="s">
        <v>14</v>
      </c>
      <c r="G37" s="71">
        <v>77000</v>
      </c>
      <c r="H37" s="71"/>
      <c r="I37" s="90">
        <f t="shared" si="0"/>
        <v>0</v>
      </c>
      <c r="J37" s="51"/>
    </row>
    <row r="38" spans="2:9" ht="12.75" customHeight="1">
      <c r="B38" s="14"/>
      <c r="C38" s="15"/>
      <c r="D38" s="15"/>
      <c r="E38" s="16">
        <v>821300</v>
      </c>
      <c r="F38" s="15" t="s">
        <v>15</v>
      </c>
      <c r="G38" s="71">
        <v>4000</v>
      </c>
      <c r="H38" s="71"/>
      <c r="I38" s="90">
        <f t="shared" si="0"/>
        <v>0</v>
      </c>
    </row>
    <row r="39" spans="2:9" ht="12.75" customHeight="1">
      <c r="B39" s="14"/>
      <c r="C39" s="15"/>
      <c r="D39" s="15"/>
      <c r="E39" s="16"/>
      <c r="F39" s="26"/>
      <c r="G39" s="34"/>
      <c r="H39" s="34"/>
      <c r="I39" s="90">
        <f t="shared" si="0"/>
      </c>
    </row>
    <row r="40" spans="2:9" ht="12.75" customHeight="1">
      <c r="B40" s="14"/>
      <c r="C40" s="15"/>
      <c r="D40" s="15"/>
      <c r="E40" s="16"/>
      <c r="F40" s="15"/>
      <c r="G40" s="34"/>
      <c r="H40" s="34"/>
      <c r="I40" s="90">
        <f t="shared" si="0"/>
      </c>
    </row>
    <row r="41" spans="2:9" s="1" customFormat="1" ht="12.75" customHeight="1">
      <c r="B41" s="17"/>
      <c r="C41" s="12"/>
      <c r="D41" s="12"/>
      <c r="E41" s="9"/>
      <c r="F41" s="12" t="s">
        <v>16</v>
      </c>
      <c r="G41" s="25" t="s">
        <v>152</v>
      </c>
      <c r="H41" s="25"/>
      <c r="I41" s="90"/>
    </row>
    <row r="42" spans="2:9" s="1" customFormat="1" ht="12.75" customHeight="1">
      <c r="B42" s="17"/>
      <c r="C42" s="12"/>
      <c r="D42" s="12"/>
      <c r="E42" s="9"/>
      <c r="F42" s="12" t="s">
        <v>32</v>
      </c>
      <c r="G42" s="20">
        <f>G7+G13+G17+G36</f>
        <v>1470870</v>
      </c>
      <c r="H42" s="20">
        <f>H7+H13+H17+H36</f>
        <v>0</v>
      </c>
      <c r="I42" s="89">
        <f t="shared" si="0"/>
        <v>0</v>
      </c>
    </row>
    <row r="43" spans="2:12" s="1" customFormat="1" ht="12.75" customHeight="1">
      <c r="B43" s="17"/>
      <c r="C43" s="12"/>
      <c r="D43" s="12"/>
      <c r="E43" s="9"/>
      <c r="F43" s="12" t="s">
        <v>17</v>
      </c>
      <c r="G43" s="20"/>
      <c r="H43" s="20"/>
      <c r="I43" s="92"/>
      <c r="L43" s="1" t="s">
        <v>94</v>
      </c>
    </row>
    <row r="44" spans="2:9" s="1" customFormat="1" ht="12.75" customHeight="1">
      <c r="B44" s="17"/>
      <c r="C44" s="12"/>
      <c r="D44" s="12"/>
      <c r="E44" s="9"/>
      <c r="F44" s="12" t="s">
        <v>18</v>
      </c>
      <c r="G44" s="33"/>
      <c r="H44" s="33"/>
      <c r="I44" s="91"/>
    </row>
    <row r="45" spans="2:9" ht="12.75" customHeight="1" thickBot="1">
      <c r="B45" s="21"/>
      <c r="C45" s="22"/>
      <c r="D45" s="22"/>
      <c r="E45" s="23"/>
      <c r="F45" s="22"/>
      <c r="G45" s="35"/>
      <c r="H45" s="35"/>
      <c r="I45" s="93"/>
    </row>
    <row r="46" ht="12.75">
      <c r="G46" s="55"/>
    </row>
    <row r="47" spans="2:7" ht="12.75">
      <c r="B47" s="51"/>
      <c r="G47" s="55"/>
    </row>
    <row r="48" spans="2:7" ht="12.75">
      <c r="B48" s="51"/>
      <c r="G48" s="55"/>
    </row>
    <row r="49" spans="2:7" ht="12.75">
      <c r="B49" s="51"/>
      <c r="G49" s="55"/>
    </row>
    <row r="50" spans="2:7" ht="12.75">
      <c r="B50" s="51"/>
      <c r="G50" s="55"/>
    </row>
    <row r="51" spans="2:7" ht="12.75">
      <c r="B51" s="51"/>
      <c r="G51" s="55"/>
    </row>
    <row r="52" spans="2:7" ht="12.75">
      <c r="B52" s="51"/>
      <c r="G52" s="55"/>
    </row>
    <row r="53" spans="2:7" ht="12.75">
      <c r="B53" s="51"/>
      <c r="G53" s="55"/>
    </row>
    <row r="54" spans="2:7" ht="12.75">
      <c r="B54" s="51"/>
      <c r="G54" s="55"/>
    </row>
    <row r="55" spans="2:7" ht="12.75">
      <c r="B55" s="51"/>
      <c r="G55" s="55"/>
    </row>
    <row r="56" spans="2:7" ht="12.75">
      <c r="B56" s="51"/>
      <c r="G56" s="55"/>
    </row>
    <row r="57" spans="2:7" ht="12.75">
      <c r="B57" s="51"/>
      <c r="G57" s="55"/>
    </row>
    <row r="58" spans="2:7" ht="12.75">
      <c r="B58" s="51"/>
      <c r="G58" s="55"/>
    </row>
    <row r="59" spans="2:7" ht="12.75">
      <c r="B59" s="51"/>
      <c r="G59" s="55"/>
    </row>
    <row r="60" spans="2:7" ht="12.75">
      <c r="B60" s="51"/>
      <c r="G60" s="55"/>
    </row>
    <row r="61" ht="12.75">
      <c r="G61" s="55"/>
    </row>
    <row r="62" ht="12.75">
      <c r="G62" s="55"/>
    </row>
  </sheetData>
  <sheetProtection/>
  <mergeCells count="2">
    <mergeCell ref="B2:G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&amp;R28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4"/>
  <dimension ref="B2:K51"/>
  <sheetViews>
    <sheetView zoomScaleSheetLayoutView="100" workbookViewId="0" topLeftCell="C1">
      <selection activeCell="H4" sqref="H4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421875" style="24" customWidth="1"/>
    <col min="6" max="6" width="43.7109375" style="13" customWidth="1"/>
    <col min="7" max="8" width="15.7109375" style="13" customWidth="1"/>
    <col min="9" max="9" width="8.7109375" style="80" customWidth="1"/>
    <col min="10" max="16384" width="9.140625" style="13" customWidth="1"/>
  </cols>
  <sheetData>
    <row r="2" spans="2:7" ht="15" customHeight="1">
      <c r="B2" s="143" t="s">
        <v>130</v>
      </c>
      <c r="C2" s="143"/>
      <c r="D2" s="143"/>
      <c r="E2" s="143"/>
      <c r="F2" s="143"/>
      <c r="G2" s="143"/>
    </row>
    <row r="3" spans="5:9" s="1" customFormat="1" ht="16.5" thickBot="1">
      <c r="E3" s="2"/>
      <c r="F3" s="144" t="s">
        <v>165</v>
      </c>
      <c r="G3" s="144"/>
      <c r="H3" s="108">
        <v>1384580</v>
      </c>
      <c r="I3" s="109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31" t="s">
        <v>147</v>
      </c>
      <c r="H4" s="131" t="s">
        <v>164</v>
      </c>
      <c r="I4" s="86" t="s">
        <v>139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2">
        <v>6</v>
      </c>
      <c r="H5" s="9">
        <v>7</v>
      </c>
      <c r="I5" s="87">
        <v>8</v>
      </c>
    </row>
    <row r="6" spans="2:9" s="2" customFormat="1" ht="12.75" customHeight="1">
      <c r="B6" s="78" t="s">
        <v>63</v>
      </c>
      <c r="C6" s="79" t="s">
        <v>52</v>
      </c>
      <c r="D6" s="79" t="s">
        <v>44</v>
      </c>
      <c r="E6" s="9"/>
      <c r="F6" s="9"/>
      <c r="G6" s="32"/>
      <c r="H6" s="9"/>
      <c r="I6" s="88"/>
    </row>
    <row r="7" spans="2:9" s="1" customFormat="1" ht="12.75" customHeight="1">
      <c r="B7" s="17"/>
      <c r="C7" s="12"/>
      <c r="D7" s="12"/>
      <c r="E7" s="9">
        <v>611000</v>
      </c>
      <c r="F7" s="12" t="s">
        <v>82</v>
      </c>
      <c r="G7" s="136">
        <f>SUM(G8:G11)</f>
        <v>1048080</v>
      </c>
      <c r="H7" s="136">
        <f>SUM(H8:H11)</f>
        <v>0</v>
      </c>
      <c r="I7" s="89">
        <f aca="true" t="shared" si="0" ref="I7:I42">IF(G7=0,"",H7/G7*100)</f>
        <v>0</v>
      </c>
    </row>
    <row r="8" spans="2:9" ht="12.75" customHeight="1">
      <c r="B8" s="14"/>
      <c r="C8" s="15"/>
      <c r="D8" s="15"/>
      <c r="E8" s="16">
        <v>611100</v>
      </c>
      <c r="F8" s="26" t="s">
        <v>107</v>
      </c>
      <c r="G8" s="138">
        <f>752500+11700+26100+37620+1310</f>
        <v>829230</v>
      </c>
      <c r="H8" s="138"/>
      <c r="I8" s="90">
        <f t="shared" si="0"/>
        <v>0</v>
      </c>
    </row>
    <row r="9" spans="2:11" ht="12.75" customHeight="1">
      <c r="B9" s="14"/>
      <c r="C9" s="15"/>
      <c r="D9" s="15"/>
      <c r="E9" s="16">
        <v>611200</v>
      </c>
      <c r="F9" s="15" t="s">
        <v>108</v>
      </c>
      <c r="G9" s="138">
        <f>199100+7000+3200+9550</f>
        <v>218850</v>
      </c>
      <c r="H9" s="138"/>
      <c r="I9" s="90">
        <f t="shared" si="0"/>
        <v>0</v>
      </c>
      <c r="K9" s="51"/>
    </row>
    <row r="10" spans="2:11" ht="12.75" customHeight="1">
      <c r="B10" s="14"/>
      <c r="C10" s="15"/>
      <c r="D10" s="15"/>
      <c r="E10" s="16">
        <v>611200</v>
      </c>
      <c r="F10" s="134" t="s">
        <v>148</v>
      </c>
      <c r="G10" s="135">
        <v>0</v>
      </c>
      <c r="H10" s="135"/>
      <c r="I10" s="90">
        <f t="shared" si="0"/>
      </c>
      <c r="K10" s="54"/>
    </row>
    <row r="11" spans="2:9" ht="12.75" customHeight="1">
      <c r="B11" s="14"/>
      <c r="C11" s="15"/>
      <c r="D11" s="15"/>
      <c r="E11" s="16"/>
      <c r="F11" s="26"/>
      <c r="G11" s="138"/>
      <c r="H11" s="138"/>
      <c r="I11" s="90">
        <f t="shared" si="0"/>
      </c>
    </row>
    <row r="12" spans="2:9" ht="12.75" customHeight="1">
      <c r="B12" s="14"/>
      <c r="C12" s="15"/>
      <c r="D12" s="15"/>
      <c r="E12" s="16"/>
      <c r="F12" s="15"/>
      <c r="G12" s="136"/>
      <c r="H12" s="136"/>
      <c r="I12" s="90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81</v>
      </c>
      <c r="G13" s="136">
        <f>G14</f>
        <v>88200</v>
      </c>
      <c r="H13" s="136">
        <f>H14</f>
        <v>0</v>
      </c>
      <c r="I13" s="89">
        <f t="shared" si="0"/>
        <v>0</v>
      </c>
    </row>
    <row r="14" spans="2:9" ht="12.75" customHeight="1">
      <c r="B14" s="14"/>
      <c r="C14" s="15"/>
      <c r="D14" s="15"/>
      <c r="E14" s="16">
        <v>612100</v>
      </c>
      <c r="F14" s="18" t="s">
        <v>6</v>
      </c>
      <c r="G14" s="138">
        <f>81100+2900+4050+150</f>
        <v>88200</v>
      </c>
      <c r="H14" s="138"/>
      <c r="I14" s="90">
        <f t="shared" si="0"/>
        <v>0</v>
      </c>
    </row>
    <row r="15" spans="2:9" ht="12.75" customHeight="1">
      <c r="B15" s="14"/>
      <c r="C15" s="15"/>
      <c r="D15" s="15"/>
      <c r="E15" s="16"/>
      <c r="F15" s="15"/>
      <c r="G15" s="34"/>
      <c r="H15" s="34"/>
      <c r="I15" s="90">
        <f t="shared" si="0"/>
      </c>
    </row>
    <row r="16" spans="2:9" ht="12.75" customHeight="1">
      <c r="B16" s="14"/>
      <c r="C16" s="15"/>
      <c r="D16" s="15"/>
      <c r="E16" s="16"/>
      <c r="F16" s="15"/>
      <c r="G16" s="20"/>
      <c r="H16" s="20"/>
      <c r="I16" s="90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83</v>
      </c>
      <c r="G17" s="37">
        <f>SUM(G18:G27)</f>
        <v>168500</v>
      </c>
      <c r="H17" s="37">
        <f>SUM(H18:H27)</f>
        <v>0</v>
      </c>
      <c r="I17" s="89">
        <f t="shared" si="0"/>
        <v>0</v>
      </c>
    </row>
    <row r="18" spans="2:9" ht="12.75" customHeight="1">
      <c r="B18" s="14"/>
      <c r="C18" s="15"/>
      <c r="D18" s="15"/>
      <c r="E18" s="16">
        <v>613100</v>
      </c>
      <c r="F18" s="15" t="s">
        <v>7</v>
      </c>
      <c r="G18" s="71">
        <v>5000</v>
      </c>
      <c r="H18" s="71"/>
      <c r="I18" s="90">
        <f t="shared" si="0"/>
        <v>0</v>
      </c>
    </row>
    <row r="19" spans="2:9" ht="12.75" customHeight="1">
      <c r="B19" s="14"/>
      <c r="C19" s="15"/>
      <c r="D19" s="15"/>
      <c r="E19" s="16">
        <v>613200</v>
      </c>
      <c r="F19" s="15" t="s">
        <v>8</v>
      </c>
      <c r="G19" s="34">
        <v>80000</v>
      </c>
      <c r="H19" s="34"/>
      <c r="I19" s="90">
        <f t="shared" si="0"/>
        <v>0</v>
      </c>
    </row>
    <row r="20" spans="2:9" ht="12.75" customHeight="1">
      <c r="B20" s="14"/>
      <c r="C20" s="15"/>
      <c r="D20" s="15"/>
      <c r="E20" s="16">
        <v>613300</v>
      </c>
      <c r="F20" s="26" t="s">
        <v>109</v>
      </c>
      <c r="G20" s="71">
        <v>18000</v>
      </c>
      <c r="H20" s="71"/>
      <c r="I20" s="90">
        <f t="shared" si="0"/>
        <v>0</v>
      </c>
    </row>
    <row r="21" spans="2:9" ht="12.75" customHeight="1">
      <c r="B21" s="14"/>
      <c r="C21" s="15"/>
      <c r="D21" s="15"/>
      <c r="E21" s="16">
        <v>613400</v>
      </c>
      <c r="F21" s="15" t="s">
        <v>84</v>
      </c>
      <c r="G21" s="71">
        <v>25000</v>
      </c>
      <c r="H21" s="71"/>
      <c r="I21" s="90">
        <f t="shared" si="0"/>
        <v>0</v>
      </c>
    </row>
    <row r="22" spans="2:9" ht="12.75" customHeight="1">
      <c r="B22" s="14"/>
      <c r="C22" s="15"/>
      <c r="D22" s="15"/>
      <c r="E22" s="16">
        <v>613500</v>
      </c>
      <c r="F22" s="15" t="s">
        <v>9</v>
      </c>
      <c r="G22" s="71">
        <v>500</v>
      </c>
      <c r="H22" s="71"/>
      <c r="I22" s="90">
        <f t="shared" si="0"/>
        <v>0</v>
      </c>
    </row>
    <row r="23" spans="2:9" ht="12.75" customHeight="1">
      <c r="B23" s="14"/>
      <c r="C23" s="15"/>
      <c r="D23" s="15"/>
      <c r="E23" s="16">
        <v>613600</v>
      </c>
      <c r="F23" s="26" t="s">
        <v>110</v>
      </c>
      <c r="G23" s="71">
        <v>0</v>
      </c>
      <c r="H23" s="71"/>
      <c r="I23" s="90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10</v>
      </c>
      <c r="G24" s="71">
        <v>30000</v>
      </c>
      <c r="H24" s="71"/>
      <c r="I24" s="90">
        <f t="shared" si="0"/>
        <v>0</v>
      </c>
    </row>
    <row r="25" spans="2:9" ht="12.75" customHeight="1">
      <c r="B25" s="14"/>
      <c r="C25" s="15"/>
      <c r="D25" s="15"/>
      <c r="E25" s="16">
        <v>613800</v>
      </c>
      <c r="F25" s="15" t="s">
        <v>85</v>
      </c>
      <c r="G25" s="71">
        <v>0</v>
      </c>
      <c r="H25" s="71"/>
      <c r="I25" s="90">
        <f t="shared" si="0"/>
      </c>
    </row>
    <row r="26" spans="2:9" ht="12.75" customHeight="1">
      <c r="B26" s="14"/>
      <c r="C26" s="15"/>
      <c r="D26" s="15"/>
      <c r="E26" s="16">
        <v>613900</v>
      </c>
      <c r="F26" s="15" t="s">
        <v>86</v>
      </c>
      <c r="G26" s="71">
        <v>10000</v>
      </c>
      <c r="H26" s="71"/>
      <c r="I26" s="90">
        <f t="shared" si="0"/>
        <v>0</v>
      </c>
    </row>
    <row r="27" spans="2:9" ht="12.75" customHeight="1">
      <c r="B27" s="14"/>
      <c r="C27" s="15"/>
      <c r="D27" s="15"/>
      <c r="E27" s="16">
        <v>613900</v>
      </c>
      <c r="F27" s="134" t="s">
        <v>149</v>
      </c>
      <c r="G27" s="105">
        <v>0</v>
      </c>
      <c r="H27" s="105"/>
      <c r="I27" s="90">
        <f t="shared" si="0"/>
      </c>
    </row>
    <row r="28" spans="2:9" s="1" customFormat="1" ht="12.75" customHeight="1">
      <c r="B28" s="17"/>
      <c r="C28" s="12"/>
      <c r="D28" s="12"/>
      <c r="E28" s="9"/>
      <c r="F28" s="12"/>
      <c r="G28" s="71"/>
      <c r="H28" s="71"/>
      <c r="I28" s="90">
        <f t="shared" si="0"/>
      </c>
    </row>
    <row r="29" spans="2:9" ht="12.75" customHeight="1">
      <c r="B29" s="14"/>
      <c r="C29" s="15"/>
      <c r="D29" s="29"/>
      <c r="E29" s="16"/>
      <c r="F29" s="28"/>
      <c r="G29" s="71"/>
      <c r="H29" s="71"/>
      <c r="I29" s="90">
        <f t="shared" si="0"/>
      </c>
    </row>
    <row r="30" spans="2:9" ht="12.75" customHeight="1">
      <c r="B30" s="14"/>
      <c r="C30" s="15"/>
      <c r="D30" s="15"/>
      <c r="E30" s="42"/>
      <c r="F30" s="28"/>
      <c r="G30" s="71"/>
      <c r="H30" s="71"/>
      <c r="I30" s="90">
        <f t="shared" si="0"/>
      </c>
    </row>
    <row r="31" spans="2:9" ht="12.75" customHeight="1">
      <c r="B31" s="14"/>
      <c r="C31" s="15"/>
      <c r="D31" s="15"/>
      <c r="E31" s="16"/>
      <c r="F31" s="15"/>
      <c r="G31" s="71"/>
      <c r="H31" s="71"/>
      <c r="I31" s="90">
        <f t="shared" si="0"/>
      </c>
    </row>
    <row r="32" spans="2:9" ht="12.75" customHeight="1">
      <c r="B32" s="14"/>
      <c r="C32" s="15"/>
      <c r="D32" s="15"/>
      <c r="E32" s="16"/>
      <c r="F32" s="15"/>
      <c r="G32" s="71"/>
      <c r="H32" s="71"/>
      <c r="I32" s="90">
        <f t="shared" si="0"/>
      </c>
    </row>
    <row r="33" spans="2:9" ht="12.75" customHeight="1">
      <c r="B33" s="14"/>
      <c r="C33" s="15"/>
      <c r="D33" s="15"/>
      <c r="E33" s="9"/>
      <c r="F33" s="12"/>
      <c r="G33" s="71"/>
      <c r="H33" s="71"/>
      <c r="I33" s="90">
        <f t="shared" si="0"/>
      </c>
    </row>
    <row r="34" spans="2:9" ht="12.75" customHeight="1">
      <c r="B34" s="14"/>
      <c r="C34" s="15"/>
      <c r="D34" s="15"/>
      <c r="E34" s="16"/>
      <c r="F34" s="26"/>
      <c r="G34" s="71"/>
      <c r="H34" s="71"/>
      <c r="I34" s="90">
        <f t="shared" si="0"/>
      </c>
    </row>
    <row r="35" spans="2:9" ht="12.75" customHeight="1">
      <c r="B35" s="14"/>
      <c r="C35" s="15"/>
      <c r="D35" s="15"/>
      <c r="E35" s="16"/>
      <c r="F35" s="15"/>
      <c r="G35" s="63"/>
      <c r="H35" s="63"/>
      <c r="I35" s="90">
        <f t="shared" si="0"/>
      </c>
    </row>
    <row r="36" spans="2:9" s="1" customFormat="1" ht="12.75" customHeight="1">
      <c r="B36" s="17"/>
      <c r="C36" s="12"/>
      <c r="D36" s="12"/>
      <c r="E36" s="9">
        <v>821000</v>
      </c>
      <c r="F36" s="12" t="s">
        <v>13</v>
      </c>
      <c r="G36" s="63">
        <f>SUM(G37:G39)</f>
        <v>5000</v>
      </c>
      <c r="H36" s="63">
        <f>SUM(H37:H39)</f>
        <v>0</v>
      </c>
      <c r="I36" s="89">
        <f t="shared" si="0"/>
        <v>0</v>
      </c>
    </row>
    <row r="37" spans="2:10" ht="12.75" customHeight="1">
      <c r="B37" s="14"/>
      <c r="C37" s="15"/>
      <c r="D37" s="15"/>
      <c r="E37" s="73">
        <v>821200</v>
      </c>
      <c r="F37" s="19" t="s">
        <v>14</v>
      </c>
      <c r="G37" s="71">
        <v>0</v>
      </c>
      <c r="H37" s="71"/>
      <c r="I37" s="90">
        <f t="shared" si="0"/>
      </c>
      <c r="J37" s="51"/>
    </row>
    <row r="38" spans="2:9" ht="12.75" customHeight="1">
      <c r="B38" s="14"/>
      <c r="C38" s="15"/>
      <c r="D38" s="15"/>
      <c r="E38" s="16">
        <v>821300</v>
      </c>
      <c r="F38" s="15" t="s">
        <v>15</v>
      </c>
      <c r="G38" s="71">
        <v>5000</v>
      </c>
      <c r="H38" s="71"/>
      <c r="I38" s="90">
        <f t="shared" si="0"/>
        <v>0</v>
      </c>
    </row>
    <row r="39" spans="2:9" ht="12.75" customHeight="1">
      <c r="B39" s="14"/>
      <c r="C39" s="15"/>
      <c r="D39" s="15"/>
      <c r="E39" s="16"/>
      <c r="F39" s="26"/>
      <c r="G39" s="71"/>
      <c r="H39" s="71"/>
      <c r="I39" s="90">
        <f t="shared" si="0"/>
      </c>
    </row>
    <row r="40" spans="2:9" ht="12.75" customHeight="1">
      <c r="B40" s="14"/>
      <c r="C40" s="15"/>
      <c r="D40" s="15"/>
      <c r="E40" s="16"/>
      <c r="F40" s="15"/>
      <c r="G40" s="71"/>
      <c r="H40" s="71"/>
      <c r="I40" s="90">
        <f t="shared" si="0"/>
      </c>
    </row>
    <row r="41" spans="2:9" s="1" customFormat="1" ht="12.75" customHeight="1">
      <c r="B41" s="17"/>
      <c r="C41" s="12"/>
      <c r="D41" s="12"/>
      <c r="E41" s="9"/>
      <c r="F41" s="12" t="s">
        <v>16</v>
      </c>
      <c r="G41" s="25" t="s">
        <v>162</v>
      </c>
      <c r="H41" s="25"/>
      <c r="I41" s="90"/>
    </row>
    <row r="42" spans="2:9" s="1" customFormat="1" ht="12.75" customHeight="1">
      <c r="B42" s="17"/>
      <c r="C42" s="12"/>
      <c r="D42" s="12"/>
      <c r="E42" s="9"/>
      <c r="F42" s="12" t="s">
        <v>32</v>
      </c>
      <c r="G42" s="20">
        <f>G7+G13+G17+G36</f>
        <v>1309780</v>
      </c>
      <c r="H42" s="20">
        <f>H7+H13+H17+H36</f>
        <v>0</v>
      </c>
      <c r="I42" s="89">
        <f t="shared" si="0"/>
        <v>0</v>
      </c>
    </row>
    <row r="43" spans="2:9" s="1" customFormat="1" ht="12.75" customHeight="1">
      <c r="B43" s="17"/>
      <c r="C43" s="12"/>
      <c r="D43" s="12"/>
      <c r="E43" s="9"/>
      <c r="F43" s="12" t="s">
        <v>17</v>
      </c>
      <c r="G43" s="20"/>
      <c r="H43" s="20"/>
      <c r="I43" s="92"/>
    </row>
    <row r="44" spans="2:9" s="1" customFormat="1" ht="12.75" customHeight="1">
      <c r="B44" s="17"/>
      <c r="C44" s="12"/>
      <c r="D44" s="12"/>
      <c r="E44" s="9"/>
      <c r="F44" s="12" t="s">
        <v>18</v>
      </c>
      <c r="G44" s="33"/>
      <c r="H44" s="33"/>
      <c r="I44" s="91"/>
    </row>
    <row r="45" spans="2:9" ht="12.75" customHeight="1" thickBot="1">
      <c r="B45" s="21"/>
      <c r="C45" s="22"/>
      <c r="D45" s="22"/>
      <c r="E45" s="23"/>
      <c r="F45" s="22"/>
      <c r="G45" s="35"/>
      <c r="H45" s="35"/>
      <c r="I45" s="93"/>
    </row>
    <row r="47" ht="12.75">
      <c r="B47" s="51"/>
    </row>
    <row r="48" ht="12.75">
      <c r="B48" s="51"/>
    </row>
    <row r="49" ht="12.75">
      <c r="B49" s="51"/>
    </row>
    <row r="50" ht="12.75">
      <c r="B50" s="51"/>
    </row>
    <row r="51" ht="12.75">
      <c r="B51" s="51"/>
    </row>
  </sheetData>
  <sheetProtection/>
  <mergeCells count="2">
    <mergeCell ref="B2:G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&amp;R29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33"/>
  <dimension ref="B2:K51"/>
  <sheetViews>
    <sheetView zoomScaleSheetLayoutView="100" workbookViewId="0" topLeftCell="C1">
      <selection activeCell="H4" sqref="H4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421875" style="24" customWidth="1"/>
    <col min="6" max="6" width="43.7109375" style="13" customWidth="1"/>
    <col min="7" max="8" width="15.7109375" style="13" customWidth="1"/>
    <col min="9" max="9" width="8.7109375" style="80" customWidth="1"/>
    <col min="10" max="10" width="9.140625" style="13" customWidth="1"/>
    <col min="11" max="11" width="9.57421875" style="13" bestFit="1" customWidth="1"/>
    <col min="12" max="16384" width="9.140625" style="13" customWidth="1"/>
  </cols>
  <sheetData>
    <row r="2" spans="2:7" ht="15" customHeight="1">
      <c r="B2" s="143" t="s">
        <v>131</v>
      </c>
      <c r="C2" s="143"/>
      <c r="D2" s="143"/>
      <c r="E2" s="143"/>
      <c r="F2" s="143"/>
      <c r="G2" s="143"/>
    </row>
    <row r="3" spans="5:9" s="1" customFormat="1" ht="16.5" thickBot="1">
      <c r="E3" s="2"/>
      <c r="F3" s="144" t="s">
        <v>165</v>
      </c>
      <c r="G3" s="144"/>
      <c r="H3" s="108">
        <v>1083580</v>
      </c>
      <c r="I3" s="109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31" t="s">
        <v>147</v>
      </c>
      <c r="H4" s="131" t="s">
        <v>164</v>
      </c>
      <c r="I4" s="86" t="s">
        <v>139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2">
        <v>6</v>
      </c>
      <c r="H5" s="9">
        <v>7</v>
      </c>
      <c r="I5" s="87">
        <v>8</v>
      </c>
    </row>
    <row r="6" spans="2:9" s="2" customFormat="1" ht="12.75" customHeight="1">
      <c r="B6" s="78" t="s">
        <v>63</v>
      </c>
      <c r="C6" s="79" t="s">
        <v>52</v>
      </c>
      <c r="D6" s="79" t="s">
        <v>45</v>
      </c>
      <c r="E6" s="9"/>
      <c r="F6" s="9"/>
      <c r="G6" s="32"/>
      <c r="H6" s="9"/>
      <c r="I6" s="88"/>
    </row>
    <row r="7" spans="2:9" s="1" customFormat="1" ht="12.75" customHeight="1">
      <c r="B7" s="17"/>
      <c r="C7" s="12"/>
      <c r="D7" s="12"/>
      <c r="E7" s="9">
        <v>611000</v>
      </c>
      <c r="F7" s="12" t="s">
        <v>82</v>
      </c>
      <c r="G7" s="136">
        <f>SUM(G8:G11)</f>
        <v>832760</v>
      </c>
      <c r="H7" s="136">
        <f>SUM(H8:H11)</f>
        <v>0</v>
      </c>
      <c r="I7" s="89">
        <f aca="true" t="shared" si="0" ref="I7:I43">IF(G7=0,"",H7/G7*100)</f>
        <v>0</v>
      </c>
    </row>
    <row r="8" spans="2:10" ht="12.75" customHeight="1">
      <c r="B8" s="14"/>
      <c r="C8" s="15"/>
      <c r="D8" s="15"/>
      <c r="E8" s="16">
        <v>611100</v>
      </c>
      <c r="F8" s="26" t="s">
        <v>107</v>
      </c>
      <c r="G8" s="138">
        <f>637300+31860</f>
        <v>669160</v>
      </c>
      <c r="H8" s="138"/>
      <c r="I8" s="90">
        <f t="shared" si="0"/>
        <v>0</v>
      </c>
      <c r="J8" s="51"/>
    </row>
    <row r="9" spans="2:9" ht="12.75" customHeight="1">
      <c r="B9" s="14"/>
      <c r="C9" s="15"/>
      <c r="D9" s="15"/>
      <c r="E9" s="16">
        <v>611200</v>
      </c>
      <c r="F9" s="15" t="s">
        <v>108</v>
      </c>
      <c r="G9" s="138">
        <f>162000+1600</f>
        <v>163600</v>
      </c>
      <c r="H9" s="138"/>
      <c r="I9" s="90">
        <f t="shared" si="0"/>
        <v>0</v>
      </c>
    </row>
    <row r="10" spans="2:11" ht="12.75" customHeight="1">
      <c r="B10" s="14"/>
      <c r="C10" s="15"/>
      <c r="D10" s="15"/>
      <c r="E10" s="16">
        <v>611200</v>
      </c>
      <c r="F10" s="134" t="s">
        <v>148</v>
      </c>
      <c r="G10" s="135">
        <v>0</v>
      </c>
      <c r="H10" s="135"/>
      <c r="I10" s="90">
        <f t="shared" si="0"/>
      </c>
      <c r="K10" s="54"/>
    </row>
    <row r="11" spans="2:9" ht="12.75" customHeight="1">
      <c r="B11" s="14"/>
      <c r="C11" s="15"/>
      <c r="D11" s="15"/>
      <c r="E11" s="16"/>
      <c r="F11" s="26"/>
      <c r="G11" s="138"/>
      <c r="H11" s="138"/>
      <c r="I11" s="90">
        <f t="shared" si="0"/>
      </c>
    </row>
    <row r="12" spans="2:9" ht="12.75" customHeight="1">
      <c r="B12" s="14"/>
      <c r="C12" s="15"/>
      <c r="D12" s="15"/>
      <c r="E12" s="16"/>
      <c r="F12" s="15"/>
      <c r="G12" s="136"/>
      <c r="H12" s="136"/>
      <c r="I12" s="90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81</v>
      </c>
      <c r="G13" s="136">
        <f>G14</f>
        <v>72030</v>
      </c>
      <c r="H13" s="136">
        <f>H14</f>
        <v>0</v>
      </c>
      <c r="I13" s="89">
        <f t="shared" si="0"/>
        <v>0</v>
      </c>
    </row>
    <row r="14" spans="2:9" ht="12.75" customHeight="1">
      <c r="B14" s="14"/>
      <c r="C14" s="15"/>
      <c r="D14" s="15"/>
      <c r="E14" s="16">
        <v>612100</v>
      </c>
      <c r="F14" s="18" t="s">
        <v>6</v>
      </c>
      <c r="G14" s="138">
        <f>68600+3430</f>
        <v>72030</v>
      </c>
      <c r="H14" s="138"/>
      <c r="I14" s="90">
        <f t="shared" si="0"/>
        <v>0</v>
      </c>
    </row>
    <row r="15" spans="2:9" ht="12.75" customHeight="1">
      <c r="B15" s="14"/>
      <c r="C15" s="15"/>
      <c r="D15" s="15"/>
      <c r="E15" s="16"/>
      <c r="F15" s="15"/>
      <c r="G15" s="34"/>
      <c r="H15" s="34"/>
      <c r="I15" s="90">
        <f t="shared" si="0"/>
      </c>
    </row>
    <row r="16" spans="2:9" ht="12.75" customHeight="1">
      <c r="B16" s="14"/>
      <c r="C16" s="15"/>
      <c r="D16" s="15"/>
      <c r="E16" s="16"/>
      <c r="F16" s="15"/>
      <c r="G16" s="20"/>
      <c r="H16" s="20"/>
      <c r="I16" s="90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83</v>
      </c>
      <c r="G17" s="37">
        <f>SUM(G18:G27)</f>
        <v>138500</v>
      </c>
      <c r="H17" s="37">
        <f>SUM(H18:H27)</f>
        <v>0</v>
      </c>
      <c r="I17" s="89">
        <f t="shared" si="0"/>
        <v>0</v>
      </c>
    </row>
    <row r="18" spans="2:9" ht="12.75" customHeight="1">
      <c r="B18" s="14"/>
      <c r="C18" s="15"/>
      <c r="D18" s="15"/>
      <c r="E18" s="16">
        <v>613100</v>
      </c>
      <c r="F18" s="15" t="s">
        <v>7</v>
      </c>
      <c r="G18" s="71">
        <v>4000</v>
      </c>
      <c r="H18" s="71"/>
      <c r="I18" s="90">
        <f t="shared" si="0"/>
        <v>0</v>
      </c>
    </row>
    <row r="19" spans="2:9" ht="12.75" customHeight="1">
      <c r="B19" s="14"/>
      <c r="C19" s="15"/>
      <c r="D19" s="15"/>
      <c r="E19" s="16">
        <v>613200</v>
      </c>
      <c r="F19" s="15" t="s">
        <v>8</v>
      </c>
      <c r="G19" s="34">
        <v>45000</v>
      </c>
      <c r="H19" s="34"/>
      <c r="I19" s="90">
        <f t="shared" si="0"/>
        <v>0</v>
      </c>
    </row>
    <row r="20" spans="2:9" ht="12.75" customHeight="1">
      <c r="B20" s="14"/>
      <c r="C20" s="15"/>
      <c r="D20" s="15"/>
      <c r="E20" s="16">
        <v>613300</v>
      </c>
      <c r="F20" s="26" t="s">
        <v>109</v>
      </c>
      <c r="G20" s="34">
        <v>7500</v>
      </c>
      <c r="H20" s="34"/>
      <c r="I20" s="90">
        <f t="shared" si="0"/>
        <v>0</v>
      </c>
    </row>
    <row r="21" spans="2:9" ht="12.75" customHeight="1">
      <c r="B21" s="14"/>
      <c r="C21" s="15"/>
      <c r="D21" s="15"/>
      <c r="E21" s="16">
        <v>613400</v>
      </c>
      <c r="F21" s="15" t="s">
        <v>84</v>
      </c>
      <c r="G21" s="34">
        <v>15000</v>
      </c>
      <c r="H21" s="34"/>
      <c r="I21" s="90">
        <f t="shared" si="0"/>
        <v>0</v>
      </c>
    </row>
    <row r="22" spans="2:9" ht="12.75" customHeight="1">
      <c r="B22" s="14"/>
      <c r="C22" s="15"/>
      <c r="D22" s="15"/>
      <c r="E22" s="16">
        <v>613500</v>
      </c>
      <c r="F22" s="15" t="s">
        <v>9</v>
      </c>
      <c r="G22" s="71">
        <v>3000</v>
      </c>
      <c r="H22" s="71"/>
      <c r="I22" s="90">
        <f t="shared" si="0"/>
        <v>0</v>
      </c>
    </row>
    <row r="23" spans="2:9" ht="12.75" customHeight="1">
      <c r="B23" s="14"/>
      <c r="C23" s="15"/>
      <c r="D23" s="15"/>
      <c r="E23" s="16">
        <v>613600</v>
      </c>
      <c r="F23" s="26" t="s">
        <v>110</v>
      </c>
      <c r="G23" s="71">
        <v>0</v>
      </c>
      <c r="H23" s="71"/>
      <c r="I23" s="90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10</v>
      </c>
      <c r="G24" s="71">
        <v>14000</v>
      </c>
      <c r="H24" s="71"/>
      <c r="I24" s="90">
        <f t="shared" si="0"/>
        <v>0</v>
      </c>
    </row>
    <row r="25" spans="2:9" ht="12.75" customHeight="1">
      <c r="B25" s="14"/>
      <c r="C25" s="15"/>
      <c r="D25" s="15"/>
      <c r="E25" s="16">
        <v>613800</v>
      </c>
      <c r="F25" s="15" t="s">
        <v>85</v>
      </c>
      <c r="G25" s="71">
        <v>0</v>
      </c>
      <c r="H25" s="71"/>
      <c r="I25" s="90">
        <f t="shared" si="0"/>
      </c>
    </row>
    <row r="26" spans="2:9" ht="12.75" customHeight="1">
      <c r="B26" s="14"/>
      <c r="C26" s="15"/>
      <c r="D26" s="15"/>
      <c r="E26" s="16">
        <v>613900</v>
      </c>
      <c r="F26" s="15" t="s">
        <v>86</v>
      </c>
      <c r="G26" s="71">
        <v>50000</v>
      </c>
      <c r="H26" s="71"/>
      <c r="I26" s="90">
        <f t="shared" si="0"/>
        <v>0</v>
      </c>
    </row>
    <row r="27" spans="2:9" ht="12.75" customHeight="1">
      <c r="B27" s="14"/>
      <c r="C27" s="15"/>
      <c r="D27" s="15"/>
      <c r="E27" s="16">
        <v>613900</v>
      </c>
      <c r="F27" s="134" t="s">
        <v>149</v>
      </c>
      <c r="G27" s="105">
        <v>0</v>
      </c>
      <c r="H27" s="105"/>
      <c r="I27" s="90">
        <f t="shared" si="0"/>
      </c>
    </row>
    <row r="28" spans="2:9" s="1" customFormat="1" ht="12.75" customHeight="1">
      <c r="B28" s="17"/>
      <c r="C28" s="12"/>
      <c r="D28" s="12"/>
      <c r="E28" s="9"/>
      <c r="F28" s="12"/>
      <c r="G28" s="71"/>
      <c r="H28" s="71"/>
      <c r="I28" s="90">
        <f t="shared" si="0"/>
      </c>
    </row>
    <row r="29" spans="2:9" ht="12.75" customHeight="1">
      <c r="B29" s="14"/>
      <c r="C29" s="15"/>
      <c r="D29" s="29"/>
      <c r="E29" s="16"/>
      <c r="F29" s="28"/>
      <c r="G29" s="71"/>
      <c r="H29" s="71"/>
      <c r="I29" s="90">
        <f t="shared" si="0"/>
      </c>
    </row>
    <row r="30" spans="2:9" ht="12.75" customHeight="1">
      <c r="B30" s="14"/>
      <c r="C30" s="15"/>
      <c r="D30" s="15"/>
      <c r="E30" s="42"/>
      <c r="F30" s="28"/>
      <c r="G30" s="71"/>
      <c r="H30" s="71"/>
      <c r="I30" s="90">
        <f t="shared" si="0"/>
      </c>
    </row>
    <row r="31" spans="2:9" ht="12.75" customHeight="1">
      <c r="B31" s="14"/>
      <c r="C31" s="15"/>
      <c r="D31" s="15"/>
      <c r="E31" s="16"/>
      <c r="F31" s="15"/>
      <c r="G31" s="71"/>
      <c r="H31" s="71"/>
      <c r="I31" s="90">
        <f t="shared" si="0"/>
      </c>
    </row>
    <row r="32" spans="2:9" ht="12.75" customHeight="1">
      <c r="B32" s="14"/>
      <c r="C32" s="15"/>
      <c r="D32" s="15"/>
      <c r="E32" s="16"/>
      <c r="F32" s="15"/>
      <c r="G32" s="71"/>
      <c r="H32" s="71"/>
      <c r="I32" s="90">
        <f t="shared" si="0"/>
      </c>
    </row>
    <row r="33" spans="2:9" ht="12.75" customHeight="1">
      <c r="B33" s="14"/>
      <c r="C33" s="15"/>
      <c r="D33" s="15"/>
      <c r="E33" s="9"/>
      <c r="F33" s="12"/>
      <c r="G33" s="71"/>
      <c r="H33" s="71"/>
      <c r="I33" s="90">
        <f t="shared" si="0"/>
      </c>
    </row>
    <row r="34" spans="2:9" ht="12.75" customHeight="1">
      <c r="B34" s="14"/>
      <c r="C34" s="15"/>
      <c r="D34" s="15"/>
      <c r="E34" s="16"/>
      <c r="F34" s="26"/>
      <c r="G34" s="71"/>
      <c r="H34" s="71"/>
      <c r="I34" s="90">
        <f t="shared" si="0"/>
      </c>
    </row>
    <row r="35" spans="2:9" ht="12.75" customHeight="1">
      <c r="B35" s="14"/>
      <c r="C35" s="15"/>
      <c r="D35" s="15"/>
      <c r="E35" s="16"/>
      <c r="F35" s="15"/>
      <c r="G35" s="63"/>
      <c r="H35" s="63"/>
      <c r="I35" s="90">
        <f t="shared" si="0"/>
      </c>
    </row>
    <row r="36" spans="2:9" s="1" customFormat="1" ht="12.75" customHeight="1">
      <c r="B36" s="17"/>
      <c r="C36" s="12"/>
      <c r="D36" s="12"/>
      <c r="E36" s="9">
        <v>821000</v>
      </c>
      <c r="F36" s="12" t="s">
        <v>13</v>
      </c>
      <c r="G36" s="63">
        <f>SUM(G37:G39)</f>
        <v>5000</v>
      </c>
      <c r="H36" s="63">
        <f>SUM(H37:H39)</f>
        <v>0</v>
      </c>
      <c r="I36" s="89">
        <f t="shared" si="0"/>
        <v>0</v>
      </c>
    </row>
    <row r="37" spans="2:10" ht="12.75" customHeight="1">
      <c r="B37" s="14"/>
      <c r="C37" s="15"/>
      <c r="D37" s="15"/>
      <c r="E37" s="73">
        <v>821200</v>
      </c>
      <c r="F37" s="19" t="s">
        <v>14</v>
      </c>
      <c r="G37" s="71">
        <v>0</v>
      </c>
      <c r="H37" s="71"/>
      <c r="I37" s="90">
        <f t="shared" si="0"/>
      </c>
      <c r="J37" s="51"/>
    </row>
    <row r="38" spans="2:9" ht="12.75" customHeight="1">
      <c r="B38" s="14"/>
      <c r="C38" s="15"/>
      <c r="D38" s="15"/>
      <c r="E38" s="16">
        <v>821300</v>
      </c>
      <c r="F38" s="15" t="s">
        <v>15</v>
      </c>
      <c r="G38" s="71">
        <v>5000</v>
      </c>
      <c r="H38" s="71"/>
      <c r="I38" s="90">
        <f t="shared" si="0"/>
        <v>0</v>
      </c>
    </row>
    <row r="39" spans="2:9" ht="12.75" customHeight="1">
      <c r="B39" s="14"/>
      <c r="C39" s="15"/>
      <c r="D39" s="15"/>
      <c r="E39" s="16"/>
      <c r="F39" s="26"/>
      <c r="G39" s="71"/>
      <c r="H39" s="71"/>
      <c r="I39" s="90">
        <f t="shared" si="0"/>
      </c>
    </row>
    <row r="40" spans="2:9" ht="12.75" customHeight="1">
      <c r="B40" s="14"/>
      <c r="C40" s="15"/>
      <c r="D40" s="15"/>
      <c r="E40" s="16"/>
      <c r="F40" s="15"/>
      <c r="G40" s="34"/>
      <c r="H40" s="34"/>
      <c r="I40" s="90">
        <f t="shared" si="0"/>
      </c>
    </row>
    <row r="41" spans="2:9" s="1" customFormat="1" ht="12.75" customHeight="1">
      <c r="B41" s="17"/>
      <c r="C41" s="12"/>
      <c r="D41" s="12"/>
      <c r="E41" s="9"/>
      <c r="F41" s="12" t="s">
        <v>16</v>
      </c>
      <c r="G41" s="25" t="s">
        <v>153</v>
      </c>
      <c r="H41" s="25"/>
      <c r="I41" s="90"/>
    </row>
    <row r="42" spans="2:9" s="1" customFormat="1" ht="12.75" customHeight="1">
      <c r="B42" s="17"/>
      <c r="C42" s="12"/>
      <c r="D42" s="12"/>
      <c r="E42" s="9"/>
      <c r="F42" s="12" t="s">
        <v>32</v>
      </c>
      <c r="G42" s="20">
        <f>G7+G13+G17+G36</f>
        <v>1048290</v>
      </c>
      <c r="H42" s="20">
        <f>H7+H13+H17+H36</f>
        <v>0</v>
      </c>
      <c r="I42" s="89">
        <f t="shared" si="0"/>
        <v>0</v>
      </c>
    </row>
    <row r="43" spans="2:9" s="1" customFormat="1" ht="12.75" customHeight="1">
      <c r="B43" s="17"/>
      <c r="C43" s="12"/>
      <c r="D43" s="12"/>
      <c r="E43" s="9"/>
      <c r="F43" s="12" t="s">
        <v>17</v>
      </c>
      <c r="G43" s="20">
        <f>G42+'22'!G42+'21'!G42</f>
        <v>3828940</v>
      </c>
      <c r="H43" s="20">
        <f>H42+'22'!H42+'21'!H42</f>
        <v>0</v>
      </c>
      <c r="I43" s="89">
        <f t="shared" si="0"/>
        <v>0</v>
      </c>
    </row>
    <row r="44" spans="2:9" s="1" customFormat="1" ht="12.75" customHeight="1">
      <c r="B44" s="17"/>
      <c r="C44" s="12"/>
      <c r="D44" s="12"/>
      <c r="E44" s="9"/>
      <c r="F44" s="12" t="s">
        <v>18</v>
      </c>
      <c r="G44" s="33"/>
      <c r="H44" s="33"/>
      <c r="I44" s="91"/>
    </row>
    <row r="45" spans="2:9" ht="12.75" customHeight="1" thickBot="1">
      <c r="B45" s="21"/>
      <c r="C45" s="22"/>
      <c r="D45" s="22"/>
      <c r="E45" s="23"/>
      <c r="F45" s="22"/>
      <c r="G45" s="35"/>
      <c r="H45" s="35"/>
      <c r="I45" s="93"/>
    </row>
    <row r="47" ht="12.75">
      <c r="B47" s="51"/>
    </row>
    <row r="48" ht="12.75">
      <c r="B48" s="51"/>
    </row>
    <row r="49" ht="12.75">
      <c r="B49" s="51"/>
    </row>
    <row r="50" ht="12.75">
      <c r="B50" s="51"/>
    </row>
    <row r="51" ht="12.75">
      <c r="B51" s="51"/>
    </row>
  </sheetData>
  <sheetProtection/>
  <mergeCells count="2">
    <mergeCell ref="B2:G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&amp;R30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6"/>
  <dimension ref="B2:K62"/>
  <sheetViews>
    <sheetView zoomScaleSheetLayoutView="100" workbookViewId="0" topLeftCell="C1">
      <selection activeCell="H4" sqref="H4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1.00390625" style="24" customWidth="1"/>
    <col min="6" max="6" width="43.7109375" style="13" customWidth="1"/>
    <col min="7" max="7" width="15.7109375" style="13" customWidth="1"/>
    <col min="8" max="8" width="15.7109375" style="55" customWidth="1"/>
    <col min="9" max="9" width="8.7109375" style="80" customWidth="1"/>
    <col min="10" max="16384" width="9.140625" style="13" customWidth="1"/>
  </cols>
  <sheetData>
    <row r="2" spans="2:7" ht="15" customHeight="1">
      <c r="B2" s="145" t="s">
        <v>64</v>
      </c>
      <c r="C2" s="145"/>
      <c r="D2" s="145"/>
      <c r="E2" s="145"/>
      <c r="F2" s="145"/>
      <c r="G2" s="145"/>
    </row>
    <row r="3" spans="5:9" s="1" customFormat="1" ht="16.5" thickBot="1">
      <c r="E3" s="2"/>
      <c r="F3" s="144" t="s">
        <v>165</v>
      </c>
      <c r="G3" s="144"/>
      <c r="H3" s="108">
        <v>1229900</v>
      </c>
      <c r="I3" s="109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31" t="s">
        <v>147</v>
      </c>
      <c r="H4" s="131" t="s">
        <v>164</v>
      </c>
      <c r="I4" s="86" t="s">
        <v>139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2">
        <v>6</v>
      </c>
      <c r="H5" s="9">
        <v>7</v>
      </c>
      <c r="I5" s="87">
        <v>8</v>
      </c>
    </row>
    <row r="6" spans="2:9" s="2" customFormat="1" ht="12.75" customHeight="1">
      <c r="B6" s="10" t="s">
        <v>63</v>
      </c>
      <c r="C6" s="11" t="s">
        <v>65</v>
      </c>
      <c r="D6" s="11" t="s">
        <v>5</v>
      </c>
      <c r="E6" s="9"/>
      <c r="F6" s="9"/>
      <c r="G6" s="32"/>
      <c r="H6" s="102"/>
      <c r="I6" s="88"/>
    </row>
    <row r="7" spans="2:9" s="1" customFormat="1" ht="12.75" customHeight="1">
      <c r="B7" s="17"/>
      <c r="C7" s="12"/>
      <c r="D7" s="12"/>
      <c r="E7" s="9">
        <v>611000</v>
      </c>
      <c r="F7" s="12" t="s">
        <v>82</v>
      </c>
      <c r="G7" s="136">
        <f>SUM(G8:G11)</f>
        <v>1039400</v>
      </c>
      <c r="H7" s="136">
        <f>SUM(H8:H11)</f>
        <v>0</v>
      </c>
      <c r="I7" s="89">
        <f aca="true" t="shared" si="0" ref="I7:I42">IF(G7=0,"",H7/G7*100)</f>
        <v>0</v>
      </c>
    </row>
    <row r="8" spans="2:10" ht="12.75" customHeight="1">
      <c r="B8" s="14"/>
      <c r="C8" s="15"/>
      <c r="D8" s="15"/>
      <c r="E8" s="16">
        <v>611100</v>
      </c>
      <c r="F8" s="26" t="s">
        <v>107</v>
      </c>
      <c r="G8" s="138">
        <f>819000+8000+40900-4000</f>
        <v>863900</v>
      </c>
      <c r="H8" s="138"/>
      <c r="I8" s="90">
        <f t="shared" si="0"/>
        <v>0</v>
      </c>
      <c r="J8" s="62"/>
    </row>
    <row r="9" spans="2:9" ht="12.75" customHeight="1">
      <c r="B9" s="14"/>
      <c r="C9" s="15"/>
      <c r="D9" s="15"/>
      <c r="E9" s="16">
        <v>611200</v>
      </c>
      <c r="F9" s="15" t="s">
        <v>108</v>
      </c>
      <c r="G9" s="138">
        <f>170500+5000</f>
        <v>175500</v>
      </c>
      <c r="H9" s="138"/>
      <c r="I9" s="90">
        <f t="shared" si="0"/>
        <v>0</v>
      </c>
    </row>
    <row r="10" spans="2:11" ht="12.75" customHeight="1">
      <c r="B10" s="14"/>
      <c r="C10" s="15"/>
      <c r="D10" s="15"/>
      <c r="E10" s="16">
        <v>611200</v>
      </c>
      <c r="F10" s="134" t="s">
        <v>148</v>
      </c>
      <c r="G10" s="135">
        <v>0</v>
      </c>
      <c r="H10" s="135"/>
      <c r="I10" s="90">
        <f t="shared" si="0"/>
      </c>
      <c r="K10" s="54"/>
    </row>
    <row r="11" spans="2:9" ht="12.75" customHeight="1">
      <c r="B11" s="14"/>
      <c r="C11" s="15"/>
      <c r="D11" s="15"/>
      <c r="E11" s="16"/>
      <c r="F11" s="26"/>
      <c r="G11" s="138"/>
      <c r="H11" s="138"/>
      <c r="I11" s="90">
        <f t="shared" si="0"/>
      </c>
    </row>
    <row r="12" spans="2:9" ht="12.75" customHeight="1">
      <c r="B12" s="14"/>
      <c r="C12" s="15"/>
      <c r="D12" s="15"/>
      <c r="E12" s="16"/>
      <c r="F12" s="15"/>
      <c r="G12" s="136"/>
      <c r="H12" s="136"/>
      <c r="I12" s="90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81</v>
      </c>
      <c r="G13" s="136">
        <f>G14</f>
        <v>92000</v>
      </c>
      <c r="H13" s="136">
        <f>H14</f>
        <v>0</v>
      </c>
      <c r="I13" s="89">
        <f t="shared" si="0"/>
        <v>0</v>
      </c>
    </row>
    <row r="14" spans="2:9" ht="12.75" customHeight="1">
      <c r="B14" s="14"/>
      <c r="C14" s="15"/>
      <c r="D14" s="15"/>
      <c r="E14" s="16">
        <v>612100</v>
      </c>
      <c r="F14" s="18" t="s">
        <v>6</v>
      </c>
      <c r="G14" s="138">
        <f>88100+4400-500</f>
        <v>92000</v>
      </c>
      <c r="H14" s="138"/>
      <c r="I14" s="90">
        <f t="shared" si="0"/>
        <v>0</v>
      </c>
    </row>
    <row r="15" spans="2:9" ht="12.75" customHeight="1">
      <c r="B15" s="14"/>
      <c r="C15" s="15"/>
      <c r="D15" s="15"/>
      <c r="E15" s="16"/>
      <c r="F15" s="15"/>
      <c r="G15" s="34"/>
      <c r="H15" s="34"/>
      <c r="I15" s="90">
        <f t="shared" si="0"/>
      </c>
    </row>
    <row r="16" spans="2:9" ht="12.75" customHeight="1">
      <c r="B16" s="14"/>
      <c r="C16" s="15"/>
      <c r="D16" s="15"/>
      <c r="E16" s="16"/>
      <c r="F16" s="15"/>
      <c r="G16" s="20"/>
      <c r="H16" s="20"/>
      <c r="I16" s="90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83</v>
      </c>
      <c r="G17" s="37">
        <f>SUM(G18:G27)</f>
        <v>98500</v>
      </c>
      <c r="H17" s="37">
        <f>SUM(H18:H27)</f>
        <v>0</v>
      </c>
      <c r="I17" s="89">
        <f t="shared" si="0"/>
        <v>0</v>
      </c>
    </row>
    <row r="18" spans="2:9" ht="12.75" customHeight="1">
      <c r="B18" s="14"/>
      <c r="C18" s="15"/>
      <c r="D18" s="15"/>
      <c r="E18" s="16">
        <v>613100</v>
      </c>
      <c r="F18" s="15" t="s">
        <v>7</v>
      </c>
      <c r="G18" s="71">
        <v>5000</v>
      </c>
      <c r="H18" s="71"/>
      <c r="I18" s="90">
        <f t="shared" si="0"/>
        <v>0</v>
      </c>
    </row>
    <row r="19" spans="2:9" ht="12.75" customHeight="1">
      <c r="B19" s="14"/>
      <c r="C19" s="15"/>
      <c r="D19" s="15"/>
      <c r="E19" s="16">
        <v>613200</v>
      </c>
      <c r="F19" s="15" t="s">
        <v>8</v>
      </c>
      <c r="G19" s="71">
        <v>30000</v>
      </c>
      <c r="H19" s="71"/>
      <c r="I19" s="90">
        <f t="shared" si="0"/>
        <v>0</v>
      </c>
    </row>
    <row r="20" spans="2:9" ht="12.75" customHeight="1">
      <c r="B20" s="14"/>
      <c r="C20" s="15"/>
      <c r="D20" s="15"/>
      <c r="E20" s="16">
        <v>613300</v>
      </c>
      <c r="F20" s="26" t="s">
        <v>109</v>
      </c>
      <c r="G20" s="71">
        <v>6000</v>
      </c>
      <c r="H20" s="71"/>
      <c r="I20" s="90">
        <f t="shared" si="0"/>
        <v>0</v>
      </c>
    </row>
    <row r="21" spans="2:9" ht="12.75" customHeight="1">
      <c r="B21" s="14"/>
      <c r="C21" s="15"/>
      <c r="D21" s="15"/>
      <c r="E21" s="16">
        <v>613400</v>
      </c>
      <c r="F21" s="15" t="s">
        <v>84</v>
      </c>
      <c r="G21" s="71">
        <v>12000</v>
      </c>
      <c r="H21" s="71"/>
      <c r="I21" s="90">
        <f t="shared" si="0"/>
        <v>0</v>
      </c>
    </row>
    <row r="22" spans="2:9" ht="12.75" customHeight="1">
      <c r="B22" s="14"/>
      <c r="C22" s="15"/>
      <c r="D22" s="15"/>
      <c r="E22" s="16">
        <v>613500</v>
      </c>
      <c r="F22" s="15" t="s">
        <v>9</v>
      </c>
      <c r="G22" s="71">
        <v>500</v>
      </c>
      <c r="H22" s="71"/>
      <c r="I22" s="90">
        <f t="shared" si="0"/>
        <v>0</v>
      </c>
    </row>
    <row r="23" spans="2:9" ht="12.75" customHeight="1">
      <c r="B23" s="14"/>
      <c r="C23" s="15"/>
      <c r="D23" s="15"/>
      <c r="E23" s="16">
        <v>613600</v>
      </c>
      <c r="F23" s="26" t="s">
        <v>110</v>
      </c>
      <c r="G23" s="71">
        <v>0</v>
      </c>
      <c r="H23" s="71"/>
      <c r="I23" s="90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10</v>
      </c>
      <c r="G24" s="71">
        <v>9000</v>
      </c>
      <c r="H24" s="71"/>
      <c r="I24" s="90">
        <f t="shared" si="0"/>
        <v>0</v>
      </c>
    </row>
    <row r="25" spans="2:9" ht="12.75" customHeight="1">
      <c r="B25" s="14"/>
      <c r="C25" s="15"/>
      <c r="D25" s="15"/>
      <c r="E25" s="16">
        <v>613800</v>
      </c>
      <c r="F25" s="15" t="s">
        <v>85</v>
      </c>
      <c r="G25" s="71">
        <v>0</v>
      </c>
      <c r="H25" s="71"/>
      <c r="I25" s="90">
        <f t="shared" si="0"/>
      </c>
    </row>
    <row r="26" spans="2:9" ht="12.75" customHeight="1">
      <c r="B26" s="14"/>
      <c r="C26" s="15"/>
      <c r="D26" s="15"/>
      <c r="E26" s="16">
        <v>613900</v>
      </c>
      <c r="F26" s="15" t="s">
        <v>86</v>
      </c>
      <c r="G26" s="71">
        <v>36000</v>
      </c>
      <c r="H26" s="71"/>
      <c r="I26" s="90">
        <f t="shared" si="0"/>
        <v>0</v>
      </c>
    </row>
    <row r="27" spans="2:9" ht="12.75" customHeight="1">
      <c r="B27" s="14"/>
      <c r="C27" s="15"/>
      <c r="D27" s="15"/>
      <c r="E27" s="16">
        <v>613900</v>
      </c>
      <c r="F27" s="134" t="s">
        <v>149</v>
      </c>
      <c r="G27" s="71">
        <v>0</v>
      </c>
      <c r="H27" s="71"/>
      <c r="I27" s="90">
        <f t="shared" si="0"/>
      </c>
    </row>
    <row r="28" spans="2:9" s="1" customFormat="1" ht="12.75" customHeight="1">
      <c r="B28" s="17"/>
      <c r="C28" s="12"/>
      <c r="D28" s="12"/>
      <c r="E28" s="9"/>
      <c r="F28" s="12"/>
      <c r="G28" s="71"/>
      <c r="H28" s="71"/>
      <c r="I28" s="90">
        <f t="shared" si="0"/>
      </c>
    </row>
    <row r="29" spans="2:9" ht="12.75" customHeight="1">
      <c r="B29" s="14"/>
      <c r="C29" s="15"/>
      <c r="D29" s="29"/>
      <c r="E29" s="16"/>
      <c r="F29" s="28"/>
      <c r="G29" s="71"/>
      <c r="H29" s="71"/>
      <c r="I29" s="90">
        <f t="shared" si="0"/>
      </c>
    </row>
    <row r="30" spans="2:9" ht="12.75" customHeight="1">
      <c r="B30" s="14"/>
      <c r="C30" s="15"/>
      <c r="D30" s="15"/>
      <c r="E30" s="42"/>
      <c r="F30" s="28"/>
      <c r="G30" s="71"/>
      <c r="H30" s="71"/>
      <c r="I30" s="90">
        <f t="shared" si="0"/>
      </c>
    </row>
    <row r="31" spans="2:9" ht="12.75" customHeight="1">
      <c r="B31" s="14"/>
      <c r="C31" s="15"/>
      <c r="D31" s="15"/>
      <c r="E31" s="16"/>
      <c r="F31" s="15"/>
      <c r="G31" s="71"/>
      <c r="H31" s="71"/>
      <c r="I31" s="90">
        <f t="shared" si="0"/>
      </c>
    </row>
    <row r="32" spans="2:9" ht="12.75" customHeight="1">
      <c r="B32" s="14"/>
      <c r="C32" s="15"/>
      <c r="D32" s="15"/>
      <c r="E32" s="16"/>
      <c r="F32" s="15"/>
      <c r="G32" s="71"/>
      <c r="H32" s="71"/>
      <c r="I32" s="90">
        <f t="shared" si="0"/>
      </c>
    </row>
    <row r="33" spans="2:9" ht="12.75" customHeight="1">
      <c r="B33" s="14"/>
      <c r="C33" s="15"/>
      <c r="D33" s="15"/>
      <c r="E33" s="9"/>
      <c r="F33" s="12"/>
      <c r="G33" s="71"/>
      <c r="H33" s="71"/>
      <c r="I33" s="90">
        <f t="shared" si="0"/>
      </c>
    </row>
    <row r="34" spans="2:9" ht="12.75" customHeight="1">
      <c r="B34" s="14"/>
      <c r="C34" s="15"/>
      <c r="D34" s="15"/>
      <c r="E34" s="16"/>
      <c r="F34" s="26"/>
      <c r="G34" s="71"/>
      <c r="H34" s="71"/>
      <c r="I34" s="90">
        <f t="shared" si="0"/>
      </c>
    </row>
    <row r="35" spans="2:9" ht="12.75" customHeight="1">
      <c r="B35" s="14"/>
      <c r="C35" s="15"/>
      <c r="D35" s="15"/>
      <c r="E35" s="16"/>
      <c r="F35" s="15"/>
      <c r="G35" s="63"/>
      <c r="H35" s="63"/>
      <c r="I35" s="90">
        <f t="shared" si="0"/>
      </c>
    </row>
    <row r="36" spans="2:9" s="1" customFormat="1" ht="12.75" customHeight="1">
      <c r="B36" s="17"/>
      <c r="C36" s="12"/>
      <c r="D36" s="12"/>
      <c r="E36" s="9">
        <v>821000</v>
      </c>
      <c r="F36" s="12" t="s">
        <v>13</v>
      </c>
      <c r="G36" s="63">
        <f>SUM(G37:G39)</f>
        <v>3000</v>
      </c>
      <c r="H36" s="63">
        <f>SUM(H37:H39)</f>
        <v>0</v>
      </c>
      <c r="I36" s="89">
        <f t="shared" si="0"/>
        <v>0</v>
      </c>
    </row>
    <row r="37" spans="2:9" ht="12.75" customHeight="1">
      <c r="B37" s="14"/>
      <c r="C37" s="15"/>
      <c r="D37" s="15"/>
      <c r="E37" s="16">
        <v>821200</v>
      </c>
      <c r="F37" s="15" t="s">
        <v>14</v>
      </c>
      <c r="G37" s="71">
        <v>0</v>
      </c>
      <c r="H37" s="71"/>
      <c r="I37" s="90">
        <f t="shared" si="0"/>
      </c>
    </row>
    <row r="38" spans="2:9" ht="12.75" customHeight="1">
      <c r="B38" s="14"/>
      <c r="C38" s="15"/>
      <c r="D38" s="15"/>
      <c r="E38" s="16">
        <v>821300</v>
      </c>
      <c r="F38" s="15" t="s">
        <v>15</v>
      </c>
      <c r="G38" s="71">
        <v>3000</v>
      </c>
      <c r="H38" s="71"/>
      <c r="I38" s="90">
        <f t="shared" si="0"/>
        <v>0</v>
      </c>
    </row>
    <row r="39" spans="2:9" ht="12.75" customHeight="1">
      <c r="B39" s="14"/>
      <c r="C39" s="15"/>
      <c r="D39" s="15"/>
      <c r="E39" s="16"/>
      <c r="F39" s="26"/>
      <c r="G39" s="71"/>
      <c r="H39" s="71"/>
      <c r="I39" s="90">
        <f t="shared" si="0"/>
      </c>
    </row>
    <row r="40" spans="2:9" ht="12.75" customHeight="1">
      <c r="B40" s="14"/>
      <c r="C40" s="15"/>
      <c r="D40" s="15"/>
      <c r="E40" s="16"/>
      <c r="F40" s="15"/>
      <c r="G40" s="71"/>
      <c r="H40" s="71"/>
      <c r="I40" s="90">
        <f t="shared" si="0"/>
      </c>
    </row>
    <row r="41" spans="2:9" s="1" customFormat="1" ht="12.75" customHeight="1">
      <c r="B41" s="17"/>
      <c r="C41" s="12"/>
      <c r="D41" s="12"/>
      <c r="E41" s="9"/>
      <c r="F41" s="12" t="s">
        <v>16</v>
      </c>
      <c r="G41" s="25" t="s">
        <v>159</v>
      </c>
      <c r="H41" s="25"/>
      <c r="I41" s="90"/>
    </row>
    <row r="42" spans="2:9" s="1" customFormat="1" ht="12.75" customHeight="1">
      <c r="B42" s="17"/>
      <c r="C42" s="12"/>
      <c r="D42" s="12"/>
      <c r="E42" s="9"/>
      <c r="F42" s="12" t="s">
        <v>32</v>
      </c>
      <c r="G42" s="20">
        <f>G7+G13+G17+G36</f>
        <v>1232900</v>
      </c>
      <c r="H42" s="20">
        <f>H7+H13+H17+H36</f>
        <v>0</v>
      </c>
      <c r="I42" s="89">
        <f t="shared" si="0"/>
        <v>0</v>
      </c>
    </row>
    <row r="43" spans="2:9" s="1" customFormat="1" ht="12.75" customHeight="1">
      <c r="B43" s="17"/>
      <c r="C43" s="12"/>
      <c r="D43" s="12"/>
      <c r="E43" s="9"/>
      <c r="F43" s="12" t="s">
        <v>17</v>
      </c>
      <c r="G43" s="20"/>
      <c r="H43" s="20"/>
      <c r="I43" s="92"/>
    </row>
    <row r="44" spans="2:9" s="1" customFormat="1" ht="12.75" customHeight="1">
      <c r="B44" s="17"/>
      <c r="C44" s="12"/>
      <c r="D44" s="12"/>
      <c r="E44" s="9"/>
      <c r="F44" s="12" t="s">
        <v>18</v>
      </c>
      <c r="G44" s="33"/>
      <c r="H44" s="33"/>
      <c r="I44" s="91"/>
    </row>
    <row r="45" spans="2:9" ht="12.75" customHeight="1" thickBot="1">
      <c r="B45" s="21"/>
      <c r="C45" s="22"/>
      <c r="D45" s="22"/>
      <c r="E45" s="23"/>
      <c r="F45" s="22"/>
      <c r="G45" s="35"/>
      <c r="H45" s="35"/>
      <c r="I45" s="93"/>
    </row>
    <row r="46" ht="12.75">
      <c r="G46" s="55"/>
    </row>
    <row r="47" ht="12.75">
      <c r="G47" s="55"/>
    </row>
    <row r="48" spans="2:7" ht="12.75">
      <c r="B48" s="51"/>
      <c r="G48" s="55"/>
    </row>
    <row r="49" spans="2:7" ht="12.75">
      <c r="B49" s="51"/>
      <c r="G49" s="55"/>
    </row>
    <row r="50" spans="2:7" ht="12.75">
      <c r="B50" s="51"/>
      <c r="G50" s="55"/>
    </row>
    <row r="51" spans="2:7" ht="12.75">
      <c r="B51" s="51"/>
      <c r="G51" s="55"/>
    </row>
    <row r="52" spans="2:7" ht="12.75">
      <c r="B52" s="51"/>
      <c r="G52" s="55"/>
    </row>
    <row r="53" spans="2:7" ht="12.75">
      <c r="B53" s="51"/>
      <c r="G53" s="55"/>
    </row>
    <row r="54" spans="2:7" ht="12.75">
      <c r="B54" s="51"/>
      <c r="G54" s="55"/>
    </row>
    <row r="55" ht="12.75">
      <c r="G55" s="55"/>
    </row>
    <row r="56" ht="12.75">
      <c r="G56" s="55"/>
    </row>
    <row r="57" ht="12.75">
      <c r="G57" s="55"/>
    </row>
    <row r="58" ht="12.75">
      <c r="G58" s="55"/>
    </row>
    <row r="59" ht="12.75">
      <c r="G59" s="55"/>
    </row>
    <row r="60" ht="12.75">
      <c r="G60" s="55"/>
    </row>
    <row r="61" ht="12.75">
      <c r="G61" s="55"/>
    </row>
    <row r="62" ht="12.75">
      <c r="G62" s="55"/>
    </row>
  </sheetData>
  <sheetProtection/>
  <mergeCells count="2">
    <mergeCell ref="B2:G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&amp;R31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7"/>
  <dimension ref="B2:K54"/>
  <sheetViews>
    <sheetView workbookViewId="0" topLeftCell="C1">
      <selection activeCell="H4" sqref="H4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8515625" style="24" customWidth="1"/>
    <col min="6" max="6" width="43.7109375" style="13" customWidth="1"/>
    <col min="7" max="8" width="15.7109375" style="13" customWidth="1"/>
    <col min="9" max="9" width="8.7109375" style="80" customWidth="1"/>
    <col min="10" max="16384" width="9.140625" style="13" customWidth="1"/>
  </cols>
  <sheetData>
    <row r="2" spans="2:9" ht="15" customHeight="1">
      <c r="B2" s="143" t="s">
        <v>88</v>
      </c>
      <c r="C2" s="143"/>
      <c r="D2" s="143"/>
      <c r="E2" s="143"/>
      <c r="F2" s="143"/>
      <c r="G2" s="143"/>
      <c r="H2" s="143"/>
      <c r="I2" s="83"/>
    </row>
    <row r="3" spans="5:9" s="1" customFormat="1" ht="16.5" thickBot="1">
      <c r="E3" s="2"/>
      <c r="F3" s="144" t="s">
        <v>165</v>
      </c>
      <c r="G3" s="144"/>
      <c r="H3" s="108">
        <v>2564990</v>
      </c>
      <c r="I3" s="109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31" t="s">
        <v>147</v>
      </c>
      <c r="H4" s="131" t="s">
        <v>164</v>
      </c>
      <c r="I4" s="86" t="s">
        <v>139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2">
        <v>6</v>
      </c>
      <c r="H5" s="9">
        <v>7</v>
      </c>
      <c r="I5" s="87">
        <v>8</v>
      </c>
    </row>
    <row r="6" spans="2:9" s="2" customFormat="1" ht="12.75" customHeight="1">
      <c r="B6" s="10" t="s">
        <v>63</v>
      </c>
      <c r="C6" s="11" t="s">
        <v>65</v>
      </c>
      <c r="D6" s="11" t="s">
        <v>37</v>
      </c>
      <c r="E6" s="9"/>
      <c r="F6" s="9"/>
      <c r="G6" s="32"/>
      <c r="H6" s="9"/>
      <c r="I6" s="88"/>
    </row>
    <row r="7" spans="2:9" s="1" customFormat="1" ht="12.75" customHeight="1">
      <c r="B7" s="17"/>
      <c r="C7" s="12"/>
      <c r="D7" s="12"/>
      <c r="E7" s="9">
        <v>611000</v>
      </c>
      <c r="F7" s="12" t="s">
        <v>82</v>
      </c>
      <c r="G7" s="136">
        <f>SUM(G8:G11)</f>
        <v>2144800</v>
      </c>
      <c r="H7" s="136">
        <f>SUM(H8:H11)</f>
        <v>0</v>
      </c>
      <c r="I7" s="89">
        <f aca="true" t="shared" si="0" ref="I7:I42">IF(G7=0,"",H7/G7*100)</f>
        <v>0</v>
      </c>
    </row>
    <row r="8" spans="2:9" ht="12.75" customHeight="1">
      <c r="B8" s="14"/>
      <c r="C8" s="15"/>
      <c r="D8" s="15"/>
      <c r="E8" s="16">
        <v>611100</v>
      </c>
      <c r="F8" s="26" t="s">
        <v>107</v>
      </c>
      <c r="G8" s="135">
        <f>1659400+6000+83400-2200</f>
        <v>1746600</v>
      </c>
      <c r="H8" s="135"/>
      <c r="I8" s="90">
        <f t="shared" si="0"/>
        <v>0</v>
      </c>
    </row>
    <row r="9" spans="2:11" ht="12.75" customHeight="1">
      <c r="B9" s="14"/>
      <c r="C9" s="15"/>
      <c r="D9" s="15"/>
      <c r="E9" s="16">
        <v>611200</v>
      </c>
      <c r="F9" s="15" t="s">
        <v>108</v>
      </c>
      <c r="G9" s="135">
        <f>380000+5000+13200</f>
        <v>398200</v>
      </c>
      <c r="H9" s="135"/>
      <c r="I9" s="90">
        <f t="shared" si="0"/>
        <v>0</v>
      </c>
      <c r="K9" s="55"/>
    </row>
    <row r="10" spans="2:11" ht="12.75" customHeight="1">
      <c r="B10" s="14"/>
      <c r="C10" s="15"/>
      <c r="D10" s="15"/>
      <c r="E10" s="16">
        <v>611200</v>
      </c>
      <c r="F10" s="134" t="s">
        <v>148</v>
      </c>
      <c r="G10" s="135">
        <v>0</v>
      </c>
      <c r="H10" s="135"/>
      <c r="I10" s="90">
        <f t="shared" si="0"/>
      </c>
      <c r="K10" s="54"/>
    </row>
    <row r="11" spans="2:9" ht="12.75" customHeight="1">
      <c r="B11" s="14"/>
      <c r="C11" s="15"/>
      <c r="D11" s="15"/>
      <c r="E11" s="16"/>
      <c r="F11" s="26"/>
      <c r="G11" s="135"/>
      <c r="H11" s="135"/>
      <c r="I11" s="90">
        <f t="shared" si="0"/>
      </c>
    </row>
    <row r="12" spans="2:9" ht="12.75" customHeight="1">
      <c r="B12" s="14"/>
      <c r="C12" s="15"/>
      <c r="D12" s="15"/>
      <c r="E12" s="16"/>
      <c r="F12" s="15"/>
      <c r="G12" s="136"/>
      <c r="H12" s="136"/>
      <c r="I12" s="90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81</v>
      </c>
      <c r="G13" s="136">
        <f>G14</f>
        <v>187190</v>
      </c>
      <c r="H13" s="136">
        <f>H14</f>
        <v>0</v>
      </c>
      <c r="I13" s="89">
        <f t="shared" si="0"/>
        <v>0</v>
      </c>
    </row>
    <row r="14" spans="2:9" ht="12.75" customHeight="1">
      <c r="B14" s="14"/>
      <c r="C14" s="15"/>
      <c r="D14" s="15"/>
      <c r="E14" s="16">
        <v>612100</v>
      </c>
      <c r="F14" s="18" t="s">
        <v>6</v>
      </c>
      <c r="G14" s="135">
        <f>178500+8900-210</f>
        <v>187190</v>
      </c>
      <c r="H14" s="135"/>
      <c r="I14" s="90">
        <f t="shared" si="0"/>
        <v>0</v>
      </c>
    </row>
    <row r="15" spans="2:9" ht="12.75" customHeight="1">
      <c r="B15" s="14"/>
      <c r="C15" s="15"/>
      <c r="D15" s="15"/>
      <c r="E15" s="16"/>
      <c r="F15" s="15"/>
      <c r="G15" s="52"/>
      <c r="H15" s="52"/>
      <c r="I15" s="90">
        <f t="shared" si="0"/>
      </c>
    </row>
    <row r="16" spans="2:9" ht="12.75" customHeight="1">
      <c r="B16" s="14"/>
      <c r="C16" s="15"/>
      <c r="D16" s="15"/>
      <c r="E16" s="16"/>
      <c r="F16" s="15"/>
      <c r="G16" s="37"/>
      <c r="H16" s="37"/>
      <c r="I16" s="90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83</v>
      </c>
      <c r="G17" s="37">
        <f>SUM(G18:G27)</f>
        <v>215000</v>
      </c>
      <c r="H17" s="37">
        <f>SUM(H18:H27)</f>
        <v>0</v>
      </c>
      <c r="I17" s="89">
        <f t="shared" si="0"/>
        <v>0</v>
      </c>
    </row>
    <row r="18" spans="2:9" ht="12.75" customHeight="1">
      <c r="B18" s="14"/>
      <c r="C18" s="15"/>
      <c r="D18" s="15"/>
      <c r="E18" s="16">
        <v>613100</v>
      </c>
      <c r="F18" s="15" t="s">
        <v>7</v>
      </c>
      <c r="G18" s="33">
        <v>12000</v>
      </c>
      <c r="H18" s="33"/>
      <c r="I18" s="90">
        <f t="shared" si="0"/>
        <v>0</v>
      </c>
    </row>
    <row r="19" spans="2:9" ht="12.75" customHeight="1">
      <c r="B19" s="14"/>
      <c r="C19" s="15"/>
      <c r="D19" s="15"/>
      <c r="E19" s="16">
        <v>613200</v>
      </c>
      <c r="F19" s="15" t="s">
        <v>8</v>
      </c>
      <c r="G19" s="33">
        <f>73000+4000</f>
        <v>77000</v>
      </c>
      <c r="H19" s="33"/>
      <c r="I19" s="90">
        <f t="shared" si="0"/>
        <v>0</v>
      </c>
    </row>
    <row r="20" spans="2:9" ht="12.75" customHeight="1">
      <c r="B20" s="14"/>
      <c r="C20" s="15"/>
      <c r="D20" s="15"/>
      <c r="E20" s="16">
        <v>613300</v>
      </c>
      <c r="F20" s="26" t="s">
        <v>109</v>
      </c>
      <c r="G20" s="33">
        <v>11000</v>
      </c>
      <c r="H20" s="33"/>
      <c r="I20" s="90">
        <f t="shared" si="0"/>
        <v>0</v>
      </c>
    </row>
    <row r="21" spans="2:9" ht="12.75" customHeight="1">
      <c r="B21" s="14"/>
      <c r="C21" s="15"/>
      <c r="D21" s="15"/>
      <c r="E21" s="16">
        <v>613400</v>
      </c>
      <c r="F21" s="15" t="s">
        <v>84</v>
      </c>
      <c r="G21" s="52">
        <v>20000</v>
      </c>
      <c r="H21" s="52"/>
      <c r="I21" s="90">
        <f t="shared" si="0"/>
        <v>0</v>
      </c>
    </row>
    <row r="22" spans="2:9" ht="12.75" customHeight="1">
      <c r="B22" s="14"/>
      <c r="C22" s="15"/>
      <c r="D22" s="15"/>
      <c r="E22" s="16">
        <v>613500</v>
      </c>
      <c r="F22" s="15" t="s">
        <v>9</v>
      </c>
      <c r="G22" s="52">
        <v>1500</v>
      </c>
      <c r="H22" s="52"/>
      <c r="I22" s="90">
        <f t="shared" si="0"/>
        <v>0</v>
      </c>
    </row>
    <row r="23" spans="2:9" ht="12.75" customHeight="1">
      <c r="B23" s="14"/>
      <c r="C23" s="15"/>
      <c r="D23" s="15"/>
      <c r="E23" s="16">
        <v>613600</v>
      </c>
      <c r="F23" s="26" t="s">
        <v>110</v>
      </c>
      <c r="G23" s="52">
        <v>0</v>
      </c>
      <c r="H23" s="52"/>
      <c r="I23" s="90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10</v>
      </c>
      <c r="G24" s="52">
        <f>20000+1500</f>
        <v>21500</v>
      </c>
      <c r="H24" s="52"/>
      <c r="I24" s="90">
        <f t="shared" si="0"/>
        <v>0</v>
      </c>
    </row>
    <row r="25" spans="2:9" ht="12.75" customHeight="1">
      <c r="B25" s="14"/>
      <c r="C25" s="15"/>
      <c r="D25" s="15"/>
      <c r="E25" s="16">
        <v>613800</v>
      </c>
      <c r="F25" s="15" t="s">
        <v>85</v>
      </c>
      <c r="G25" s="52">
        <v>0</v>
      </c>
      <c r="H25" s="52"/>
      <c r="I25" s="90">
        <f t="shared" si="0"/>
      </c>
    </row>
    <row r="26" spans="2:9" ht="12.75" customHeight="1">
      <c r="B26" s="14"/>
      <c r="C26" s="15"/>
      <c r="D26" s="15"/>
      <c r="E26" s="16">
        <v>613900</v>
      </c>
      <c r="F26" s="15" t="s">
        <v>86</v>
      </c>
      <c r="G26" s="52">
        <v>72000</v>
      </c>
      <c r="H26" s="52"/>
      <c r="I26" s="90">
        <f t="shared" si="0"/>
        <v>0</v>
      </c>
    </row>
    <row r="27" spans="2:9" ht="12.75" customHeight="1">
      <c r="B27" s="14"/>
      <c r="C27" s="15"/>
      <c r="D27" s="15"/>
      <c r="E27" s="16">
        <v>613900</v>
      </c>
      <c r="F27" s="134" t="s">
        <v>149</v>
      </c>
      <c r="G27" s="105">
        <v>0</v>
      </c>
      <c r="H27" s="105"/>
      <c r="I27" s="90">
        <f t="shared" si="0"/>
      </c>
    </row>
    <row r="28" spans="2:9" s="1" customFormat="1" ht="12.75" customHeight="1">
      <c r="B28" s="17"/>
      <c r="C28" s="12"/>
      <c r="D28" s="12"/>
      <c r="E28" s="9"/>
      <c r="F28" s="12"/>
      <c r="G28" s="52"/>
      <c r="H28" s="52"/>
      <c r="I28" s="90">
        <f t="shared" si="0"/>
      </c>
    </row>
    <row r="29" spans="2:9" ht="12.75" customHeight="1">
      <c r="B29" s="14"/>
      <c r="C29" s="15"/>
      <c r="D29" s="29"/>
      <c r="E29" s="16"/>
      <c r="F29" s="28"/>
      <c r="G29" s="52"/>
      <c r="H29" s="52"/>
      <c r="I29" s="90">
        <f t="shared" si="0"/>
      </c>
    </row>
    <row r="30" spans="2:9" ht="12.75" customHeight="1">
      <c r="B30" s="14"/>
      <c r="C30" s="15"/>
      <c r="D30" s="15"/>
      <c r="E30" s="42"/>
      <c r="F30" s="28"/>
      <c r="G30" s="52"/>
      <c r="H30" s="52"/>
      <c r="I30" s="90">
        <f t="shared" si="0"/>
      </c>
    </row>
    <row r="31" spans="2:9" ht="12.75" customHeight="1">
      <c r="B31" s="14"/>
      <c r="C31" s="15"/>
      <c r="D31" s="15"/>
      <c r="E31" s="16"/>
      <c r="F31" s="15"/>
      <c r="G31" s="52"/>
      <c r="H31" s="52"/>
      <c r="I31" s="90">
        <f t="shared" si="0"/>
      </c>
    </row>
    <row r="32" spans="2:9" ht="12.75" customHeight="1">
      <c r="B32" s="14"/>
      <c r="C32" s="15"/>
      <c r="D32" s="15"/>
      <c r="E32" s="16"/>
      <c r="F32" s="15"/>
      <c r="G32" s="52"/>
      <c r="H32" s="52"/>
      <c r="I32" s="90">
        <f t="shared" si="0"/>
      </c>
    </row>
    <row r="33" spans="2:9" ht="12.75" customHeight="1">
      <c r="B33" s="14"/>
      <c r="C33" s="15"/>
      <c r="D33" s="15"/>
      <c r="E33" s="9"/>
      <c r="F33" s="12"/>
      <c r="G33" s="52"/>
      <c r="H33" s="52"/>
      <c r="I33" s="90">
        <f t="shared" si="0"/>
      </c>
    </row>
    <row r="34" spans="2:9" ht="12.75" customHeight="1">
      <c r="B34" s="14"/>
      <c r="C34" s="15"/>
      <c r="D34" s="15"/>
      <c r="E34" s="16"/>
      <c r="F34" s="26"/>
      <c r="G34" s="52"/>
      <c r="H34" s="52"/>
      <c r="I34" s="90">
        <f t="shared" si="0"/>
      </c>
    </row>
    <row r="35" spans="2:9" ht="12.75" customHeight="1">
      <c r="B35" s="14"/>
      <c r="C35" s="15"/>
      <c r="D35" s="15"/>
      <c r="E35" s="16"/>
      <c r="F35" s="15"/>
      <c r="G35" s="63"/>
      <c r="H35" s="63"/>
      <c r="I35" s="90">
        <f t="shared" si="0"/>
      </c>
    </row>
    <row r="36" spans="2:9" s="1" customFormat="1" ht="12.75" customHeight="1">
      <c r="B36" s="17"/>
      <c r="C36" s="12"/>
      <c r="D36" s="12"/>
      <c r="E36" s="9">
        <v>821000</v>
      </c>
      <c r="F36" s="12" t="s">
        <v>13</v>
      </c>
      <c r="G36" s="63">
        <f>SUM(G37:G39)</f>
        <v>7000</v>
      </c>
      <c r="H36" s="63">
        <f>SUM(H37:H39)</f>
        <v>0</v>
      </c>
      <c r="I36" s="89">
        <f t="shared" si="0"/>
        <v>0</v>
      </c>
    </row>
    <row r="37" spans="2:10" ht="12.75" customHeight="1">
      <c r="B37" s="14"/>
      <c r="C37" s="15"/>
      <c r="D37" s="15"/>
      <c r="E37" s="16">
        <v>821200</v>
      </c>
      <c r="F37" s="15" t="s">
        <v>14</v>
      </c>
      <c r="G37" s="52">
        <v>0</v>
      </c>
      <c r="H37" s="52"/>
      <c r="I37" s="90">
        <f t="shared" si="0"/>
      </c>
      <c r="J37" s="51"/>
    </row>
    <row r="38" spans="2:9" ht="12.75" customHeight="1">
      <c r="B38" s="14"/>
      <c r="C38" s="15"/>
      <c r="D38" s="15"/>
      <c r="E38" s="16">
        <v>821300</v>
      </c>
      <c r="F38" s="15" t="s">
        <v>15</v>
      </c>
      <c r="G38" s="52">
        <v>7000</v>
      </c>
      <c r="H38" s="52"/>
      <c r="I38" s="90">
        <f t="shared" si="0"/>
        <v>0</v>
      </c>
    </row>
    <row r="39" spans="2:9" ht="12.75" customHeight="1">
      <c r="B39" s="14"/>
      <c r="C39" s="15"/>
      <c r="D39" s="15"/>
      <c r="E39" s="16"/>
      <c r="F39" s="26"/>
      <c r="G39" s="52"/>
      <c r="H39" s="52"/>
      <c r="I39" s="90">
        <f t="shared" si="0"/>
      </c>
    </row>
    <row r="40" spans="2:9" ht="12.75" customHeight="1">
      <c r="B40" s="14"/>
      <c r="C40" s="15"/>
      <c r="D40" s="15"/>
      <c r="E40" s="16"/>
      <c r="F40" s="15"/>
      <c r="G40" s="63"/>
      <c r="H40" s="63"/>
      <c r="I40" s="90">
        <f t="shared" si="0"/>
      </c>
    </row>
    <row r="41" spans="2:9" s="1" customFormat="1" ht="12.75" customHeight="1">
      <c r="B41" s="17"/>
      <c r="C41" s="12"/>
      <c r="D41" s="12"/>
      <c r="E41" s="9"/>
      <c r="F41" s="12" t="s">
        <v>16</v>
      </c>
      <c r="G41" s="25" t="s">
        <v>160</v>
      </c>
      <c r="H41" s="25"/>
      <c r="I41" s="90"/>
    </row>
    <row r="42" spans="2:9" s="1" customFormat="1" ht="12.75" customHeight="1">
      <c r="B42" s="17"/>
      <c r="C42" s="12"/>
      <c r="D42" s="12"/>
      <c r="E42" s="9"/>
      <c r="F42" s="12" t="s">
        <v>32</v>
      </c>
      <c r="G42" s="20">
        <f>G7+G13+G17+G36</f>
        <v>2553990</v>
      </c>
      <c r="H42" s="20">
        <f>H7+H13+H17+H36</f>
        <v>0</v>
      </c>
      <c r="I42" s="89">
        <f t="shared" si="0"/>
        <v>0</v>
      </c>
    </row>
    <row r="43" spans="2:9" s="1" customFormat="1" ht="12.75" customHeight="1">
      <c r="B43" s="17"/>
      <c r="C43" s="12"/>
      <c r="D43" s="12"/>
      <c r="E43" s="9"/>
      <c r="F43" s="12" t="s">
        <v>17</v>
      </c>
      <c r="G43" s="20"/>
      <c r="H43" s="20"/>
      <c r="I43" s="92"/>
    </row>
    <row r="44" spans="2:9" s="1" customFormat="1" ht="12.75" customHeight="1">
      <c r="B44" s="17"/>
      <c r="C44" s="12"/>
      <c r="D44" s="12"/>
      <c r="E44" s="9"/>
      <c r="F44" s="12" t="s">
        <v>18</v>
      </c>
      <c r="G44" s="33"/>
      <c r="H44" s="33"/>
      <c r="I44" s="91"/>
    </row>
    <row r="45" spans="2:9" ht="12.75" customHeight="1" thickBot="1">
      <c r="B45" s="21"/>
      <c r="C45" s="22"/>
      <c r="D45" s="22"/>
      <c r="E45" s="23"/>
      <c r="F45" s="22"/>
      <c r="G45" s="22"/>
      <c r="H45" s="22"/>
      <c r="I45" s="93"/>
    </row>
    <row r="48" ht="12.75">
      <c r="B48" s="51"/>
    </row>
    <row r="49" ht="12.75">
      <c r="B49" s="51"/>
    </row>
    <row r="50" ht="12.75">
      <c r="B50" s="51"/>
    </row>
    <row r="51" ht="12.75">
      <c r="B51" s="51"/>
    </row>
    <row r="52" ht="12.75">
      <c r="B52" s="51"/>
    </row>
    <row r="53" ht="12.75">
      <c r="B53" s="51"/>
    </row>
    <row r="54" ht="12.75">
      <c r="B54" s="51"/>
    </row>
  </sheetData>
  <sheetProtection/>
  <mergeCells count="2">
    <mergeCell ref="B2:H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&amp;R32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8"/>
  <dimension ref="B2:K62"/>
  <sheetViews>
    <sheetView workbookViewId="0" topLeftCell="B1">
      <selection activeCell="H4" sqref="H4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1.140625" style="24" customWidth="1"/>
    <col min="6" max="6" width="43.7109375" style="13" customWidth="1"/>
    <col min="7" max="7" width="15.7109375" style="13" customWidth="1"/>
    <col min="8" max="8" width="15.7109375" style="55" customWidth="1"/>
    <col min="9" max="9" width="8.7109375" style="80" customWidth="1"/>
    <col min="10" max="16384" width="9.140625" style="13" customWidth="1"/>
  </cols>
  <sheetData>
    <row r="2" spans="2:7" ht="15" customHeight="1">
      <c r="B2" s="143" t="s">
        <v>89</v>
      </c>
      <c r="C2" s="143"/>
      <c r="D2" s="143"/>
      <c r="E2" s="143"/>
      <c r="F2" s="143"/>
      <c r="G2" s="143"/>
    </row>
    <row r="3" spans="5:9" s="1" customFormat="1" ht="16.5" thickBot="1">
      <c r="E3" s="2"/>
      <c r="F3" s="144" t="s">
        <v>165</v>
      </c>
      <c r="G3" s="144"/>
      <c r="H3" s="108">
        <v>683700</v>
      </c>
      <c r="I3" s="109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31" t="s">
        <v>147</v>
      </c>
      <c r="H4" s="131" t="s">
        <v>164</v>
      </c>
      <c r="I4" s="86" t="s">
        <v>139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2">
        <v>6</v>
      </c>
      <c r="H5" s="9">
        <v>7</v>
      </c>
      <c r="I5" s="87">
        <v>8</v>
      </c>
    </row>
    <row r="6" spans="2:9" s="2" customFormat="1" ht="12.75" customHeight="1">
      <c r="B6" s="10" t="s">
        <v>63</v>
      </c>
      <c r="C6" s="11" t="s">
        <v>65</v>
      </c>
      <c r="D6" s="11" t="s">
        <v>44</v>
      </c>
      <c r="E6" s="9"/>
      <c r="F6" s="9"/>
      <c r="G6" s="32"/>
      <c r="H6" s="102"/>
      <c r="I6" s="88"/>
    </row>
    <row r="7" spans="2:9" s="1" customFormat="1" ht="12.75" customHeight="1">
      <c r="B7" s="17"/>
      <c r="C7" s="12"/>
      <c r="D7" s="12"/>
      <c r="E7" s="9">
        <v>611000</v>
      </c>
      <c r="F7" s="12" t="s">
        <v>82</v>
      </c>
      <c r="G7" s="136">
        <f>SUM(G8:G11)</f>
        <v>581300</v>
      </c>
      <c r="H7" s="136">
        <f>SUM(H8:H11)</f>
        <v>0</v>
      </c>
      <c r="I7" s="89">
        <f aca="true" t="shared" si="0" ref="I7:I42">IF(G7=0,"",H7/G7*100)</f>
        <v>0</v>
      </c>
    </row>
    <row r="8" spans="2:9" ht="12.75" customHeight="1">
      <c r="B8" s="14"/>
      <c r="C8" s="15"/>
      <c r="D8" s="15"/>
      <c r="E8" s="16">
        <v>611100</v>
      </c>
      <c r="F8" s="26" t="s">
        <v>107</v>
      </c>
      <c r="G8" s="138">
        <f>453200+22600</f>
        <v>475800</v>
      </c>
      <c r="H8" s="138"/>
      <c r="I8" s="90">
        <f t="shared" si="0"/>
        <v>0</v>
      </c>
    </row>
    <row r="9" spans="2:9" ht="12.75" customHeight="1">
      <c r="B9" s="14"/>
      <c r="C9" s="15"/>
      <c r="D9" s="15"/>
      <c r="E9" s="16">
        <v>611200</v>
      </c>
      <c r="F9" s="15" t="s">
        <v>108</v>
      </c>
      <c r="G9" s="138">
        <f>102500+3000</f>
        <v>105500</v>
      </c>
      <c r="H9" s="138"/>
      <c r="I9" s="90">
        <f t="shared" si="0"/>
        <v>0</v>
      </c>
    </row>
    <row r="10" spans="2:11" ht="12.75" customHeight="1">
      <c r="B10" s="14"/>
      <c r="C10" s="15"/>
      <c r="D10" s="15"/>
      <c r="E10" s="16">
        <v>611200</v>
      </c>
      <c r="F10" s="134" t="s">
        <v>148</v>
      </c>
      <c r="G10" s="135">
        <v>0</v>
      </c>
      <c r="H10" s="135"/>
      <c r="I10" s="90">
        <f t="shared" si="0"/>
      </c>
      <c r="K10" s="54"/>
    </row>
    <row r="11" spans="2:9" ht="12.75" customHeight="1">
      <c r="B11" s="14"/>
      <c r="C11" s="15"/>
      <c r="D11" s="15"/>
      <c r="E11" s="16"/>
      <c r="F11" s="26"/>
      <c r="G11" s="138"/>
      <c r="H11" s="138"/>
      <c r="I11" s="90">
        <f t="shared" si="0"/>
      </c>
    </row>
    <row r="12" spans="2:9" ht="12.75" customHeight="1">
      <c r="B12" s="14"/>
      <c r="C12" s="15"/>
      <c r="D12" s="15"/>
      <c r="E12" s="16"/>
      <c r="F12" s="15"/>
      <c r="G12" s="136"/>
      <c r="H12" s="136"/>
      <c r="I12" s="90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81</v>
      </c>
      <c r="G13" s="136">
        <f>G14</f>
        <v>51300</v>
      </c>
      <c r="H13" s="136">
        <f>H14</f>
        <v>0</v>
      </c>
      <c r="I13" s="89">
        <f t="shared" si="0"/>
        <v>0</v>
      </c>
    </row>
    <row r="14" spans="2:9" ht="12.75" customHeight="1">
      <c r="B14" s="14"/>
      <c r="C14" s="15"/>
      <c r="D14" s="15"/>
      <c r="E14" s="16">
        <v>612100</v>
      </c>
      <c r="F14" s="18" t="s">
        <v>6</v>
      </c>
      <c r="G14" s="138">
        <f>48900+2400</f>
        <v>51300</v>
      </c>
      <c r="H14" s="138"/>
      <c r="I14" s="90">
        <f t="shared" si="0"/>
        <v>0</v>
      </c>
    </row>
    <row r="15" spans="2:9" ht="12.75" customHeight="1">
      <c r="B15" s="14"/>
      <c r="C15" s="15"/>
      <c r="D15" s="15"/>
      <c r="E15" s="16"/>
      <c r="F15" s="15"/>
      <c r="G15" s="34"/>
      <c r="H15" s="34"/>
      <c r="I15" s="90">
        <f t="shared" si="0"/>
      </c>
    </row>
    <row r="16" spans="2:9" ht="12.75" customHeight="1">
      <c r="B16" s="14"/>
      <c r="C16" s="15"/>
      <c r="D16" s="15"/>
      <c r="E16" s="16"/>
      <c r="F16" s="15"/>
      <c r="G16" s="20"/>
      <c r="H16" s="20"/>
      <c r="I16" s="90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83</v>
      </c>
      <c r="G17" s="37">
        <f>SUM(G18:G27)</f>
        <v>51100</v>
      </c>
      <c r="H17" s="37">
        <f>SUM(H18:H27)</f>
        <v>0</v>
      </c>
      <c r="I17" s="89">
        <f t="shared" si="0"/>
        <v>0</v>
      </c>
    </row>
    <row r="18" spans="2:9" ht="12.75" customHeight="1">
      <c r="B18" s="14"/>
      <c r="C18" s="15"/>
      <c r="D18" s="15"/>
      <c r="E18" s="16">
        <v>613100</v>
      </c>
      <c r="F18" s="15" t="s">
        <v>7</v>
      </c>
      <c r="G18" s="34">
        <v>3500</v>
      </c>
      <c r="H18" s="34"/>
      <c r="I18" s="90">
        <f t="shared" si="0"/>
        <v>0</v>
      </c>
    </row>
    <row r="19" spans="2:9" ht="12.75" customHeight="1">
      <c r="B19" s="14"/>
      <c r="C19" s="15"/>
      <c r="D19" s="15"/>
      <c r="E19" s="16">
        <v>613200</v>
      </c>
      <c r="F19" s="15" t="s">
        <v>8</v>
      </c>
      <c r="G19" s="34">
        <v>20500</v>
      </c>
      <c r="H19" s="34"/>
      <c r="I19" s="90">
        <f t="shared" si="0"/>
        <v>0</v>
      </c>
    </row>
    <row r="20" spans="2:9" ht="12.75" customHeight="1">
      <c r="B20" s="14"/>
      <c r="C20" s="15"/>
      <c r="D20" s="15"/>
      <c r="E20" s="16">
        <v>613300</v>
      </c>
      <c r="F20" s="26" t="s">
        <v>109</v>
      </c>
      <c r="G20" s="34">
        <v>3300</v>
      </c>
      <c r="H20" s="34"/>
      <c r="I20" s="90">
        <f t="shared" si="0"/>
        <v>0</v>
      </c>
    </row>
    <row r="21" spans="2:9" ht="12.75" customHeight="1">
      <c r="B21" s="14"/>
      <c r="C21" s="15"/>
      <c r="D21" s="15"/>
      <c r="E21" s="16">
        <v>613400</v>
      </c>
      <c r="F21" s="15" t="s">
        <v>84</v>
      </c>
      <c r="G21" s="34">
        <v>8000</v>
      </c>
      <c r="H21" s="34"/>
      <c r="I21" s="90">
        <f t="shared" si="0"/>
        <v>0</v>
      </c>
    </row>
    <row r="22" spans="2:9" ht="12.75" customHeight="1">
      <c r="B22" s="14"/>
      <c r="C22" s="15"/>
      <c r="D22" s="15"/>
      <c r="E22" s="16">
        <v>613500</v>
      </c>
      <c r="F22" s="15" t="s">
        <v>9</v>
      </c>
      <c r="G22" s="34">
        <v>300</v>
      </c>
      <c r="H22" s="34"/>
      <c r="I22" s="90">
        <f t="shared" si="0"/>
        <v>0</v>
      </c>
    </row>
    <row r="23" spans="2:9" ht="12.75" customHeight="1">
      <c r="B23" s="14"/>
      <c r="C23" s="15"/>
      <c r="D23" s="15"/>
      <c r="E23" s="16">
        <v>613600</v>
      </c>
      <c r="F23" s="26" t="s">
        <v>110</v>
      </c>
      <c r="G23" s="34">
        <v>0</v>
      </c>
      <c r="H23" s="34"/>
      <c r="I23" s="90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10</v>
      </c>
      <c r="G24" s="71">
        <v>8500</v>
      </c>
      <c r="H24" s="71"/>
      <c r="I24" s="90">
        <f t="shared" si="0"/>
        <v>0</v>
      </c>
    </row>
    <row r="25" spans="2:9" ht="12.75" customHeight="1">
      <c r="B25" s="14"/>
      <c r="C25" s="15"/>
      <c r="D25" s="15"/>
      <c r="E25" s="16">
        <v>613800</v>
      </c>
      <c r="F25" s="15" t="s">
        <v>85</v>
      </c>
      <c r="G25" s="71">
        <v>0</v>
      </c>
      <c r="H25" s="71"/>
      <c r="I25" s="90">
        <f t="shared" si="0"/>
      </c>
    </row>
    <row r="26" spans="2:9" ht="12.75" customHeight="1">
      <c r="B26" s="14"/>
      <c r="C26" s="15"/>
      <c r="D26" s="15"/>
      <c r="E26" s="16">
        <v>613900</v>
      </c>
      <c r="F26" s="15" t="s">
        <v>86</v>
      </c>
      <c r="G26" s="71">
        <v>7000</v>
      </c>
      <c r="H26" s="71"/>
      <c r="I26" s="90">
        <f t="shared" si="0"/>
        <v>0</v>
      </c>
    </row>
    <row r="27" spans="2:9" ht="12.75" customHeight="1">
      <c r="B27" s="14"/>
      <c r="C27" s="15"/>
      <c r="D27" s="15"/>
      <c r="E27" s="16">
        <v>613900</v>
      </c>
      <c r="F27" s="134" t="s">
        <v>149</v>
      </c>
      <c r="G27" s="105">
        <v>0</v>
      </c>
      <c r="H27" s="105"/>
      <c r="I27" s="90">
        <f t="shared" si="0"/>
      </c>
    </row>
    <row r="28" spans="2:9" s="1" customFormat="1" ht="12.75" customHeight="1">
      <c r="B28" s="17"/>
      <c r="C28" s="12"/>
      <c r="D28" s="12"/>
      <c r="E28" s="9"/>
      <c r="F28" s="12"/>
      <c r="G28" s="71"/>
      <c r="H28" s="71"/>
      <c r="I28" s="90">
        <f t="shared" si="0"/>
      </c>
    </row>
    <row r="29" spans="2:9" ht="12.75" customHeight="1">
      <c r="B29" s="14"/>
      <c r="C29" s="15"/>
      <c r="D29" s="29"/>
      <c r="E29" s="16"/>
      <c r="F29" s="28"/>
      <c r="G29" s="71"/>
      <c r="H29" s="71"/>
      <c r="I29" s="90">
        <f t="shared" si="0"/>
      </c>
    </row>
    <row r="30" spans="2:9" ht="12.75" customHeight="1">
      <c r="B30" s="14"/>
      <c r="C30" s="15"/>
      <c r="D30" s="15"/>
      <c r="E30" s="42"/>
      <c r="F30" s="28"/>
      <c r="G30" s="71"/>
      <c r="H30" s="71"/>
      <c r="I30" s="90">
        <f t="shared" si="0"/>
      </c>
    </row>
    <row r="31" spans="2:9" ht="12.75" customHeight="1">
      <c r="B31" s="14"/>
      <c r="C31" s="15"/>
      <c r="D31" s="15"/>
      <c r="E31" s="16"/>
      <c r="F31" s="15"/>
      <c r="G31" s="71"/>
      <c r="H31" s="71"/>
      <c r="I31" s="90">
        <f t="shared" si="0"/>
      </c>
    </row>
    <row r="32" spans="2:9" ht="12.75" customHeight="1">
      <c r="B32" s="14"/>
      <c r="C32" s="15"/>
      <c r="D32" s="15"/>
      <c r="E32" s="16"/>
      <c r="F32" s="15"/>
      <c r="G32" s="71"/>
      <c r="H32" s="71"/>
      <c r="I32" s="90">
        <f t="shared" si="0"/>
      </c>
    </row>
    <row r="33" spans="2:9" ht="12.75" customHeight="1">
      <c r="B33" s="14"/>
      <c r="C33" s="15"/>
      <c r="D33" s="15"/>
      <c r="E33" s="9"/>
      <c r="F33" s="12"/>
      <c r="G33" s="71"/>
      <c r="H33" s="71"/>
      <c r="I33" s="90">
        <f t="shared" si="0"/>
      </c>
    </row>
    <row r="34" spans="2:9" ht="12.75" customHeight="1">
      <c r="B34" s="14"/>
      <c r="C34" s="15"/>
      <c r="D34" s="15"/>
      <c r="E34" s="16"/>
      <c r="F34" s="26"/>
      <c r="G34" s="71"/>
      <c r="H34" s="71"/>
      <c r="I34" s="90">
        <f t="shared" si="0"/>
      </c>
    </row>
    <row r="35" spans="2:9" ht="12.75" customHeight="1">
      <c r="B35" s="14"/>
      <c r="C35" s="15"/>
      <c r="D35" s="15"/>
      <c r="E35" s="16"/>
      <c r="F35" s="15"/>
      <c r="G35" s="63"/>
      <c r="H35" s="63"/>
      <c r="I35" s="90">
        <f t="shared" si="0"/>
      </c>
    </row>
    <row r="36" spans="2:9" s="1" customFormat="1" ht="12.75" customHeight="1">
      <c r="B36" s="17"/>
      <c r="C36" s="12"/>
      <c r="D36" s="12"/>
      <c r="E36" s="9">
        <v>821000</v>
      </c>
      <c r="F36" s="12" t="s">
        <v>13</v>
      </c>
      <c r="G36" s="63">
        <f>SUM(G37:G39)</f>
        <v>2000</v>
      </c>
      <c r="H36" s="63">
        <f>SUM(H37:H39)</f>
        <v>0</v>
      </c>
      <c r="I36" s="89">
        <f t="shared" si="0"/>
        <v>0</v>
      </c>
    </row>
    <row r="37" spans="2:9" ht="12.75" customHeight="1">
      <c r="B37" s="14"/>
      <c r="C37" s="15"/>
      <c r="D37" s="15"/>
      <c r="E37" s="16">
        <v>821200</v>
      </c>
      <c r="F37" s="15" t="s">
        <v>14</v>
      </c>
      <c r="G37" s="71">
        <v>0</v>
      </c>
      <c r="H37" s="71"/>
      <c r="I37" s="90">
        <f t="shared" si="0"/>
      </c>
    </row>
    <row r="38" spans="2:9" ht="12.75" customHeight="1">
      <c r="B38" s="14"/>
      <c r="C38" s="15"/>
      <c r="D38" s="15"/>
      <c r="E38" s="16">
        <v>821300</v>
      </c>
      <c r="F38" s="15" t="s">
        <v>15</v>
      </c>
      <c r="G38" s="71">
        <v>2000</v>
      </c>
      <c r="H38" s="71"/>
      <c r="I38" s="90">
        <f t="shared" si="0"/>
        <v>0</v>
      </c>
    </row>
    <row r="39" spans="2:9" ht="12.75" customHeight="1">
      <c r="B39" s="14"/>
      <c r="C39" s="15"/>
      <c r="D39" s="15"/>
      <c r="E39" s="16"/>
      <c r="F39" s="26"/>
      <c r="G39" s="71"/>
      <c r="H39" s="71"/>
      <c r="I39" s="90">
        <f t="shared" si="0"/>
      </c>
    </row>
    <row r="40" spans="2:9" ht="12.75" customHeight="1">
      <c r="B40" s="14"/>
      <c r="C40" s="15"/>
      <c r="D40" s="15"/>
      <c r="E40" s="16"/>
      <c r="F40" s="15"/>
      <c r="G40" s="34"/>
      <c r="H40" s="34"/>
      <c r="I40" s="90">
        <f t="shared" si="0"/>
      </c>
    </row>
    <row r="41" spans="2:9" s="1" customFormat="1" ht="12.75" customHeight="1">
      <c r="B41" s="17"/>
      <c r="C41" s="12"/>
      <c r="D41" s="12"/>
      <c r="E41" s="9"/>
      <c r="F41" s="12" t="s">
        <v>16</v>
      </c>
      <c r="G41" s="25" t="s">
        <v>156</v>
      </c>
      <c r="H41" s="25"/>
      <c r="I41" s="90"/>
    </row>
    <row r="42" spans="2:9" s="1" customFormat="1" ht="12.75" customHeight="1">
      <c r="B42" s="17"/>
      <c r="C42" s="12"/>
      <c r="D42" s="12"/>
      <c r="E42" s="9"/>
      <c r="F42" s="12" t="s">
        <v>32</v>
      </c>
      <c r="G42" s="20">
        <f>G7+G13+G17+G36</f>
        <v>685700</v>
      </c>
      <c r="H42" s="20">
        <f>H7+H13+H17+H36</f>
        <v>0</v>
      </c>
      <c r="I42" s="89">
        <f t="shared" si="0"/>
        <v>0</v>
      </c>
    </row>
    <row r="43" spans="2:9" s="1" customFormat="1" ht="12.75" customHeight="1">
      <c r="B43" s="17"/>
      <c r="C43" s="12"/>
      <c r="D43" s="12"/>
      <c r="E43" s="9"/>
      <c r="F43" s="12" t="s">
        <v>17</v>
      </c>
      <c r="G43" s="20"/>
      <c r="H43" s="20"/>
      <c r="I43" s="92"/>
    </row>
    <row r="44" spans="2:9" s="1" customFormat="1" ht="12.75" customHeight="1">
      <c r="B44" s="17"/>
      <c r="C44" s="12"/>
      <c r="D44" s="12"/>
      <c r="E44" s="9"/>
      <c r="F44" s="12" t="s">
        <v>18</v>
      </c>
      <c r="G44" s="33"/>
      <c r="H44" s="33"/>
      <c r="I44" s="91"/>
    </row>
    <row r="45" spans="2:9" ht="12.75" customHeight="1" thickBot="1">
      <c r="B45" s="21"/>
      <c r="C45" s="22"/>
      <c r="D45" s="22"/>
      <c r="E45" s="23"/>
      <c r="F45" s="22"/>
      <c r="G45" s="35"/>
      <c r="H45" s="35"/>
      <c r="I45" s="93"/>
    </row>
    <row r="46" ht="12.75">
      <c r="G46" s="55"/>
    </row>
    <row r="47" spans="2:7" ht="12.75">
      <c r="B47" s="51"/>
      <c r="G47" s="55"/>
    </row>
    <row r="48" spans="2:7" ht="12.75">
      <c r="B48" s="51"/>
      <c r="G48" s="55"/>
    </row>
    <row r="49" spans="2:7" ht="12.75">
      <c r="B49" s="51"/>
      <c r="G49" s="55"/>
    </row>
    <row r="50" spans="2:7" ht="12.75">
      <c r="B50" s="51"/>
      <c r="G50" s="55"/>
    </row>
    <row r="51" spans="2:7" ht="12.75">
      <c r="B51" s="51"/>
      <c r="G51" s="55"/>
    </row>
    <row r="52" spans="2:7" ht="12.75">
      <c r="B52" s="51"/>
      <c r="G52" s="55"/>
    </row>
    <row r="53" spans="2:7" ht="12.75">
      <c r="B53" s="51"/>
      <c r="G53" s="55"/>
    </row>
    <row r="54" spans="2:7" ht="12.75">
      <c r="B54" s="51"/>
      <c r="G54" s="55"/>
    </row>
    <row r="55" spans="2:7" ht="12.75">
      <c r="B55" s="51"/>
      <c r="G55" s="55"/>
    </row>
    <row r="56" spans="2:7" ht="12.75">
      <c r="B56" s="51"/>
      <c r="G56" s="55"/>
    </row>
    <row r="57" spans="2:7" ht="12.75">
      <c r="B57" s="51"/>
      <c r="G57" s="55"/>
    </row>
    <row r="58" ht="12.75">
      <c r="G58" s="55"/>
    </row>
    <row r="59" ht="12.75">
      <c r="G59" s="55"/>
    </row>
    <row r="60" ht="12.75">
      <c r="G60" s="55"/>
    </row>
    <row r="61" ht="12.75">
      <c r="G61" s="55"/>
    </row>
    <row r="62" ht="12.75">
      <c r="G62" s="55"/>
    </row>
  </sheetData>
  <sheetProtection/>
  <mergeCells count="2">
    <mergeCell ref="B2:G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&amp;R33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9"/>
  <dimension ref="B2:K62"/>
  <sheetViews>
    <sheetView workbookViewId="0" topLeftCell="C1">
      <selection activeCell="H4" sqref="H4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1.00390625" style="24" customWidth="1"/>
    <col min="6" max="6" width="43.7109375" style="13" customWidth="1"/>
    <col min="7" max="7" width="15.7109375" style="13" customWidth="1"/>
    <col min="8" max="8" width="15.7109375" style="55" customWidth="1"/>
    <col min="9" max="9" width="8.7109375" style="80" customWidth="1"/>
    <col min="10" max="16384" width="9.140625" style="13" customWidth="1"/>
  </cols>
  <sheetData>
    <row r="2" spans="2:7" ht="15" customHeight="1">
      <c r="B2" s="143" t="s">
        <v>90</v>
      </c>
      <c r="C2" s="143"/>
      <c r="D2" s="143"/>
      <c r="E2" s="143"/>
      <c r="F2" s="143"/>
      <c r="G2" s="143"/>
    </row>
    <row r="3" spans="5:9" s="1" customFormat="1" ht="16.5" thickBot="1">
      <c r="E3" s="2"/>
      <c r="F3" s="144" t="s">
        <v>165</v>
      </c>
      <c r="G3" s="144"/>
      <c r="H3" s="108">
        <v>954930</v>
      </c>
      <c r="I3" s="109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31" t="s">
        <v>147</v>
      </c>
      <c r="H4" s="131" t="s">
        <v>164</v>
      </c>
      <c r="I4" s="86" t="s">
        <v>139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2">
        <v>6</v>
      </c>
      <c r="H5" s="9">
        <v>7</v>
      </c>
      <c r="I5" s="87">
        <v>8</v>
      </c>
    </row>
    <row r="6" spans="2:9" s="2" customFormat="1" ht="12.75" customHeight="1">
      <c r="B6" s="10" t="s">
        <v>63</v>
      </c>
      <c r="C6" s="11" t="s">
        <v>65</v>
      </c>
      <c r="D6" s="11" t="s">
        <v>45</v>
      </c>
      <c r="E6" s="9"/>
      <c r="F6" s="9"/>
      <c r="G6" s="32"/>
      <c r="H6" s="102"/>
      <c r="I6" s="88"/>
    </row>
    <row r="7" spans="2:9" s="1" customFormat="1" ht="12.75" customHeight="1">
      <c r="B7" s="17"/>
      <c r="C7" s="12"/>
      <c r="D7" s="12"/>
      <c r="E7" s="9">
        <v>611000</v>
      </c>
      <c r="F7" s="12" t="s">
        <v>82</v>
      </c>
      <c r="G7" s="136">
        <f>SUM(G8:G11)</f>
        <v>819400</v>
      </c>
      <c r="H7" s="136">
        <f>SUM(H8:H11)</f>
        <v>0</v>
      </c>
      <c r="I7" s="89">
        <f aca="true" t="shared" si="0" ref="I7:I42">IF(G7=0,"",H7/G7*100)</f>
        <v>0</v>
      </c>
    </row>
    <row r="8" spans="2:9" ht="12.75" customHeight="1">
      <c r="B8" s="14"/>
      <c r="C8" s="15"/>
      <c r="D8" s="15"/>
      <c r="E8" s="16">
        <v>611100</v>
      </c>
      <c r="F8" s="26" t="s">
        <v>107</v>
      </c>
      <c r="G8" s="138">
        <f>634500+5800+31700</f>
        <v>672000</v>
      </c>
      <c r="H8" s="138"/>
      <c r="I8" s="90">
        <f t="shared" si="0"/>
        <v>0</v>
      </c>
    </row>
    <row r="9" spans="2:9" ht="12.75" customHeight="1">
      <c r="B9" s="14"/>
      <c r="C9" s="15"/>
      <c r="D9" s="15"/>
      <c r="E9" s="16">
        <v>611200</v>
      </c>
      <c r="F9" s="15" t="s">
        <v>108</v>
      </c>
      <c r="G9" s="138">
        <f>140700+5000+1700</f>
        <v>147400</v>
      </c>
      <c r="H9" s="138"/>
      <c r="I9" s="90">
        <f t="shared" si="0"/>
        <v>0</v>
      </c>
    </row>
    <row r="10" spans="2:11" ht="12.75" customHeight="1">
      <c r="B10" s="14"/>
      <c r="C10" s="15"/>
      <c r="D10" s="15"/>
      <c r="E10" s="16">
        <v>611200</v>
      </c>
      <c r="F10" s="134" t="s">
        <v>148</v>
      </c>
      <c r="G10" s="135">
        <v>0</v>
      </c>
      <c r="H10" s="135"/>
      <c r="I10" s="90">
        <f t="shared" si="0"/>
      </c>
      <c r="K10" s="54"/>
    </row>
    <row r="11" spans="2:9" ht="12.75" customHeight="1">
      <c r="B11" s="14"/>
      <c r="C11" s="15"/>
      <c r="D11" s="15"/>
      <c r="E11" s="16"/>
      <c r="F11" s="26"/>
      <c r="G11" s="138"/>
      <c r="H11" s="138"/>
      <c r="I11" s="90">
        <f t="shared" si="0"/>
      </c>
    </row>
    <row r="12" spans="2:9" ht="12.75" customHeight="1">
      <c r="B12" s="14"/>
      <c r="C12" s="15"/>
      <c r="D12" s="15"/>
      <c r="E12" s="16"/>
      <c r="F12" s="15"/>
      <c r="G12" s="136"/>
      <c r="H12" s="136"/>
      <c r="I12" s="90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81</v>
      </c>
      <c r="G13" s="136">
        <f>G14</f>
        <v>71600</v>
      </c>
      <c r="H13" s="136">
        <f>H14</f>
        <v>0</v>
      </c>
      <c r="I13" s="89">
        <f t="shared" si="0"/>
        <v>0</v>
      </c>
    </row>
    <row r="14" spans="2:9" ht="12.75" customHeight="1">
      <c r="B14" s="14"/>
      <c r="C14" s="15"/>
      <c r="D14" s="15"/>
      <c r="E14" s="16">
        <v>612100</v>
      </c>
      <c r="F14" s="18" t="s">
        <v>6</v>
      </c>
      <c r="G14" s="138">
        <f>68200+3400</f>
        <v>71600</v>
      </c>
      <c r="H14" s="138"/>
      <c r="I14" s="90">
        <f t="shared" si="0"/>
        <v>0</v>
      </c>
    </row>
    <row r="15" spans="2:9" ht="12.75" customHeight="1">
      <c r="B15" s="14"/>
      <c r="C15" s="15"/>
      <c r="D15" s="15"/>
      <c r="E15" s="16"/>
      <c r="F15" s="15"/>
      <c r="G15" s="34"/>
      <c r="H15" s="34"/>
      <c r="I15" s="90">
        <f t="shared" si="0"/>
      </c>
    </row>
    <row r="16" spans="2:9" ht="12.75" customHeight="1">
      <c r="B16" s="14"/>
      <c r="C16" s="15"/>
      <c r="D16" s="15"/>
      <c r="E16" s="16"/>
      <c r="F16" s="15"/>
      <c r="G16" s="20"/>
      <c r="H16" s="20"/>
      <c r="I16" s="90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83</v>
      </c>
      <c r="G17" s="37">
        <f>SUM(G18:G27)</f>
        <v>61050</v>
      </c>
      <c r="H17" s="37">
        <f>SUM(H18:H27)</f>
        <v>0</v>
      </c>
      <c r="I17" s="89">
        <f t="shared" si="0"/>
        <v>0</v>
      </c>
    </row>
    <row r="18" spans="2:9" ht="12.75" customHeight="1">
      <c r="B18" s="14"/>
      <c r="C18" s="15"/>
      <c r="D18" s="15"/>
      <c r="E18" s="16">
        <v>613100</v>
      </c>
      <c r="F18" s="15" t="s">
        <v>7</v>
      </c>
      <c r="G18" s="34">
        <v>3500</v>
      </c>
      <c r="H18" s="34"/>
      <c r="I18" s="90">
        <f t="shared" si="0"/>
        <v>0</v>
      </c>
    </row>
    <row r="19" spans="2:9" ht="12.75" customHeight="1">
      <c r="B19" s="14"/>
      <c r="C19" s="15"/>
      <c r="D19" s="15"/>
      <c r="E19" s="16">
        <v>613200</v>
      </c>
      <c r="F19" s="15" t="s">
        <v>8</v>
      </c>
      <c r="G19" s="34">
        <v>30000</v>
      </c>
      <c r="H19" s="34"/>
      <c r="I19" s="90">
        <f t="shared" si="0"/>
        <v>0</v>
      </c>
    </row>
    <row r="20" spans="2:9" ht="12.75" customHeight="1">
      <c r="B20" s="14"/>
      <c r="C20" s="15"/>
      <c r="D20" s="15"/>
      <c r="E20" s="16">
        <v>613300</v>
      </c>
      <c r="F20" s="26" t="s">
        <v>109</v>
      </c>
      <c r="G20" s="71">
        <v>3050</v>
      </c>
      <c r="H20" s="71"/>
      <c r="I20" s="90">
        <f t="shared" si="0"/>
        <v>0</v>
      </c>
    </row>
    <row r="21" spans="2:9" ht="12.75" customHeight="1">
      <c r="B21" s="14"/>
      <c r="C21" s="15"/>
      <c r="D21" s="15"/>
      <c r="E21" s="16">
        <v>613400</v>
      </c>
      <c r="F21" s="15" t="s">
        <v>84</v>
      </c>
      <c r="G21" s="71">
        <v>8500</v>
      </c>
      <c r="H21" s="71"/>
      <c r="I21" s="90">
        <f t="shared" si="0"/>
        <v>0</v>
      </c>
    </row>
    <row r="22" spans="2:9" ht="12.75" customHeight="1">
      <c r="B22" s="14"/>
      <c r="C22" s="15"/>
      <c r="D22" s="15"/>
      <c r="E22" s="16">
        <v>613500</v>
      </c>
      <c r="F22" s="15" t="s">
        <v>9</v>
      </c>
      <c r="G22" s="71">
        <v>0</v>
      </c>
      <c r="H22" s="71"/>
      <c r="I22" s="90">
        <f t="shared" si="0"/>
      </c>
    </row>
    <row r="23" spans="2:9" ht="12.75" customHeight="1">
      <c r="B23" s="14"/>
      <c r="C23" s="15"/>
      <c r="D23" s="15"/>
      <c r="E23" s="16">
        <v>613600</v>
      </c>
      <c r="F23" s="26" t="s">
        <v>110</v>
      </c>
      <c r="G23" s="71">
        <v>0</v>
      </c>
      <c r="H23" s="71"/>
      <c r="I23" s="90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10</v>
      </c>
      <c r="G24" s="71">
        <v>7000</v>
      </c>
      <c r="H24" s="71"/>
      <c r="I24" s="90">
        <f t="shared" si="0"/>
        <v>0</v>
      </c>
    </row>
    <row r="25" spans="2:9" ht="12.75" customHeight="1">
      <c r="B25" s="14"/>
      <c r="C25" s="15"/>
      <c r="D25" s="15"/>
      <c r="E25" s="16">
        <v>613800</v>
      </c>
      <c r="F25" s="15" t="s">
        <v>85</v>
      </c>
      <c r="G25" s="71">
        <v>0</v>
      </c>
      <c r="H25" s="71"/>
      <c r="I25" s="90">
        <f t="shared" si="0"/>
      </c>
    </row>
    <row r="26" spans="2:9" ht="12.75" customHeight="1">
      <c r="B26" s="14"/>
      <c r="C26" s="15"/>
      <c r="D26" s="15"/>
      <c r="E26" s="16">
        <v>613900</v>
      </c>
      <c r="F26" s="15" t="s">
        <v>86</v>
      </c>
      <c r="G26" s="71">
        <v>9000</v>
      </c>
      <c r="H26" s="71"/>
      <c r="I26" s="90">
        <f t="shared" si="0"/>
        <v>0</v>
      </c>
    </row>
    <row r="27" spans="2:9" ht="12.75" customHeight="1">
      <c r="B27" s="14"/>
      <c r="C27" s="15"/>
      <c r="D27" s="15"/>
      <c r="E27" s="16">
        <v>613900</v>
      </c>
      <c r="F27" s="134" t="s">
        <v>149</v>
      </c>
      <c r="G27" s="71">
        <v>0</v>
      </c>
      <c r="H27" s="71"/>
      <c r="I27" s="90">
        <f t="shared" si="0"/>
      </c>
    </row>
    <row r="28" spans="2:9" s="1" customFormat="1" ht="12.75" customHeight="1">
      <c r="B28" s="17"/>
      <c r="C28" s="12"/>
      <c r="D28" s="12"/>
      <c r="E28" s="9"/>
      <c r="F28" s="12"/>
      <c r="G28" s="71"/>
      <c r="H28" s="71"/>
      <c r="I28" s="90">
        <f t="shared" si="0"/>
      </c>
    </row>
    <row r="29" spans="2:9" ht="12.75" customHeight="1">
      <c r="B29" s="14"/>
      <c r="C29" s="15"/>
      <c r="D29" s="29"/>
      <c r="E29" s="16"/>
      <c r="F29" s="28"/>
      <c r="G29" s="71"/>
      <c r="H29" s="71"/>
      <c r="I29" s="90">
        <f t="shared" si="0"/>
      </c>
    </row>
    <row r="30" spans="2:9" ht="12.75" customHeight="1">
      <c r="B30" s="14"/>
      <c r="C30" s="15"/>
      <c r="D30" s="15"/>
      <c r="E30" s="42"/>
      <c r="F30" s="28"/>
      <c r="G30" s="71"/>
      <c r="H30" s="71"/>
      <c r="I30" s="90">
        <f t="shared" si="0"/>
      </c>
    </row>
    <row r="31" spans="2:9" ht="12.75" customHeight="1">
      <c r="B31" s="14"/>
      <c r="C31" s="15"/>
      <c r="D31" s="15"/>
      <c r="E31" s="16"/>
      <c r="F31" s="15"/>
      <c r="G31" s="71"/>
      <c r="H31" s="71"/>
      <c r="I31" s="90">
        <f t="shared" si="0"/>
      </c>
    </row>
    <row r="32" spans="2:9" ht="12.75" customHeight="1">
      <c r="B32" s="14"/>
      <c r="C32" s="15"/>
      <c r="D32" s="15"/>
      <c r="E32" s="16"/>
      <c r="F32" s="15"/>
      <c r="G32" s="71"/>
      <c r="H32" s="71"/>
      <c r="I32" s="90">
        <f t="shared" si="0"/>
      </c>
    </row>
    <row r="33" spans="2:9" ht="12.75" customHeight="1">
      <c r="B33" s="14"/>
      <c r="C33" s="15"/>
      <c r="D33" s="15"/>
      <c r="E33" s="9"/>
      <c r="F33" s="12"/>
      <c r="G33" s="71"/>
      <c r="H33" s="71"/>
      <c r="I33" s="90">
        <f t="shared" si="0"/>
      </c>
    </row>
    <row r="34" spans="2:9" ht="12.75" customHeight="1">
      <c r="B34" s="14"/>
      <c r="C34" s="15"/>
      <c r="D34" s="15"/>
      <c r="E34" s="16"/>
      <c r="F34" s="26"/>
      <c r="G34" s="71"/>
      <c r="H34" s="71"/>
      <c r="I34" s="90">
        <f t="shared" si="0"/>
      </c>
    </row>
    <row r="35" spans="2:9" ht="12.75" customHeight="1">
      <c r="B35" s="14"/>
      <c r="C35" s="15"/>
      <c r="D35" s="15"/>
      <c r="E35" s="16"/>
      <c r="F35" s="15"/>
      <c r="G35" s="63"/>
      <c r="H35" s="63"/>
      <c r="I35" s="90">
        <f t="shared" si="0"/>
      </c>
    </row>
    <row r="36" spans="2:9" s="1" customFormat="1" ht="12.75" customHeight="1">
      <c r="B36" s="17"/>
      <c r="C36" s="12"/>
      <c r="D36" s="12"/>
      <c r="E36" s="9">
        <v>821000</v>
      </c>
      <c r="F36" s="12" t="s">
        <v>13</v>
      </c>
      <c r="G36" s="63">
        <f>SUM(G37:G39)</f>
        <v>11000</v>
      </c>
      <c r="H36" s="63">
        <f>SUM(H37:H39)</f>
        <v>0</v>
      </c>
      <c r="I36" s="89">
        <f t="shared" si="0"/>
        <v>0</v>
      </c>
    </row>
    <row r="37" spans="2:9" ht="12.75" customHeight="1">
      <c r="B37" s="14"/>
      <c r="C37" s="15"/>
      <c r="D37" s="15"/>
      <c r="E37" s="16">
        <v>821200</v>
      </c>
      <c r="F37" s="15" t="s">
        <v>14</v>
      </c>
      <c r="G37" s="71">
        <v>10000</v>
      </c>
      <c r="H37" s="71"/>
      <c r="I37" s="90">
        <f t="shared" si="0"/>
        <v>0</v>
      </c>
    </row>
    <row r="38" spans="2:9" ht="12.75" customHeight="1">
      <c r="B38" s="14"/>
      <c r="C38" s="15"/>
      <c r="D38" s="15"/>
      <c r="E38" s="16">
        <v>821300</v>
      </c>
      <c r="F38" s="15" t="s">
        <v>15</v>
      </c>
      <c r="G38" s="71">
        <v>1000</v>
      </c>
      <c r="H38" s="71"/>
      <c r="I38" s="90">
        <f t="shared" si="0"/>
        <v>0</v>
      </c>
    </row>
    <row r="39" spans="2:9" ht="12.75" customHeight="1">
      <c r="B39" s="14"/>
      <c r="C39" s="15"/>
      <c r="D39" s="15"/>
      <c r="E39" s="16"/>
      <c r="F39" s="26"/>
      <c r="G39" s="71"/>
      <c r="H39" s="71"/>
      <c r="I39" s="90">
        <f t="shared" si="0"/>
      </c>
    </row>
    <row r="40" spans="2:9" ht="12.75" customHeight="1">
      <c r="B40" s="14"/>
      <c r="C40" s="15"/>
      <c r="D40" s="15"/>
      <c r="E40" s="16"/>
      <c r="F40" s="15"/>
      <c r="G40" s="34"/>
      <c r="H40" s="34"/>
      <c r="I40" s="90">
        <f t="shared" si="0"/>
      </c>
    </row>
    <row r="41" spans="2:9" s="1" customFormat="1" ht="12.75" customHeight="1">
      <c r="B41" s="17"/>
      <c r="C41" s="12"/>
      <c r="D41" s="12"/>
      <c r="E41" s="9"/>
      <c r="F41" s="12" t="s">
        <v>16</v>
      </c>
      <c r="G41" s="25" t="s">
        <v>161</v>
      </c>
      <c r="H41" s="25"/>
      <c r="I41" s="90"/>
    </row>
    <row r="42" spans="2:9" s="1" customFormat="1" ht="12.75" customHeight="1">
      <c r="B42" s="17"/>
      <c r="C42" s="12"/>
      <c r="D42" s="12"/>
      <c r="E42" s="9"/>
      <c r="F42" s="12" t="s">
        <v>32</v>
      </c>
      <c r="G42" s="20">
        <f>G7+G13+G17+G36</f>
        <v>963050</v>
      </c>
      <c r="H42" s="20">
        <f>H7+H13+H17+H36</f>
        <v>0</v>
      </c>
      <c r="I42" s="89">
        <f t="shared" si="0"/>
        <v>0</v>
      </c>
    </row>
    <row r="43" spans="2:9" s="1" customFormat="1" ht="12.75" customHeight="1">
      <c r="B43" s="17"/>
      <c r="C43" s="12"/>
      <c r="D43" s="12"/>
      <c r="E43" s="9"/>
      <c r="F43" s="12" t="s">
        <v>17</v>
      </c>
      <c r="G43" s="20"/>
      <c r="H43" s="20"/>
      <c r="I43" s="82"/>
    </row>
    <row r="44" spans="2:9" s="1" customFormat="1" ht="12.75" customHeight="1">
      <c r="B44" s="17"/>
      <c r="C44" s="12"/>
      <c r="D44" s="12"/>
      <c r="E44" s="9"/>
      <c r="F44" s="12" t="s">
        <v>18</v>
      </c>
      <c r="G44" s="33"/>
      <c r="H44" s="33"/>
      <c r="I44" s="81"/>
    </row>
    <row r="45" spans="2:9" ht="12.75" customHeight="1" thickBot="1">
      <c r="B45" s="21"/>
      <c r="C45" s="22"/>
      <c r="D45" s="22"/>
      <c r="E45" s="23"/>
      <c r="F45" s="22"/>
      <c r="G45" s="35"/>
      <c r="H45" s="35"/>
      <c r="I45" s="93"/>
    </row>
    <row r="46" ht="12.75">
      <c r="G46" s="55"/>
    </row>
    <row r="47" ht="12.75">
      <c r="G47" s="55"/>
    </row>
    <row r="48" spans="2:7" ht="12.75">
      <c r="B48" s="51"/>
      <c r="G48" s="55"/>
    </row>
    <row r="49" spans="2:7" ht="12.75">
      <c r="B49" s="51"/>
      <c r="G49" s="55"/>
    </row>
    <row r="50" spans="2:7" ht="12.75">
      <c r="B50" s="51"/>
      <c r="G50" s="55"/>
    </row>
    <row r="51" spans="2:7" ht="12.75">
      <c r="B51" s="51"/>
      <c r="G51" s="55"/>
    </row>
    <row r="52" spans="2:7" ht="12.75">
      <c r="B52" s="51"/>
      <c r="G52" s="55"/>
    </row>
    <row r="53" ht="12.75">
      <c r="G53" s="55"/>
    </row>
    <row r="54" ht="12.75">
      <c r="G54" s="55"/>
    </row>
    <row r="55" ht="12.75">
      <c r="G55" s="55"/>
    </row>
    <row r="56" ht="12.75">
      <c r="G56" s="55"/>
    </row>
    <row r="57" ht="12.75">
      <c r="G57" s="55"/>
    </row>
    <row r="58" ht="12.75">
      <c r="G58" s="55"/>
    </row>
    <row r="59" ht="12.75">
      <c r="G59" s="55"/>
    </row>
    <row r="60" ht="12.75">
      <c r="G60" s="55"/>
    </row>
    <row r="61" ht="12.75">
      <c r="G61" s="55"/>
    </row>
    <row r="62" ht="12.75">
      <c r="G62" s="55"/>
    </row>
  </sheetData>
  <sheetProtection/>
  <mergeCells count="2">
    <mergeCell ref="B2:G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&amp;R34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0"/>
  <dimension ref="B2:K62"/>
  <sheetViews>
    <sheetView workbookViewId="0" topLeftCell="C1">
      <selection activeCell="H4" sqref="H4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1.140625" style="24" customWidth="1"/>
    <col min="6" max="6" width="43.7109375" style="13" customWidth="1"/>
    <col min="7" max="7" width="15.7109375" style="13" customWidth="1"/>
    <col min="8" max="8" width="15.7109375" style="55" customWidth="1"/>
    <col min="9" max="9" width="8.7109375" style="80" customWidth="1"/>
    <col min="10" max="16384" width="9.140625" style="13" customWidth="1"/>
  </cols>
  <sheetData>
    <row r="2" spans="2:7" ht="15" customHeight="1">
      <c r="B2" s="145" t="s">
        <v>91</v>
      </c>
      <c r="C2" s="145"/>
      <c r="D2" s="145"/>
      <c r="E2" s="145"/>
      <c r="F2" s="145"/>
      <c r="G2" s="145"/>
    </row>
    <row r="3" spans="5:9" s="1" customFormat="1" ht="16.5" thickBot="1">
      <c r="E3" s="2"/>
      <c r="F3" s="144" t="s">
        <v>165</v>
      </c>
      <c r="G3" s="144"/>
      <c r="H3" s="108">
        <v>1058700</v>
      </c>
      <c r="I3" s="109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31" t="s">
        <v>147</v>
      </c>
      <c r="H4" s="131" t="s">
        <v>164</v>
      </c>
      <c r="I4" s="86" t="s">
        <v>139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2">
        <v>6</v>
      </c>
      <c r="H5" s="9">
        <v>7</v>
      </c>
      <c r="I5" s="87">
        <v>8</v>
      </c>
    </row>
    <row r="6" spans="2:9" s="2" customFormat="1" ht="12.75" customHeight="1">
      <c r="B6" s="10" t="s">
        <v>63</v>
      </c>
      <c r="C6" s="11" t="s">
        <v>65</v>
      </c>
      <c r="D6" s="11" t="s">
        <v>66</v>
      </c>
      <c r="E6" s="9"/>
      <c r="F6" s="9"/>
      <c r="G6" s="32"/>
      <c r="H6" s="102"/>
      <c r="I6" s="88"/>
    </row>
    <row r="7" spans="2:9" s="1" customFormat="1" ht="12.75" customHeight="1">
      <c r="B7" s="17"/>
      <c r="C7" s="12"/>
      <c r="D7" s="12"/>
      <c r="E7" s="9">
        <v>611000</v>
      </c>
      <c r="F7" s="12" t="s">
        <v>82</v>
      </c>
      <c r="G7" s="136">
        <f>SUM(G8:G11)</f>
        <v>886720</v>
      </c>
      <c r="H7" s="136">
        <f>SUM(H8:H11)</f>
        <v>0</v>
      </c>
      <c r="I7" s="89">
        <f aca="true" t="shared" si="0" ref="I7:I42">IF(G7=0,"",H7/G7*100)</f>
        <v>0</v>
      </c>
    </row>
    <row r="8" spans="2:11" ht="12.75" customHeight="1">
      <c r="B8" s="14"/>
      <c r="C8" s="15"/>
      <c r="D8" s="15"/>
      <c r="E8" s="16">
        <v>611100</v>
      </c>
      <c r="F8" s="26" t="s">
        <v>107</v>
      </c>
      <c r="G8" s="138">
        <f>670200+10720+33800</f>
        <v>714720</v>
      </c>
      <c r="H8" s="138"/>
      <c r="I8" s="90">
        <f t="shared" si="0"/>
        <v>0</v>
      </c>
      <c r="J8" s="51"/>
      <c r="K8" s="55"/>
    </row>
    <row r="9" spans="2:9" ht="12.75" customHeight="1">
      <c r="B9" s="14"/>
      <c r="C9" s="15"/>
      <c r="D9" s="15"/>
      <c r="E9" s="16">
        <v>611200</v>
      </c>
      <c r="F9" s="15" t="s">
        <v>108</v>
      </c>
      <c r="G9" s="138">
        <f>157700+10500+3800</f>
        <v>172000</v>
      </c>
      <c r="H9" s="138"/>
      <c r="I9" s="90">
        <f t="shared" si="0"/>
        <v>0</v>
      </c>
    </row>
    <row r="10" spans="2:11" ht="12.75" customHeight="1">
      <c r="B10" s="14"/>
      <c r="C10" s="15"/>
      <c r="D10" s="15"/>
      <c r="E10" s="16">
        <v>611200</v>
      </c>
      <c r="F10" s="134" t="s">
        <v>148</v>
      </c>
      <c r="G10" s="135">
        <v>0</v>
      </c>
      <c r="H10" s="135"/>
      <c r="I10" s="90">
        <f t="shared" si="0"/>
      </c>
      <c r="K10" s="54"/>
    </row>
    <row r="11" spans="2:9" ht="12.75" customHeight="1">
      <c r="B11" s="14"/>
      <c r="C11" s="15"/>
      <c r="D11" s="15"/>
      <c r="E11" s="16"/>
      <c r="F11" s="26"/>
      <c r="G11" s="138"/>
      <c r="H11" s="138"/>
      <c r="I11" s="90">
        <f t="shared" si="0"/>
      </c>
    </row>
    <row r="12" spans="2:9" ht="12.75" customHeight="1">
      <c r="B12" s="14"/>
      <c r="C12" s="15"/>
      <c r="D12" s="15"/>
      <c r="E12" s="16"/>
      <c r="F12" s="15"/>
      <c r="G12" s="136"/>
      <c r="H12" s="136"/>
      <c r="I12" s="90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81</v>
      </c>
      <c r="G13" s="136">
        <f>G14</f>
        <v>75000</v>
      </c>
      <c r="H13" s="136">
        <f>H14</f>
        <v>0</v>
      </c>
      <c r="I13" s="89">
        <f t="shared" si="0"/>
        <v>0</v>
      </c>
    </row>
    <row r="14" spans="2:9" ht="12.75" customHeight="1">
      <c r="B14" s="14"/>
      <c r="C14" s="15"/>
      <c r="D14" s="15"/>
      <c r="E14" s="16">
        <v>612100</v>
      </c>
      <c r="F14" s="18" t="s">
        <v>6</v>
      </c>
      <c r="G14" s="138">
        <f>71400+3600</f>
        <v>75000</v>
      </c>
      <c r="H14" s="138"/>
      <c r="I14" s="90">
        <f t="shared" si="0"/>
        <v>0</v>
      </c>
    </row>
    <row r="15" spans="2:9" ht="12.75" customHeight="1">
      <c r="B15" s="14"/>
      <c r="C15" s="15"/>
      <c r="D15" s="15"/>
      <c r="E15" s="16"/>
      <c r="F15" s="15"/>
      <c r="G15" s="34"/>
      <c r="H15" s="34"/>
      <c r="I15" s="90">
        <f t="shared" si="0"/>
      </c>
    </row>
    <row r="16" spans="2:9" ht="12.75" customHeight="1">
      <c r="B16" s="14"/>
      <c r="C16" s="15"/>
      <c r="D16" s="15"/>
      <c r="E16" s="16"/>
      <c r="F16" s="15"/>
      <c r="G16" s="20"/>
      <c r="H16" s="20"/>
      <c r="I16" s="90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83</v>
      </c>
      <c r="G17" s="37">
        <f>SUM(G18:G27)</f>
        <v>92100</v>
      </c>
      <c r="H17" s="37">
        <f>SUM(H18:H27)</f>
        <v>0</v>
      </c>
      <c r="I17" s="89">
        <f t="shared" si="0"/>
        <v>0</v>
      </c>
    </row>
    <row r="18" spans="2:9" ht="12.75" customHeight="1">
      <c r="B18" s="14"/>
      <c r="C18" s="15"/>
      <c r="D18" s="15"/>
      <c r="E18" s="16">
        <v>613100</v>
      </c>
      <c r="F18" s="15" t="s">
        <v>7</v>
      </c>
      <c r="G18" s="34">
        <v>4000</v>
      </c>
      <c r="H18" s="34"/>
      <c r="I18" s="90">
        <f t="shared" si="0"/>
        <v>0</v>
      </c>
    </row>
    <row r="19" spans="2:9" ht="12.75" customHeight="1">
      <c r="B19" s="14"/>
      <c r="C19" s="15"/>
      <c r="D19" s="15"/>
      <c r="E19" s="16">
        <v>613200</v>
      </c>
      <c r="F19" s="15" t="s">
        <v>8</v>
      </c>
      <c r="G19" s="34">
        <v>55000</v>
      </c>
      <c r="H19" s="34"/>
      <c r="I19" s="90">
        <f t="shared" si="0"/>
        <v>0</v>
      </c>
    </row>
    <row r="20" spans="2:9" ht="12.75" customHeight="1">
      <c r="B20" s="14"/>
      <c r="C20" s="15"/>
      <c r="D20" s="15"/>
      <c r="E20" s="16">
        <v>613300</v>
      </c>
      <c r="F20" s="26" t="s">
        <v>109</v>
      </c>
      <c r="G20" s="34">
        <v>4500</v>
      </c>
      <c r="H20" s="34"/>
      <c r="I20" s="90">
        <f t="shared" si="0"/>
        <v>0</v>
      </c>
    </row>
    <row r="21" spans="2:9" ht="12.75" customHeight="1">
      <c r="B21" s="14"/>
      <c r="C21" s="15"/>
      <c r="D21" s="15"/>
      <c r="E21" s="16">
        <v>613400</v>
      </c>
      <c r="F21" s="15" t="s">
        <v>84</v>
      </c>
      <c r="G21" s="34">
        <v>8500</v>
      </c>
      <c r="H21" s="34"/>
      <c r="I21" s="90">
        <f t="shared" si="0"/>
        <v>0</v>
      </c>
    </row>
    <row r="22" spans="2:9" ht="12.75" customHeight="1">
      <c r="B22" s="14"/>
      <c r="C22" s="15"/>
      <c r="D22" s="15"/>
      <c r="E22" s="16">
        <v>613500</v>
      </c>
      <c r="F22" s="15" t="s">
        <v>9</v>
      </c>
      <c r="G22" s="71">
        <v>1000</v>
      </c>
      <c r="H22" s="71"/>
      <c r="I22" s="90">
        <f t="shared" si="0"/>
        <v>0</v>
      </c>
    </row>
    <row r="23" spans="2:9" ht="12.75" customHeight="1">
      <c r="B23" s="14"/>
      <c r="C23" s="15"/>
      <c r="D23" s="15"/>
      <c r="E23" s="16">
        <v>613600</v>
      </c>
      <c r="F23" s="26" t="s">
        <v>110</v>
      </c>
      <c r="G23" s="71">
        <v>0</v>
      </c>
      <c r="H23" s="71"/>
      <c r="I23" s="90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10</v>
      </c>
      <c r="G24" s="71">
        <v>8000</v>
      </c>
      <c r="H24" s="71"/>
      <c r="I24" s="90">
        <f t="shared" si="0"/>
        <v>0</v>
      </c>
    </row>
    <row r="25" spans="2:9" ht="12.75" customHeight="1">
      <c r="B25" s="14"/>
      <c r="C25" s="15"/>
      <c r="D25" s="15"/>
      <c r="E25" s="16">
        <v>613800</v>
      </c>
      <c r="F25" s="15" t="s">
        <v>85</v>
      </c>
      <c r="G25" s="71">
        <v>2100</v>
      </c>
      <c r="H25" s="71"/>
      <c r="I25" s="90">
        <f t="shared" si="0"/>
        <v>0</v>
      </c>
    </row>
    <row r="26" spans="2:9" ht="12.75" customHeight="1">
      <c r="B26" s="14"/>
      <c r="C26" s="15"/>
      <c r="D26" s="15"/>
      <c r="E26" s="16">
        <v>613900</v>
      </c>
      <c r="F26" s="15" t="s">
        <v>86</v>
      </c>
      <c r="G26" s="71">
        <v>9000</v>
      </c>
      <c r="H26" s="71"/>
      <c r="I26" s="90">
        <f t="shared" si="0"/>
        <v>0</v>
      </c>
    </row>
    <row r="27" spans="2:9" ht="12.75" customHeight="1">
      <c r="B27" s="14"/>
      <c r="C27" s="15"/>
      <c r="D27" s="15"/>
      <c r="E27" s="16">
        <v>613900</v>
      </c>
      <c r="F27" s="134" t="s">
        <v>149</v>
      </c>
      <c r="G27" s="105">
        <v>0</v>
      </c>
      <c r="H27" s="105"/>
      <c r="I27" s="90">
        <f t="shared" si="0"/>
      </c>
    </row>
    <row r="28" spans="2:9" s="1" customFormat="1" ht="12.75" customHeight="1">
      <c r="B28" s="17"/>
      <c r="C28" s="12"/>
      <c r="D28" s="12"/>
      <c r="E28" s="9"/>
      <c r="F28" s="12"/>
      <c r="G28" s="71"/>
      <c r="H28" s="71"/>
      <c r="I28" s="90">
        <f t="shared" si="0"/>
      </c>
    </row>
    <row r="29" spans="2:9" ht="12.75" customHeight="1">
      <c r="B29" s="14"/>
      <c r="C29" s="15"/>
      <c r="D29" s="29"/>
      <c r="E29" s="16"/>
      <c r="F29" s="28"/>
      <c r="G29" s="71"/>
      <c r="H29" s="71"/>
      <c r="I29" s="90">
        <f t="shared" si="0"/>
      </c>
    </row>
    <row r="30" spans="2:9" ht="12.75" customHeight="1">
      <c r="B30" s="14"/>
      <c r="C30" s="15"/>
      <c r="D30" s="15"/>
      <c r="E30" s="42"/>
      <c r="F30" s="28"/>
      <c r="G30" s="71"/>
      <c r="H30" s="71"/>
      <c r="I30" s="90">
        <f t="shared" si="0"/>
      </c>
    </row>
    <row r="31" spans="2:9" ht="12.75" customHeight="1">
      <c r="B31" s="14"/>
      <c r="C31" s="15"/>
      <c r="D31" s="15"/>
      <c r="E31" s="16"/>
      <c r="F31" s="15"/>
      <c r="G31" s="34"/>
      <c r="H31" s="34"/>
      <c r="I31" s="90">
        <f t="shared" si="0"/>
      </c>
    </row>
    <row r="32" spans="2:9" ht="12.75" customHeight="1">
      <c r="B32" s="14"/>
      <c r="C32" s="15"/>
      <c r="D32" s="15"/>
      <c r="E32" s="16"/>
      <c r="F32" s="15"/>
      <c r="G32" s="34"/>
      <c r="H32" s="34"/>
      <c r="I32" s="90">
        <f t="shared" si="0"/>
      </c>
    </row>
    <row r="33" spans="2:9" ht="12.75" customHeight="1">
      <c r="B33" s="14"/>
      <c r="C33" s="15"/>
      <c r="D33" s="15"/>
      <c r="E33" s="9"/>
      <c r="F33" s="12"/>
      <c r="G33" s="34"/>
      <c r="H33" s="34"/>
      <c r="I33" s="90">
        <f t="shared" si="0"/>
      </c>
    </row>
    <row r="34" spans="2:9" ht="12.75" customHeight="1">
      <c r="B34" s="14"/>
      <c r="C34" s="15"/>
      <c r="D34" s="15"/>
      <c r="E34" s="16"/>
      <c r="F34" s="26"/>
      <c r="G34" s="34"/>
      <c r="H34" s="34"/>
      <c r="I34" s="90">
        <f t="shared" si="0"/>
      </c>
    </row>
    <row r="35" spans="2:9" ht="12.75" customHeight="1">
      <c r="B35" s="14"/>
      <c r="C35" s="15"/>
      <c r="D35" s="15"/>
      <c r="E35" s="16"/>
      <c r="F35" s="15"/>
      <c r="G35" s="20"/>
      <c r="H35" s="20"/>
      <c r="I35" s="90">
        <f t="shared" si="0"/>
      </c>
    </row>
    <row r="36" spans="2:9" s="1" customFormat="1" ht="12.75" customHeight="1">
      <c r="B36" s="17"/>
      <c r="C36" s="12"/>
      <c r="D36" s="12"/>
      <c r="E36" s="9">
        <v>821000</v>
      </c>
      <c r="F36" s="12" t="s">
        <v>13</v>
      </c>
      <c r="G36" s="63">
        <f>SUM(G37:G39)</f>
        <v>12000</v>
      </c>
      <c r="H36" s="63">
        <f>SUM(H37:H39)</f>
        <v>0</v>
      </c>
      <c r="I36" s="89">
        <f t="shared" si="0"/>
        <v>0</v>
      </c>
    </row>
    <row r="37" spans="2:9" ht="12.75" customHeight="1">
      <c r="B37" s="14"/>
      <c r="C37" s="15"/>
      <c r="D37" s="15"/>
      <c r="E37" s="16">
        <v>821200</v>
      </c>
      <c r="F37" s="15" t="s">
        <v>14</v>
      </c>
      <c r="G37" s="71">
        <v>10000</v>
      </c>
      <c r="H37" s="71"/>
      <c r="I37" s="90">
        <f t="shared" si="0"/>
        <v>0</v>
      </c>
    </row>
    <row r="38" spans="2:9" ht="12.75" customHeight="1">
      <c r="B38" s="14"/>
      <c r="C38" s="15"/>
      <c r="D38" s="15"/>
      <c r="E38" s="16">
        <v>821300</v>
      </c>
      <c r="F38" s="15" t="s">
        <v>15</v>
      </c>
      <c r="G38" s="71">
        <v>2000</v>
      </c>
      <c r="H38" s="71"/>
      <c r="I38" s="90">
        <f t="shared" si="0"/>
        <v>0</v>
      </c>
    </row>
    <row r="39" spans="2:9" ht="12.75" customHeight="1">
      <c r="B39" s="14"/>
      <c r="C39" s="15"/>
      <c r="D39" s="15"/>
      <c r="E39" s="16"/>
      <c r="F39" s="26"/>
      <c r="G39" s="34"/>
      <c r="H39" s="34"/>
      <c r="I39" s="90">
        <f t="shared" si="0"/>
      </c>
    </row>
    <row r="40" spans="2:9" ht="12.75" customHeight="1">
      <c r="B40" s="14"/>
      <c r="C40" s="15"/>
      <c r="D40" s="15"/>
      <c r="E40" s="16"/>
      <c r="F40" s="15"/>
      <c r="G40" s="34"/>
      <c r="H40" s="34"/>
      <c r="I40" s="90">
        <f t="shared" si="0"/>
      </c>
    </row>
    <row r="41" spans="2:9" s="1" customFormat="1" ht="12.75" customHeight="1">
      <c r="B41" s="17"/>
      <c r="C41" s="12"/>
      <c r="D41" s="12"/>
      <c r="E41" s="9"/>
      <c r="F41" s="12" t="s">
        <v>16</v>
      </c>
      <c r="G41" s="77" t="s">
        <v>154</v>
      </c>
      <c r="H41" s="77"/>
      <c r="I41" s="90"/>
    </row>
    <row r="42" spans="2:9" s="1" customFormat="1" ht="12.75" customHeight="1">
      <c r="B42" s="17"/>
      <c r="C42" s="12"/>
      <c r="D42" s="12"/>
      <c r="E42" s="9"/>
      <c r="F42" s="12" t="s">
        <v>32</v>
      </c>
      <c r="G42" s="20">
        <f>G7+G13+G17+G36</f>
        <v>1065820</v>
      </c>
      <c r="H42" s="20">
        <f>H7+H13+H17+H36</f>
        <v>0</v>
      </c>
      <c r="I42" s="89">
        <f t="shared" si="0"/>
        <v>0</v>
      </c>
    </row>
    <row r="43" spans="2:9" s="1" customFormat="1" ht="12.75" customHeight="1">
      <c r="B43" s="17"/>
      <c r="C43" s="12"/>
      <c r="D43" s="12"/>
      <c r="E43" s="9"/>
      <c r="F43" s="12" t="s">
        <v>17</v>
      </c>
      <c r="G43" s="20"/>
      <c r="H43" s="20"/>
      <c r="I43" s="92"/>
    </row>
    <row r="44" spans="2:9" s="1" customFormat="1" ht="12.75" customHeight="1">
      <c r="B44" s="17"/>
      <c r="C44" s="12"/>
      <c r="D44" s="12"/>
      <c r="E44" s="9"/>
      <c r="F44" s="12" t="s">
        <v>18</v>
      </c>
      <c r="G44" s="33"/>
      <c r="H44" s="33"/>
      <c r="I44" s="91"/>
    </row>
    <row r="45" spans="2:9" ht="12.75" customHeight="1" thickBot="1">
      <c r="B45" s="21"/>
      <c r="C45" s="22"/>
      <c r="D45" s="22"/>
      <c r="E45" s="23"/>
      <c r="F45" s="22"/>
      <c r="G45" s="35"/>
      <c r="H45" s="35"/>
      <c r="I45" s="93"/>
    </row>
    <row r="46" ht="12.75">
      <c r="G46" s="55"/>
    </row>
    <row r="47" spans="2:7" ht="12.75">
      <c r="B47" s="51"/>
      <c r="G47" s="55"/>
    </row>
    <row r="48" spans="2:7" ht="12.75">
      <c r="B48" s="51"/>
      <c r="G48" s="55"/>
    </row>
    <row r="49" spans="2:7" ht="12.75">
      <c r="B49" s="51"/>
      <c r="G49" s="55"/>
    </row>
    <row r="50" spans="2:7" ht="12.75">
      <c r="B50" s="51"/>
      <c r="G50" s="55"/>
    </row>
    <row r="51" spans="2:7" ht="12.75">
      <c r="B51" s="51"/>
      <c r="G51" s="55"/>
    </row>
    <row r="52" spans="2:7" ht="12.75">
      <c r="B52" s="51"/>
      <c r="G52" s="55"/>
    </row>
    <row r="53" spans="2:7" ht="12.75">
      <c r="B53" s="51"/>
      <c r="G53" s="55"/>
    </row>
    <row r="54" ht="12.75">
      <c r="G54" s="55"/>
    </row>
    <row r="55" ht="12.75">
      <c r="G55" s="55"/>
    </row>
    <row r="56" ht="12.75">
      <c r="G56" s="55"/>
    </row>
    <row r="57" ht="12.75">
      <c r="G57" s="55"/>
    </row>
    <row r="58" ht="12.75">
      <c r="G58" s="55"/>
    </row>
    <row r="59" ht="12.75">
      <c r="G59" s="55"/>
    </row>
    <row r="60" ht="12.75">
      <c r="G60" s="55"/>
    </row>
    <row r="61" ht="12.75">
      <c r="G61" s="55"/>
    </row>
    <row r="62" ht="12.75">
      <c r="G62" s="55"/>
    </row>
  </sheetData>
  <sheetProtection/>
  <mergeCells count="2">
    <mergeCell ref="B2:G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&amp;R35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1"/>
  <dimension ref="B2:K62"/>
  <sheetViews>
    <sheetView workbookViewId="0" topLeftCell="C1">
      <selection activeCell="H4" sqref="H4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7109375" style="24" customWidth="1"/>
    <col min="6" max="6" width="43.7109375" style="13" customWidth="1"/>
    <col min="7" max="7" width="15.7109375" style="13" customWidth="1"/>
    <col min="8" max="8" width="15.7109375" style="55" customWidth="1"/>
    <col min="9" max="9" width="8.7109375" style="80" customWidth="1"/>
    <col min="10" max="16384" width="9.140625" style="13" customWidth="1"/>
  </cols>
  <sheetData>
    <row r="2" spans="2:7" ht="15" customHeight="1">
      <c r="B2" s="143" t="s">
        <v>92</v>
      </c>
      <c r="C2" s="143"/>
      <c r="D2" s="143"/>
      <c r="E2" s="143"/>
      <c r="F2" s="143"/>
      <c r="G2" s="143"/>
    </row>
    <row r="3" spans="5:9" s="1" customFormat="1" ht="16.5" thickBot="1">
      <c r="E3" s="2"/>
      <c r="F3" s="144" t="s">
        <v>165</v>
      </c>
      <c r="G3" s="144"/>
      <c r="H3" s="108">
        <v>551850</v>
      </c>
      <c r="I3" s="109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31" t="s">
        <v>147</v>
      </c>
      <c r="H4" s="131" t="s">
        <v>164</v>
      </c>
      <c r="I4" s="86" t="s">
        <v>139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2">
        <v>6</v>
      </c>
      <c r="H5" s="9">
        <v>7</v>
      </c>
      <c r="I5" s="87">
        <v>8</v>
      </c>
    </row>
    <row r="6" spans="2:9" s="2" customFormat="1" ht="12.75" customHeight="1">
      <c r="B6" s="10" t="s">
        <v>63</v>
      </c>
      <c r="C6" s="11" t="s">
        <v>65</v>
      </c>
      <c r="D6" s="11" t="s">
        <v>67</v>
      </c>
      <c r="E6" s="9"/>
      <c r="F6" s="9"/>
      <c r="G6" s="32"/>
      <c r="H6" s="102"/>
      <c r="I6" s="88"/>
    </row>
    <row r="7" spans="2:9" s="1" customFormat="1" ht="12.75" customHeight="1">
      <c r="B7" s="17"/>
      <c r="C7" s="12"/>
      <c r="D7" s="12"/>
      <c r="E7" s="9">
        <v>611000</v>
      </c>
      <c r="F7" s="12" t="s">
        <v>82</v>
      </c>
      <c r="G7" s="136">
        <f>SUM(G8:G11)</f>
        <v>419600</v>
      </c>
      <c r="H7" s="136">
        <f>SUM(H8:H11)</f>
        <v>0</v>
      </c>
      <c r="I7" s="89">
        <f aca="true" t="shared" si="0" ref="I7:I42">IF(G7=0,"",H7/G7*100)</f>
        <v>0</v>
      </c>
    </row>
    <row r="8" spans="2:9" ht="12.75" customHeight="1">
      <c r="B8" s="14"/>
      <c r="C8" s="15"/>
      <c r="D8" s="15"/>
      <c r="E8" s="16">
        <v>611100</v>
      </c>
      <c r="F8" s="26" t="s">
        <v>107</v>
      </c>
      <c r="G8" s="138">
        <f>324700+16200-8000</f>
        <v>332900</v>
      </c>
      <c r="H8" s="138"/>
      <c r="I8" s="90">
        <f t="shared" si="0"/>
        <v>0</v>
      </c>
    </row>
    <row r="9" spans="2:9" ht="12.75" customHeight="1">
      <c r="B9" s="14"/>
      <c r="C9" s="15"/>
      <c r="D9" s="15"/>
      <c r="E9" s="16">
        <v>611200</v>
      </c>
      <c r="F9" s="15" t="s">
        <v>108</v>
      </c>
      <c r="G9" s="138">
        <f>83700+3000</f>
        <v>86700</v>
      </c>
      <c r="H9" s="138"/>
      <c r="I9" s="90">
        <f t="shared" si="0"/>
        <v>0</v>
      </c>
    </row>
    <row r="10" spans="2:11" ht="12.75" customHeight="1">
      <c r="B10" s="14"/>
      <c r="C10" s="15"/>
      <c r="D10" s="15"/>
      <c r="E10" s="16">
        <v>611200</v>
      </c>
      <c r="F10" s="134" t="s">
        <v>148</v>
      </c>
      <c r="G10" s="135">
        <v>0</v>
      </c>
      <c r="H10" s="135"/>
      <c r="I10" s="90">
        <f t="shared" si="0"/>
      </c>
      <c r="K10" s="54"/>
    </row>
    <row r="11" spans="2:9" ht="12.75" customHeight="1">
      <c r="B11" s="14"/>
      <c r="C11" s="15"/>
      <c r="D11" s="15"/>
      <c r="E11" s="16"/>
      <c r="F11" s="26"/>
      <c r="G11" s="138"/>
      <c r="H11" s="138"/>
      <c r="I11" s="90">
        <f t="shared" si="0"/>
      </c>
    </row>
    <row r="12" spans="2:9" ht="12.75" customHeight="1">
      <c r="B12" s="14"/>
      <c r="C12" s="15"/>
      <c r="D12" s="15"/>
      <c r="E12" s="16"/>
      <c r="F12" s="15"/>
      <c r="G12" s="136"/>
      <c r="H12" s="136"/>
      <c r="I12" s="90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81</v>
      </c>
      <c r="G13" s="136">
        <f>G14</f>
        <v>35600</v>
      </c>
      <c r="H13" s="136">
        <f>H14</f>
        <v>0</v>
      </c>
      <c r="I13" s="89">
        <f t="shared" si="0"/>
        <v>0</v>
      </c>
    </row>
    <row r="14" spans="2:9" ht="12.75" customHeight="1">
      <c r="B14" s="14"/>
      <c r="C14" s="15"/>
      <c r="D14" s="15"/>
      <c r="E14" s="16">
        <v>612100</v>
      </c>
      <c r="F14" s="18" t="s">
        <v>6</v>
      </c>
      <c r="G14" s="138">
        <f>34900+1700-1000</f>
        <v>35600</v>
      </c>
      <c r="H14" s="138"/>
      <c r="I14" s="90">
        <f t="shared" si="0"/>
        <v>0</v>
      </c>
    </row>
    <row r="15" spans="2:9" ht="12.75" customHeight="1">
      <c r="B15" s="14"/>
      <c r="C15" s="15"/>
      <c r="D15" s="15"/>
      <c r="E15" s="16"/>
      <c r="F15" s="15"/>
      <c r="G15" s="34"/>
      <c r="H15" s="34"/>
      <c r="I15" s="90">
        <f t="shared" si="0"/>
      </c>
    </row>
    <row r="16" spans="2:9" ht="12.75" customHeight="1">
      <c r="B16" s="14"/>
      <c r="C16" s="15"/>
      <c r="D16" s="15"/>
      <c r="E16" s="16"/>
      <c r="F16" s="15"/>
      <c r="G16" s="20"/>
      <c r="H16" s="20"/>
      <c r="I16" s="90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83</v>
      </c>
      <c r="G17" s="37">
        <f>SUM(G18:G27)</f>
        <v>48800</v>
      </c>
      <c r="H17" s="37">
        <f>SUM(H18:H27)</f>
        <v>0</v>
      </c>
      <c r="I17" s="89">
        <f t="shared" si="0"/>
        <v>0</v>
      </c>
    </row>
    <row r="18" spans="2:9" ht="12.75" customHeight="1">
      <c r="B18" s="14"/>
      <c r="C18" s="15"/>
      <c r="D18" s="15"/>
      <c r="E18" s="16">
        <v>613100</v>
      </c>
      <c r="F18" s="15" t="s">
        <v>7</v>
      </c>
      <c r="G18" s="34">
        <v>4000</v>
      </c>
      <c r="H18" s="34"/>
      <c r="I18" s="90">
        <f t="shared" si="0"/>
        <v>0</v>
      </c>
    </row>
    <row r="19" spans="2:9" ht="12.75" customHeight="1">
      <c r="B19" s="14"/>
      <c r="C19" s="15"/>
      <c r="D19" s="15"/>
      <c r="E19" s="16">
        <v>613200</v>
      </c>
      <c r="F19" s="15" t="s">
        <v>8</v>
      </c>
      <c r="G19" s="34">
        <v>18000</v>
      </c>
      <c r="H19" s="34"/>
      <c r="I19" s="90">
        <f t="shared" si="0"/>
        <v>0</v>
      </c>
    </row>
    <row r="20" spans="2:9" ht="12.75" customHeight="1">
      <c r="B20" s="14"/>
      <c r="C20" s="15"/>
      <c r="D20" s="15"/>
      <c r="E20" s="16">
        <v>613300</v>
      </c>
      <c r="F20" s="26" t="s">
        <v>109</v>
      </c>
      <c r="G20" s="34">
        <v>2800</v>
      </c>
      <c r="H20" s="34"/>
      <c r="I20" s="90">
        <f t="shared" si="0"/>
        <v>0</v>
      </c>
    </row>
    <row r="21" spans="2:9" ht="12.75" customHeight="1">
      <c r="B21" s="14"/>
      <c r="C21" s="15"/>
      <c r="D21" s="15"/>
      <c r="E21" s="16">
        <v>613400</v>
      </c>
      <c r="F21" s="15" t="s">
        <v>84</v>
      </c>
      <c r="G21" s="34">
        <v>9000</v>
      </c>
      <c r="H21" s="34"/>
      <c r="I21" s="90">
        <f t="shared" si="0"/>
        <v>0</v>
      </c>
    </row>
    <row r="22" spans="2:9" ht="12.75" customHeight="1">
      <c r="B22" s="14"/>
      <c r="C22" s="15"/>
      <c r="D22" s="15"/>
      <c r="E22" s="16">
        <v>613500</v>
      </c>
      <c r="F22" s="15" t="s">
        <v>9</v>
      </c>
      <c r="G22" s="34">
        <v>500</v>
      </c>
      <c r="H22" s="34"/>
      <c r="I22" s="90">
        <f t="shared" si="0"/>
        <v>0</v>
      </c>
    </row>
    <row r="23" spans="2:9" ht="12.75" customHeight="1">
      <c r="B23" s="14"/>
      <c r="C23" s="15"/>
      <c r="D23" s="15"/>
      <c r="E23" s="16">
        <v>613600</v>
      </c>
      <c r="F23" s="26" t="s">
        <v>110</v>
      </c>
      <c r="G23" s="34">
        <v>0</v>
      </c>
      <c r="H23" s="34"/>
      <c r="I23" s="90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10</v>
      </c>
      <c r="G24" s="34">
        <v>6000</v>
      </c>
      <c r="H24" s="34"/>
      <c r="I24" s="90">
        <f t="shared" si="0"/>
        <v>0</v>
      </c>
    </row>
    <row r="25" spans="2:9" ht="12.75" customHeight="1">
      <c r="B25" s="14"/>
      <c r="C25" s="15"/>
      <c r="D25" s="15"/>
      <c r="E25" s="16">
        <v>613800</v>
      </c>
      <c r="F25" s="15" t="s">
        <v>85</v>
      </c>
      <c r="G25" s="71">
        <v>0</v>
      </c>
      <c r="H25" s="71"/>
      <c r="I25" s="90">
        <f t="shared" si="0"/>
      </c>
    </row>
    <row r="26" spans="2:9" ht="12.75" customHeight="1">
      <c r="B26" s="14"/>
      <c r="C26" s="15"/>
      <c r="D26" s="15"/>
      <c r="E26" s="16">
        <v>613900</v>
      </c>
      <c r="F26" s="15" t="s">
        <v>86</v>
      </c>
      <c r="G26" s="71">
        <v>8500</v>
      </c>
      <c r="H26" s="71"/>
      <c r="I26" s="90">
        <f t="shared" si="0"/>
        <v>0</v>
      </c>
    </row>
    <row r="27" spans="2:9" ht="12.75" customHeight="1">
      <c r="B27" s="14"/>
      <c r="C27" s="15"/>
      <c r="D27" s="15"/>
      <c r="E27" s="16">
        <v>613900</v>
      </c>
      <c r="F27" s="134" t="s">
        <v>149</v>
      </c>
      <c r="G27" s="71">
        <v>0</v>
      </c>
      <c r="H27" s="71"/>
      <c r="I27" s="90">
        <f t="shared" si="0"/>
      </c>
    </row>
    <row r="28" spans="2:9" s="1" customFormat="1" ht="12.75" customHeight="1">
      <c r="B28" s="17"/>
      <c r="C28" s="12"/>
      <c r="D28" s="12"/>
      <c r="E28" s="9"/>
      <c r="F28" s="12"/>
      <c r="G28" s="71"/>
      <c r="H28" s="71"/>
      <c r="I28" s="90">
        <f t="shared" si="0"/>
      </c>
    </row>
    <row r="29" spans="2:9" ht="12.75" customHeight="1">
      <c r="B29" s="14"/>
      <c r="C29" s="15"/>
      <c r="D29" s="29"/>
      <c r="E29" s="16"/>
      <c r="F29" s="28"/>
      <c r="G29" s="71"/>
      <c r="H29" s="71"/>
      <c r="I29" s="90">
        <f t="shared" si="0"/>
      </c>
    </row>
    <row r="30" spans="2:9" ht="12.75" customHeight="1">
      <c r="B30" s="14"/>
      <c r="C30" s="15"/>
      <c r="D30" s="15"/>
      <c r="E30" s="42"/>
      <c r="F30" s="28"/>
      <c r="G30" s="71"/>
      <c r="H30" s="71"/>
      <c r="I30" s="90">
        <f t="shared" si="0"/>
      </c>
    </row>
    <row r="31" spans="2:9" ht="12.75" customHeight="1">
      <c r="B31" s="14"/>
      <c r="C31" s="15"/>
      <c r="D31" s="15"/>
      <c r="E31" s="16"/>
      <c r="F31" s="15"/>
      <c r="G31" s="71"/>
      <c r="H31" s="71"/>
      <c r="I31" s="90">
        <f t="shared" si="0"/>
      </c>
    </row>
    <row r="32" spans="2:9" ht="12.75" customHeight="1">
      <c r="B32" s="14"/>
      <c r="C32" s="15"/>
      <c r="D32" s="15"/>
      <c r="E32" s="16"/>
      <c r="F32" s="15"/>
      <c r="G32" s="71"/>
      <c r="H32" s="71"/>
      <c r="I32" s="90">
        <f t="shared" si="0"/>
      </c>
    </row>
    <row r="33" spans="2:9" ht="12.75" customHeight="1">
      <c r="B33" s="14"/>
      <c r="C33" s="15"/>
      <c r="D33" s="15"/>
      <c r="E33" s="9"/>
      <c r="F33" s="12"/>
      <c r="G33" s="71"/>
      <c r="H33" s="71"/>
      <c r="I33" s="90">
        <f t="shared" si="0"/>
      </c>
    </row>
    <row r="34" spans="2:9" ht="12.75" customHeight="1">
      <c r="B34" s="14"/>
      <c r="C34" s="15"/>
      <c r="D34" s="15"/>
      <c r="E34" s="16"/>
      <c r="F34" s="26"/>
      <c r="G34" s="71"/>
      <c r="H34" s="71"/>
      <c r="I34" s="90">
        <f t="shared" si="0"/>
      </c>
    </row>
    <row r="35" spans="2:9" ht="12.75" customHeight="1">
      <c r="B35" s="14"/>
      <c r="C35" s="15"/>
      <c r="D35" s="15"/>
      <c r="E35" s="16"/>
      <c r="F35" s="15"/>
      <c r="G35" s="63"/>
      <c r="H35" s="63"/>
      <c r="I35" s="90">
        <f t="shared" si="0"/>
      </c>
    </row>
    <row r="36" spans="2:9" s="1" customFormat="1" ht="12.75" customHeight="1">
      <c r="B36" s="17"/>
      <c r="C36" s="12"/>
      <c r="D36" s="12"/>
      <c r="E36" s="9">
        <v>821000</v>
      </c>
      <c r="F36" s="12" t="s">
        <v>13</v>
      </c>
      <c r="G36" s="63">
        <f>SUM(G37:G39)</f>
        <v>2000</v>
      </c>
      <c r="H36" s="63">
        <f>SUM(H37:H39)</f>
        <v>0</v>
      </c>
      <c r="I36" s="89">
        <f t="shared" si="0"/>
        <v>0</v>
      </c>
    </row>
    <row r="37" spans="2:9" ht="12.75" customHeight="1">
      <c r="B37" s="14"/>
      <c r="C37" s="15"/>
      <c r="D37" s="15"/>
      <c r="E37" s="16">
        <v>821200</v>
      </c>
      <c r="F37" s="15" t="s">
        <v>14</v>
      </c>
      <c r="G37" s="71">
        <v>0</v>
      </c>
      <c r="H37" s="71"/>
      <c r="I37" s="90">
        <f t="shared" si="0"/>
      </c>
    </row>
    <row r="38" spans="2:9" ht="12.75" customHeight="1">
      <c r="B38" s="14"/>
      <c r="C38" s="15"/>
      <c r="D38" s="15"/>
      <c r="E38" s="16">
        <v>821300</v>
      </c>
      <c r="F38" s="15" t="s">
        <v>15</v>
      </c>
      <c r="G38" s="71">
        <v>2000</v>
      </c>
      <c r="H38" s="71"/>
      <c r="I38" s="90">
        <f t="shared" si="0"/>
        <v>0</v>
      </c>
    </row>
    <row r="39" spans="2:9" ht="12.75" customHeight="1">
      <c r="B39" s="14"/>
      <c r="C39" s="15"/>
      <c r="D39" s="15"/>
      <c r="E39" s="16"/>
      <c r="F39" s="26"/>
      <c r="G39" s="71"/>
      <c r="H39" s="71"/>
      <c r="I39" s="90">
        <f t="shared" si="0"/>
      </c>
    </row>
    <row r="40" spans="2:9" ht="12.75" customHeight="1">
      <c r="B40" s="14"/>
      <c r="C40" s="15"/>
      <c r="D40" s="15"/>
      <c r="E40" s="16"/>
      <c r="F40" s="15"/>
      <c r="G40" s="34"/>
      <c r="H40" s="34"/>
      <c r="I40" s="90">
        <f t="shared" si="0"/>
      </c>
    </row>
    <row r="41" spans="2:9" s="1" customFormat="1" ht="12.75" customHeight="1">
      <c r="B41" s="17"/>
      <c r="C41" s="12"/>
      <c r="D41" s="12"/>
      <c r="E41" s="9"/>
      <c r="F41" s="12" t="s">
        <v>16</v>
      </c>
      <c r="G41" s="25" t="s">
        <v>155</v>
      </c>
      <c r="H41" s="25"/>
      <c r="I41" s="90"/>
    </row>
    <row r="42" spans="2:9" s="1" customFormat="1" ht="12.75" customHeight="1">
      <c r="B42" s="17"/>
      <c r="C42" s="12"/>
      <c r="D42" s="12"/>
      <c r="E42" s="9"/>
      <c r="F42" s="12" t="s">
        <v>32</v>
      </c>
      <c r="G42" s="20">
        <f>G7+G13+G17+G36</f>
        <v>506000</v>
      </c>
      <c r="H42" s="20">
        <f>H7+H13+H17+H36</f>
        <v>0</v>
      </c>
      <c r="I42" s="89">
        <f t="shared" si="0"/>
        <v>0</v>
      </c>
    </row>
    <row r="43" spans="2:9" s="1" customFormat="1" ht="12.75" customHeight="1">
      <c r="B43" s="17"/>
      <c r="C43" s="12"/>
      <c r="D43" s="12"/>
      <c r="E43" s="9"/>
      <c r="F43" s="12" t="s">
        <v>17</v>
      </c>
      <c r="G43" s="20"/>
      <c r="H43" s="20"/>
      <c r="I43" s="92"/>
    </row>
    <row r="44" spans="2:9" s="1" customFormat="1" ht="12.75" customHeight="1">
      <c r="B44" s="17"/>
      <c r="C44" s="12"/>
      <c r="D44" s="12"/>
      <c r="E44" s="9"/>
      <c r="F44" s="12" t="s">
        <v>18</v>
      </c>
      <c r="G44" s="33"/>
      <c r="H44" s="33"/>
      <c r="I44" s="91"/>
    </row>
    <row r="45" spans="2:9" ht="12.75" customHeight="1" thickBot="1">
      <c r="B45" s="21"/>
      <c r="C45" s="22"/>
      <c r="D45" s="22"/>
      <c r="E45" s="23"/>
      <c r="F45" s="22"/>
      <c r="G45" s="35"/>
      <c r="H45" s="35"/>
      <c r="I45" s="93"/>
    </row>
    <row r="46" ht="12.75">
      <c r="G46" s="55"/>
    </row>
    <row r="47" ht="12.75">
      <c r="G47" s="55"/>
    </row>
    <row r="48" spans="2:7" ht="12.75">
      <c r="B48" s="51"/>
      <c r="G48" s="55"/>
    </row>
    <row r="49" spans="2:7" ht="12.75">
      <c r="B49" s="51"/>
      <c r="G49" s="55"/>
    </row>
    <row r="50" spans="2:7" ht="12.75">
      <c r="B50" s="51"/>
      <c r="G50" s="55"/>
    </row>
    <row r="51" spans="2:7" ht="12.75">
      <c r="B51" s="51"/>
      <c r="G51" s="55"/>
    </row>
    <row r="52" spans="2:7" ht="12.75">
      <c r="B52" s="51"/>
      <c r="G52" s="55"/>
    </row>
    <row r="53" spans="2:7" ht="12.75">
      <c r="B53" s="51"/>
      <c r="G53" s="55"/>
    </row>
    <row r="54" spans="2:7" ht="12.75">
      <c r="B54" s="51"/>
      <c r="G54" s="55"/>
    </row>
    <row r="55" ht="12.75">
      <c r="G55" s="55"/>
    </row>
    <row r="56" ht="12.75">
      <c r="G56" s="55"/>
    </row>
    <row r="57" ht="12.75">
      <c r="G57" s="55"/>
    </row>
    <row r="58" ht="12.75">
      <c r="G58" s="55"/>
    </row>
    <row r="59" ht="12.75">
      <c r="G59" s="55"/>
    </row>
    <row r="60" ht="12.75">
      <c r="G60" s="55"/>
    </row>
    <row r="61" ht="12.75">
      <c r="G61" s="55"/>
    </row>
    <row r="62" ht="12.75">
      <c r="G62" s="55"/>
    </row>
  </sheetData>
  <sheetProtection/>
  <mergeCells count="2">
    <mergeCell ref="B2:G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&amp;R36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2"/>
  <dimension ref="B2:K62"/>
  <sheetViews>
    <sheetView workbookViewId="0" topLeftCell="C1">
      <selection activeCell="H4" sqref="H4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1.140625" style="24" customWidth="1"/>
    <col min="6" max="6" width="43.7109375" style="13" customWidth="1"/>
    <col min="7" max="7" width="15.7109375" style="13" customWidth="1"/>
    <col min="8" max="8" width="15.7109375" style="55" customWidth="1"/>
    <col min="9" max="9" width="8.7109375" style="80" customWidth="1"/>
    <col min="10" max="16384" width="9.140625" style="13" customWidth="1"/>
  </cols>
  <sheetData>
    <row r="2" spans="2:7" ht="15" customHeight="1">
      <c r="B2" s="143" t="s">
        <v>93</v>
      </c>
      <c r="C2" s="143"/>
      <c r="D2" s="143"/>
      <c r="E2" s="143"/>
      <c r="F2" s="143"/>
      <c r="G2" s="143"/>
    </row>
    <row r="3" spans="5:9" s="1" customFormat="1" ht="16.5" thickBot="1">
      <c r="E3" s="2"/>
      <c r="F3" s="144" t="s">
        <v>165</v>
      </c>
      <c r="G3" s="144"/>
      <c r="H3" s="108">
        <v>712700</v>
      </c>
      <c r="I3" s="109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31" t="s">
        <v>147</v>
      </c>
      <c r="H4" s="131" t="s">
        <v>164</v>
      </c>
      <c r="I4" s="86" t="s">
        <v>139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2">
        <v>6</v>
      </c>
      <c r="H5" s="9">
        <v>7</v>
      </c>
      <c r="I5" s="87">
        <v>8</v>
      </c>
    </row>
    <row r="6" spans="2:9" s="2" customFormat="1" ht="12.75" customHeight="1">
      <c r="B6" s="10" t="s">
        <v>63</v>
      </c>
      <c r="C6" s="11" t="s">
        <v>65</v>
      </c>
      <c r="D6" s="11" t="s">
        <v>68</v>
      </c>
      <c r="E6" s="9"/>
      <c r="F6" s="9"/>
      <c r="G6" s="32"/>
      <c r="H6" s="102"/>
      <c r="I6" s="88"/>
    </row>
    <row r="7" spans="2:9" s="1" customFormat="1" ht="12.75" customHeight="1">
      <c r="B7" s="17"/>
      <c r="C7" s="12"/>
      <c r="D7" s="12"/>
      <c r="E7" s="9">
        <v>611000</v>
      </c>
      <c r="F7" s="12" t="s">
        <v>82</v>
      </c>
      <c r="G7" s="136">
        <f>SUM(G8:G11)</f>
        <v>597200</v>
      </c>
      <c r="H7" s="136">
        <f>SUM(H8:H11)</f>
        <v>0</v>
      </c>
      <c r="I7" s="89">
        <f aca="true" t="shared" si="0" ref="I7:I44">IF(G7=0,"",H7/G7*100)</f>
        <v>0</v>
      </c>
    </row>
    <row r="8" spans="2:9" ht="12.75" customHeight="1">
      <c r="B8" s="14"/>
      <c r="C8" s="15"/>
      <c r="D8" s="15"/>
      <c r="E8" s="16">
        <v>611100</v>
      </c>
      <c r="F8" s="26" t="s">
        <v>107</v>
      </c>
      <c r="G8" s="138">
        <f>461700+22800</f>
        <v>484500</v>
      </c>
      <c r="H8" s="138"/>
      <c r="I8" s="90">
        <f t="shared" si="0"/>
        <v>0</v>
      </c>
    </row>
    <row r="9" spans="2:9" ht="12.75" customHeight="1">
      <c r="B9" s="14"/>
      <c r="C9" s="15"/>
      <c r="D9" s="15"/>
      <c r="E9" s="16">
        <v>611200</v>
      </c>
      <c r="F9" s="15" t="s">
        <v>108</v>
      </c>
      <c r="G9" s="138">
        <f>111200+1500</f>
        <v>112700</v>
      </c>
      <c r="H9" s="138"/>
      <c r="I9" s="90">
        <f t="shared" si="0"/>
        <v>0</v>
      </c>
    </row>
    <row r="10" spans="2:11" ht="12.75" customHeight="1">
      <c r="B10" s="14"/>
      <c r="C10" s="15"/>
      <c r="D10" s="15"/>
      <c r="E10" s="16">
        <v>611200</v>
      </c>
      <c r="F10" s="134" t="s">
        <v>148</v>
      </c>
      <c r="G10" s="135">
        <v>0</v>
      </c>
      <c r="H10" s="135"/>
      <c r="I10" s="90">
        <f t="shared" si="0"/>
      </c>
      <c r="K10" s="54"/>
    </row>
    <row r="11" spans="2:9" ht="12.75" customHeight="1">
      <c r="B11" s="14"/>
      <c r="C11" s="15"/>
      <c r="D11" s="15"/>
      <c r="E11" s="16"/>
      <c r="F11" s="26"/>
      <c r="G11" s="138"/>
      <c r="H11" s="138"/>
      <c r="I11" s="90">
        <f t="shared" si="0"/>
      </c>
    </row>
    <row r="12" spans="2:9" ht="12.75" customHeight="1">
      <c r="B12" s="14"/>
      <c r="C12" s="15"/>
      <c r="D12" s="15"/>
      <c r="E12" s="16"/>
      <c r="F12" s="15"/>
      <c r="G12" s="136"/>
      <c r="H12" s="136"/>
      <c r="I12" s="90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81</v>
      </c>
      <c r="G13" s="136">
        <f>G14</f>
        <v>53100</v>
      </c>
      <c r="H13" s="136">
        <f>H14</f>
        <v>0</v>
      </c>
      <c r="I13" s="89">
        <f t="shared" si="0"/>
        <v>0</v>
      </c>
    </row>
    <row r="14" spans="2:9" ht="12.75" customHeight="1">
      <c r="B14" s="14"/>
      <c r="C14" s="15"/>
      <c r="D14" s="15"/>
      <c r="E14" s="16">
        <v>612100</v>
      </c>
      <c r="F14" s="18" t="s">
        <v>6</v>
      </c>
      <c r="G14" s="138">
        <f>50700+2400</f>
        <v>53100</v>
      </c>
      <c r="H14" s="138"/>
      <c r="I14" s="90">
        <f t="shared" si="0"/>
        <v>0</v>
      </c>
    </row>
    <row r="15" spans="2:9" ht="12.75" customHeight="1">
      <c r="B15" s="14"/>
      <c r="C15" s="15"/>
      <c r="D15" s="15"/>
      <c r="E15" s="16"/>
      <c r="F15" s="15"/>
      <c r="G15" s="34"/>
      <c r="H15" s="34"/>
      <c r="I15" s="90">
        <f t="shared" si="0"/>
      </c>
    </row>
    <row r="16" spans="2:9" ht="12.75" customHeight="1">
      <c r="B16" s="14"/>
      <c r="C16" s="15"/>
      <c r="D16" s="15"/>
      <c r="E16" s="16"/>
      <c r="F16" s="15"/>
      <c r="G16" s="20"/>
      <c r="H16" s="20"/>
      <c r="I16" s="90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83</v>
      </c>
      <c r="G17" s="37">
        <f>SUM(G18:G27)</f>
        <v>62400</v>
      </c>
      <c r="H17" s="37">
        <f>SUM(H18:H27)</f>
        <v>0</v>
      </c>
      <c r="I17" s="89">
        <f t="shared" si="0"/>
        <v>0</v>
      </c>
    </row>
    <row r="18" spans="2:9" ht="12.75" customHeight="1">
      <c r="B18" s="14"/>
      <c r="C18" s="15"/>
      <c r="D18" s="15"/>
      <c r="E18" s="16">
        <v>613100</v>
      </c>
      <c r="F18" s="15" t="s">
        <v>7</v>
      </c>
      <c r="G18" s="34">
        <v>3500</v>
      </c>
      <c r="H18" s="34"/>
      <c r="I18" s="90">
        <f t="shared" si="0"/>
        <v>0</v>
      </c>
    </row>
    <row r="19" spans="2:9" ht="12.75" customHeight="1">
      <c r="B19" s="14"/>
      <c r="C19" s="15"/>
      <c r="D19" s="15"/>
      <c r="E19" s="16">
        <v>613200</v>
      </c>
      <c r="F19" s="15" t="s">
        <v>8</v>
      </c>
      <c r="G19" s="34">
        <v>30500</v>
      </c>
      <c r="H19" s="34"/>
      <c r="I19" s="90">
        <f t="shared" si="0"/>
        <v>0</v>
      </c>
    </row>
    <row r="20" spans="2:9" ht="12.75" customHeight="1">
      <c r="B20" s="14"/>
      <c r="C20" s="15"/>
      <c r="D20" s="15"/>
      <c r="E20" s="16">
        <v>613300</v>
      </c>
      <c r="F20" s="26" t="s">
        <v>109</v>
      </c>
      <c r="G20" s="34">
        <v>3400</v>
      </c>
      <c r="H20" s="34"/>
      <c r="I20" s="90">
        <f t="shared" si="0"/>
        <v>0</v>
      </c>
    </row>
    <row r="21" spans="2:9" ht="12.75" customHeight="1">
      <c r="B21" s="14"/>
      <c r="C21" s="15"/>
      <c r="D21" s="15"/>
      <c r="E21" s="16">
        <v>613400</v>
      </c>
      <c r="F21" s="15" t="s">
        <v>84</v>
      </c>
      <c r="G21" s="71">
        <v>8000</v>
      </c>
      <c r="H21" s="71"/>
      <c r="I21" s="90">
        <f t="shared" si="0"/>
        <v>0</v>
      </c>
    </row>
    <row r="22" spans="2:9" ht="12.75" customHeight="1">
      <c r="B22" s="14"/>
      <c r="C22" s="15"/>
      <c r="D22" s="15"/>
      <c r="E22" s="16">
        <v>613500</v>
      </c>
      <c r="F22" s="15" t="s">
        <v>9</v>
      </c>
      <c r="G22" s="71">
        <v>1000</v>
      </c>
      <c r="H22" s="71"/>
      <c r="I22" s="90">
        <f t="shared" si="0"/>
        <v>0</v>
      </c>
    </row>
    <row r="23" spans="2:9" ht="12.75" customHeight="1">
      <c r="B23" s="14"/>
      <c r="C23" s="15"/>
      <c r="D23" s="15"/>
      <c r="E23" s="16">
        <v>613600</v>
      </c>
      <c r="F23" s="26" t="s">
        <v>110</v>
      </c>
      <c r="G23" s="71">
        <v>0</v>
      </c>
      <c r="H23" s="71"/>
      <c r="I23" s="90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10</v>
      </c>
      <c r="G24" s="71">
        <v>8000</v>
      </c>
      <c r="H24" s="71"/>
      <c r="I24" s="90">
        <f t="shared" si="0"/>
        <v>0</v>
      </c>
    </row>
    <row r="25" spans="2:9" ht="12.75" customHeight="1">
      <c r="B25" s="14"/>
      <c r="C25" s="15"/>
      <c r="D25" s="15"/>
      <c r="E25" s="16">
        <v>613800</v>
      </c>
      <c r="F25" s="15" t="s">
        <v>85</v>
      </c>
      <c r="G25" s="71">
        <v>0</v>
      </c>
      <c r="H25" s="71"/>
      <c r="I25" s="90">
        <f t="shared" si="0"/>
      </c>
    </row>
    <row r="26" spans="2:9" ht="12.75" customHeight="1">
      <c r="B26" s="14"/>
      <c r="C26" s="15"/>
      <c r="D26" s="15"/>
      <c r="E26" s="16">
        <v>613900</v>
      </c>
      <c r="F26" s="15" t="s">
        <v>86</v>
      </c>
      <c r="G26" s="71">
        <v>8000</v>
      </c>
      <c r="H26" s="71"/>
      <c r="I26" s="90">
        <f t="shared" si="0"/>
        <v>0</v>
      </c>
    </row>
    <row r="27" spans="2:9" ht="12.75" customHeight="1">
      <c r="B27" s="14"/>
      <c r="C27" s="15"/>
      <c r="D27" s="15"/>
      <c r="E27" s="16">
        <v>613900</v>
      </c>
      <c r="F27" s="134" t="s">
        <v>149</v>
      </c>
      <c r="G27" s="71">
        <v>0</v>
      </c>
      <c r="H27" s="71"/>
      <c r="I27" s="90">
        <f t="shared" si="0"/>
      </c>
    </row>
    <row r="28" spans="2:9" s="1" customFormat="1" ht="12.75" customHeight="1">
      <c r="B28" s="17"/>
      <c r="C28" s="12"/>
      <c r="D28" s="12"/>
      <c r="E28" s="9"/>
      <c r="F28" s="12"/>
      <c r="G28" s="71"/>
      <c r="H28" s="71"/>
      <c r="I28" s="90">
        <f t="shared" si="0"/>
      </c>
    </row>
    <row r="29" spans="2:9" ht="12.75" customHeight="1">
      <c r="B29" s="14"/>
      <c r="C29" s="15"/>
      <c r="D29" s="29"/>
      <c r="E29" s="16"/>
      <c r="F29" s="28"/>
      <c r="G29" s="71"/>
      <c r="H29" s="71"/>
      <c r="I29" s="90">
        <f t="shared" si="0"/>
      </c>
    </row>
    <row r="30" spans="2:9" ht="12.75" customHeight="1">
      <c r="B30" s="14"/>
      <c r="C30" s="15"/>
      <c r="D30" s="15"/>
      <c r="E30" s="42"/>
      <c r="F30" s="28"/>
      <c r="G30" s="71"/>
      <c r="H30" s="71"/>
      <c r="I30" s="90">
        <f t="shared" si="0"/>
      </c>
    </row>
    <row r="31" spans="2:9" ht="12.75" customHeight="1">
      <c r="B31" s="14"/>
      <c r="C31" s="15"/>
      <c r="D31" s="15"/>
      <c r="E31" s="16"/>
      <c r="F31" s="15"/>
      <c r="G31" s="71"/>
      <c r="H31" s="71"/>
      <c r="I31" s="90">
        <f t="shared" si="0"/>
      </c>
    </row>
    <row r="32" spans="2:9" ht="12.75" customHeight="1">
      <c r="B32" s="14"/>
      <c r="C32" s="15"/>
      <c r="D32" s="15"/>
      <c r="E32" s="16"/>
      <c r="F32" s="15"/>
      <c r="G32" s="71"/>
      <c r="H32" s="71"/>
      <c r="I32" s="90">
        <f t="shared" si="0"/>
      </c>
    </row>
    <row r="33" spans="2:9" ht="12.75" customHeight="1">
      <c r="B33" s="14"/>
      <c r="C33" s="15"/>
      <c r="D33" s="15"/>
      <c r="E33" s="9"/>
      <c r="F33" s="12"/>
      <c r="G33" s="71"/>
      <c r="H33" s="71"/>
      <c r="I33" s="90">
        <f t="shared" si="0"/>
      </c>
    </row>
    <row r="34" spans="2:9" ht="12.75" customHeight="1">
      <c r="B34" s="14"/>
      <c r="C34" s="15"/>
      <c r="D34" s="15"/>
      <c r="E34" s="16"/>
      <c r="F34" s="26"/>
      <c r="G34" s="71"/>
      <c r="H34" s="71"/>
      <c r="I34" s="90">
        <f t="shared" si="0"/>
      </c>
    </row>
    <row r="35" spans="2:9" ht="12.75" customHeight="1">
      <c r="B35" s="14"/>
      <c r="C35" s="15"/>
      <c r="D35" s="15"/>
      <c r="E35" s="16"/>
      <c r="F35" s="15"/>
      <c r="G35" s="63"/>
      <c r="H35" s="63"/>
      <c r="I35" s="90">
        <f t="shared" si="0"/>
      </c>
    </row>
    <row r="36" spans="2:9" s="1" customFormat="1" ht="12.75" customHeight="1">
      <c r="B36" s="17"/>
      <c r="C36" s="12"/>
      <c r="D36" s="12"/>
      <c r="E36" s="9">
        <v>821000</v>
      </c>
      <c r="F36" s="12" t="s">
        <v>13</v>
      </c>
      <c r="G36" s="63">
        <f>SUM(G37:G39)</f>
        <v>2000</v>
      </c>
      <c r="H36" s="63">
        <f>SUM(H37:H39)</f>
        <v>0</v>
      </c>
      <c r="I36" s="89">
        <f t="shared" si="0"/>
        <v>0</v>
      </c>
    </row>
    <row r="37" spans="2:9" ht="12.75" customHeight="1">
      <c r="B37" s="14"/>
      <c r="C37" s="15"/>
      <c r="D37" s="15"/>
      <c r="E37" s="16">
        <v>821200</v>
      </c>
      <c r="F37" s="15" t="s">
        <v>14</v>
      </c>
      <c r="G37" s="71">
        <v>0</v>
      </c>
      <c r="H37" s="71"/>
      <c r="I37" s="90">
        <f t="shared" si="0"/>
      </c>
    </row>
    <row r="38" spans="2:9" ht="12.75" customHeight="1">
      <c r="B38" s="14"/>
      <c r="C38" s="15"/>
      <c r="D38" s="15"/>
      <c r="E38" s="16">
        <v>821300</v>
      </c>
      <c r="F38" s="15" t="s">
        <v>15</v>
      </c>
      <c r="G38" s="71">
        <v>2000</v>
      </c>
      <c r="H38" s="71"/>
      <c r="I38" s="90">
        <f t="shared" si="0"/>
        <v>0</v>
      </c>
    </row>
    <row r="39" spans="2:9" ht="12.75" customHeight="1">
      <c r="B39" s="14"/>
      <c r="C39" s="15"/>
      <c r="D39" s="15"/>
      <c r="E39" s="16"/>
      <c r="F39" s="26"/>
      <c r="G39" s="71"/>
      <c r="H39" s="71"/>
      <c r="I39" s="90">
        <f t="shared" si="0"/>
      </c>
    </row>
    <row r="40" spans="2:9" ht="12.75" customHeight="1">
      <c r="B40" s="14"/>
      <c r="C40" s="15"/>
      <c r="D40" s="15"/>
      <c r="E40" s="16"/>
      <c r="F40" s="15"/>
      <c r="G40" s="34"/>
      <c r="H40" s="34"/>
      <c r="I40" s="90">
        <f t="shared" si="0"/>
      </c>
    </row>
    <row r="41" spans="2:9" s="1" customFormat="1" ht="12.75" customHeight="1">
      <c r="B41" s="17"/>
      <c r="C41" s="12"/>
      <c r="D41" s="12"/>
      <c r="E41" s="9"/>
      <c r="F41" s="12" t="s">
        <v>16</v>
      </c>
      <c r="G41" s="25" t="s">
        <v>156</v>
      </c>
      <c r="H41" s="25"/>
      <c r="I41" s="90"/>
    </row>
    <row r="42" spans="2:9" s="1" customFormat="1" ht="12.75" customHeight="1">
      <c r="B42" s="17"/>
      <c r="C42" s="12"/>
      <c r="D42" s="12"/>
      <c r="E42" s="9"/>
      <c r="F42" s="12" t="s">
        <v>32</v>
      </c>
      <c r="G42" s="20">
        <f>G7+G13+G17+G36</f>
        <v>714700</v>
      </c>
      <c r="H42" s="20">
        <f>H7+H13+H17+H36</f>
        <v>0</v>
      </c>
      <c r="I42" s="89">
        <f t="shared" si="0"/>
        <v>0</v>
      </c>
    </row>
    <row r="43" spans="2:9" s="1" customFormat="1" ht="12.75" customHeight="1">
      <c r="B43" s="17"/>
      <c r="C43" s="12"/>
      <c r="D43" s="12"/>
      <c r="E43" s="9"/>
      <c r="F43" s="12" t="s">
        <v>17</v>
      </c>
      <c r="G43" s="20">
        <f>G42+'29'!G42+'28'!G42+'27'!G42+'26'!G42+'25'!G42+'24'!G42</f>
        <v>7722160</v>
      </c>
      <c r="H43" s="20">
        <f>H42+'29'!H42+'28'!H42+'27'!H42+'26'!H42+'25'!H42+'24'!H42</f>
        <v>0</v>
      </c>
      <c r="I43" s="89">
        <f t="shared" si="0"/>
        <v>0</v>
      </c>
    </row>
    <row r="44" spans="2:9" s="1" customFormat="1" ht="12.75" customHeight="1">
      <c r="B44" s="17"/>
      <c r="C44" s="12"/>
      <c r="D44" s="12"/>
      <c r="E44" s="9"/>
      <c r="F44" s="12" t="s">
        <v>18</v>
      </c>
      <c r="G44" s="20">
        <f>G43+'23'!G43+'20'!G55</f>
        <v>13110810</v>
      </c>
      <c r="H44" s="20">
        <f>H43+'23'!H43+'20'!H55</f>
        <v>0</v>
      </c>
      <c r="I44" s="89">
        <f t="shared" si="0"/>
        <v>0</v>
      </c>
    </row>
    <row r="45" spans="2:9" ht="12.75" customHeight="1" thickBot="1">
      <c r="B45" s="21"/>
      <c r="C45" s="22"/>
      <c r="D45" s="22"/>
      <c r="E45" s="23"/>
      <c r="F45" s="22"/>
      <c r="G45" s="35"/>
      <c r="H45" s="35"/>
      <c r="I45" s="93"/>
    </row>
    <row r="46" ht="12.75">
      <c r="G46" s="55"/>
    </row>
    <row r="47" spans="2:7" ht="12.75">
      <c r="B47" s="51"/>
      <c r="G47" s="55"/>
    </row>
    <row r="48" spans="2:7" ht="12.75">
      <c r="B48" s="51"/>
      <c r="G48" s="55"/>
    </row>
    <row r="49" spans="2:7" ht="12.75">
      <c r="B49" s="51"/>
      <c r="G49" s="55"/>
    </row>
    <row r="50" spans="2:7" ht="12.75">
      <c r="B50" s="51"/>
      <c r="G50" s="55"/>
    </row>
    <row r="51" spans="2:7" ht="12.75">
      <c r="B51" s="51"/>
      <c r="G51" s="55"/>
    </row>
    <row r="52" spans="2:7" ht="12.75">
      <c r="B52" s="51"/>
      <c r="G52" s="55"/>
    </row>
    <row r="53" spans="2:7" ht="12.75">
      <c r="B53" s="51"/>
      <c r="G53" s="55"/>
    </row>
    <row r="54" ht="12.75">
      <c r="G54" s="55"/>
    </row>
    <row r="55" ht="12.75">
      <c r="G55" s="55"/>
    </row>
    <row r="56" ht="12.75">
      <c r="G56" s="55"/>
    </row>
    <row r="57" ht="12.75">
      <c r="G57" s="55"/>
    </row>
    <row r="58" ht="12.75">
      <c r="G58" s="55"/>
    </row>
    <row r="59" ht="12.75">
      <c r="G59" s="55"/>
    </row>
    <row r="60" ht="12.75">
      <c r="G60" s="55"/>
    </row>
    <row r="61" ht="12.75">
      <c r="G61" s="55"/>
    </row>
    <row r="62" ht="12.75">
      <c r="G62" s="55"/>
    </row>
  </sheetData>
  <sheetProtection/>
  <mergeCells count="2">
    <mergeCell ref="B2:G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&amp;R37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B2:L48"/>
  <sheetViews>
    <sheetView workbookViewId="0" topLeftCell="A1">
      <selection activeCell="H4" sqref="H4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421875" style="24" customWidth="1"/>
    <col min="6" max="6" width="43.7109375" style="13" customWidth="1"/>
    <col min="7" max="8" width="15.7109375" style="13" customWidth="1"/>
    <col min="9" max="9" width="8.7109375" style="80" customWidth="1"/>
    <col min="10" max="16384" width="9.140625" style="13" customWidth="1"/>
  </cols>
  <sheetData>
    <row r="2" spans="2:9" s="67" customFormat="1" ht="15" customHeight="1">
      <c r="B2" s="145" t="s">
        <v>42</v>
      </c>
      <c r="C2" s="145"/>
      <c r="D2" s="145"/>
      <c r="E2" s="145"/>
      <c r="F2" s="145"/>
      <c r="G2" s="145"/>
      <c r="H2" s="145"/>
      <c r="I2" s="84"/>
    </row>
    <row r="3" spans="5:9" s="1" customFormat="1" ht="16.5" thickBot="1">
      <c r="E3" s="2"/>
      <c r="F3" s="144" t="s">
        <v>165</v>
      </c>
      <c r="G3" s="144"/>
      <c r="H3" s="108">
        <v>82000</v>
      </c>
      <c r="I3" s="109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31" t="s">
        <v>147</v>
      </c>
      <c r="H4" s="131" t="s">
        <v>164</v>
      </c>
      <c r="I4" s="86" t="s">
        <v>139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2">
        <v>6</v>
      </c>
      <c r="H5" s="9">
        <v>7</v>
      </c>
      <c r="I5" s="87">
        <v>8</v>
      </c>
    </row>
    <row r="6" spans="2:9" s="2" customFormat="1" ht="12.75" customHeight="1">
      <c r="B6" s="10" t="s">
        <v>39</v>
      </c>
      <c r="C6" s="11" t="s">
        <v>4</v>
      </c>
      <c r="D6" s="11" t="s">
        <v>37</v>
      </c>
      <c r="E6" s="9"/>
      <c r="F6" s="9"/>
      <c r="G6" s="32"/>
      <c r="H6" s="9"/>
      <c r="I6" s="88"/>
    </row>
    <row r="7" spans="2:9" s="1" customFormat="1" ht="12.75" customHeight="1">
      <c r="B7" s="17"/>
      <c r="C7" s="12"/>
      <c r="D7" s="12"/>
      <c r="E7" s="9">
        <v>611000</v>
      </c>
      <c r="F7" s="12" t="s">
        <v>82</v>
      </c>
      <c r="G7" s="136">
        <f>SUM(G8:G11)</f>
        <v>33080</v>
      </c>
      <c r="H7" s="136">
        <f>SUM(H8:H11)</f>
        <v>0</v>
      </c>
      <c r="I7" s="127">
        <f aca="true" t="shared" si="0" ref="I7:I43">IF(G7=0,"",H7/G7*100)</f>
        <v>0</v>
      </c>
    </row>
    <row r="8" spans="2:9" ht="12.75" customHeight="1">
      <c r="B8" s="14"/>
      <c r="C8" s="15"/>
      <c r="D8" s="15"/>
      <c r="E8" s="16">
        <v>611100</v>
      </c>
      <c r="F8" s="26" t="s">
        <v>107</v>
      </c>
      <c r="G8" s="135">
        <f>16700+8800+840+440</f>
        <v>26780</v>
      </c>
      <c r="H8" s="135"/>
      <c r="I8" s="90">
        <f t="shared" si="0"/>
        <v>0</v>
      </c>
    </row>
    <row r="9" spans="2:9" ht="12.75" customHeight="1">
      <c r="B9" s="14"/>
      <c r="C9" s="15"/>
      <c r="D9" s="15"/>
      <c r="E9" s="16">
        <v>611200</v>
      </c>
      <c r="F9" s="15" t="s">
        <v>108</v>
      </c>
      <c r="G9" s="135">
        <f>10*21*11+210*4+400+2750</f>
        <v>6300</v>
      </c>
      <c r="H9" s="135"/>
      <c r="I9" s="90">
        <f t="shared" si="0"/>
        <v>0</v>
      </c>
    </row>
    <row r="10" spans="2:11" ht="12.75" customHeight="1">
      <c r="B10" s="14"/>
      <c r="C10" s="15"/>
      <c r="D10" s="15"/>
      <c r="E10" s="16">
        <v>611200</v>
      </c>
      <c r="F10" s="134" t="s">
        <v>148</v>
      </c>
      <c r="G10" s="135">
        <v>0</v>
      </c>
      <c r="H10" s="135"/>
      <c r="I10" s="90">
        <f t="shared" si="0"/>
      </c>
      <c r="K10" s="54"/>
    </row>
    <row r="11" spans="2:9" ht="12.75" customHeight="1">
      <c r="B11" s="14"/>
      <c r="C11" s="15"/>
      <c r="D11" s="15"/>
      <c r="E11" s="16"/>
      <c r="F11" s="26"/>
      <c r="G11" s="135"/>
      <c r="H11" s="135"/>
      <c r="I11" s="90">
        <f t="shared" si="0"/>
      </c>
    </row>
    <row r="12" spans="2:9" ht="12.75" customHeight="1">
      <c r="B12" s="14"/>
      <c r="C12" s="15"/>
      <c r="D12" s="15"/>
      <c r="E12" s="16"/>
      <c r="F12" s="15"/>
      <c r="G12" s="136"/>
      <c r="H12" s="136"/>
      <c r="I12" s="90">
        <f t="shared" si="0"/>
      </c>
    </row>
    <row r="13" spans="2:12" s="1" customFormat="1" ht="12.75" customHeight="1">
      <c r="B13" s="17"/>
      <c r="C13" s="12"/>
      <c r="D13" s="12"/>
      <c r="E13" s="9">
        <v>612000</v>
      </c>
      <c r="F13" s="12" t="s">
        <v>81</v>
      </c>
      <c r="G13" s="136">
        <f>G14</f>
        <v>3110</v>
      </c>
      <c r="H13" s="136">
        <f>H14</f>
        <v>0</v>
      </c>
      <c r="I13" s="90">
        <f t="shared" si="0"/>
        <v>0</v>
      </c>
      <c r="L13" s="58"/>
    </row>
    <row r="14" spans="2:12" ht="12.75" customHeight="1">
      <c r="B14" s="14"/>
      <c r="C14" s="15"/>
      <c r="D14" s="15"/>
      <c r="E14" s="16">
        <v>612100</v>
      </c>
      <c r="F14" s="18" t="s">
        <v>6</v>
      </c>
      <c r="G14" s="135">
        <f>2000+960+100+50</f>
        <v>3110</v>
      </c>
      <c r="H14" s="135"/>
      <c r="I14" s="90">
        <f t="shared" si="0"/>
        <v>0</v>
      </c>
      <c r="L14" s="51"/>
    </row>
    <row r="15" spans="2:9" ht="12.75" customHeight="1">
      <c r="B15" s="14"/>
      <c r="C15" s="15"/>
      <c r="D15" s="15"/>
      <c r="E15" s="16"/>
      <c r="F15" s="15"/>
      <c r="G15" s="33"/>
      <c r="H15" s="33"/>
      <c r="I15" s="90">
        <f t="shared" si="0"/>
      </c>
    </row>
    <row r="16" spans="2:9" ht="12.75" customHeight="1">
      <c r="B16" s="14"/>
      <c r="C16" s="15"/>
      <c r="D16" s="15"/>
      <c r="E16" s="16"/>
      <c r="F16" s="15"/>
      <c r="G16" s="37"/>
      <c r="H16" s="37"/>
      <c r="I16" s="90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83</v>
      </c>
      <c r="G17" s="37">
        <f>SUM(G18:G27)</f>
        <v>12000</v>
      </c>
      <c r="H17" s="37">
        <f>SUM(H18:H27)</f>
        <v>0</v>
      </c>
      <c r="I17" s="127">
        <f t="shared" si="0"/>
        <v>0</v>
      </c>
    </row>
    <row r="18" spans="2:9" ht="12.75" customHeight="1">
      <c r="B18" s="14"/>
      <c r="C18" s="15"/>
      <c r="D18" s="15"/>
      <c r="E18" s="16">
        <v>613100</v>
      </c>
      <c r="F18" s="15" t="s">
        <v>7</v>
      </c>
      <c r="G18" s="33">
        <v>500</v>
      </c>
      <c r="H18" s="33"/>
      <c r="I18" s="90">
        <f t="shared" si="0"/>
        <v>0</v>
      </c>
    </row>
    <row r="19" spans="2:9" ht="12.75" customHeight="1">
      <c r="B19" s="14"/>
      <c r="C19" s="15"/>
      <c r="D19" s="15"/>
      <c r="E19" s="16">
        <v>613200</v>
      </c>
      <c r="F19" s="15" t="s">
        <v>8</v>
      </c>
      <c r="G19" s="33">
        <v>0</v>
      </c>
      <c r="H19" s="33"/>
      <c r="I19" s="90">
        <f t="shared" si="0"/>
      </c>
    </row>
    <row r="20" spans="2:9" ht="12.75" customHeight="1">
      <c r="B20" s="14"/>
      <c r="C20" s="15"/>
      <c r="D20" s="15"/>
      <c r="E20" s="16">
        <v>613300</v>
      </c>
      <c r="F20" s="26" t="s">
        <v>109</v>
      </c>
      <c r="G20" s="33">
        <v>1100</v>
      </c>
      <c r="H20" s="33"/>
      <c r="I20" s="90">
        <f t="shared" si="0"/>
        <v>0</v>
      </c>
    </row>
    <row r="21" spans="2:9" ht="12.75" customHeight="1">
      <c r="B21" s="14"/>
      <c r="C21" s="15"/>
      <c r="D21" s="15"/>
      <c r="E21" s="16">
        <v>613400</v>
      </c>
      <c r="F21" s="15" t="s">
        <v>84</v>
      </c>
      <c r="G21" s="33">
        <v>0</v>
      </c>
      <c r="H21" s="33"/>
      <c r="I21" s="90">
        <f t="shared" si="0"/>
      </c>
    </row>
    <row r="22" spans="2:9" ht="12.75" customHeight="1">
      <c r="B22" s="14"/>
      <c r="C22" s="15"/>
      <c r="D22" s="15"/>
      <c r="E22" s="16">
        <v>613500</v>
      </c>
      <c r="F22" s="15" t="s">
        <v>9</v>
      </c>
      <c r="G22" s="33">
        <v>0</v>
      </c>
      <c r="H22" s="33"/>
      <c r="I22" s="90">
        <f t="shared" si="0"/>
      </c>
    </row>
    <row r="23" spans="2:9" ht="12.75" customHeight="1">
      <c r="B23" s="14"/>
      <c r="C23" s="15"/>
      <c r="D23" s="15"/>
      <c r="E23" s="16">
        <v>613600</v>
      </c>
      <c r="F23" s="26" t="s">
        <v>110</v>
      </c>
      <c r="G23" s="33">
        <v>0</v>
      </c>
      <c r="H23" s="33"/>
      <c r="I23" s="90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10</v>
      </c>
      <c r="G24" s="33">
        <v>400</v>
      </c>
      <c r="H24" s="33"/>
      <c r="I24" s="90">
        <f t="shared" si="0"/>
        <v>0</v>
      </c>
    </row>
    <row r="25" spans="2:10" ht="12.75" customHeight="1">
      <c r="B25" s="14"/>
      <c r="C25" s="15"/>
      <c r="D25" s="15"/>
      <c r="E25" s="16">
        <v>613800</v>
      </c>
      <c r="F25" s="15" t="s">
        <v>85</v>
      </c>
      <c r="G25" s="33">
        <v>0</v>
      </c>
      <c r="H25" s="33"/>
      <c r="I25" s="90">
        <f t="shared" si="0"/>
      </c>
      <c r="J25" s="51"/>
    </row>
    <row r="26" spans="2:9" ht="12.75" customHeight="1">
      <c r="B26" s="14"/>
      <c r="C26" s="15"/>
      <c r="D26" s="15"/>
      <c r="E26" s="16">
        <v>613900</v>
      </c>
      <c r="F26" s="15" t="s">
        <v>86</v>
      </c>
      <c r="G26" s="52">
        <v>10000</v>
      </c>
      <c r="H26" s="52"/>
      <c r="I26" s="90">
        <f t="shared" si="0"/>
        <v>0</v>
      </c>
    </row>
    <row r="27" spans="2:9" ht="12.75" customHeight="1">
      <c r="B27" s="14"/>
      <c r="C27" s="15"/>
      <c r="D27" s="15"/>
      <c r="E27" s="16">
        <v>613900</v>
      </c>
      <c r="F27" s="134" t="s">
        <v>149</v>
      </c>
      <c r="G27" s="33">
        <v>0</v>
      </c>
      <c r="H27" s="33"/>
      <c r="I27" s="90">
        <f t="shared" si="0"/>
      </c>
    </row>
    <row r="28" spans="2:9" ht="12.75" customHeight="1">
      <c r="B28" s="14"/>
      <c r="C28" s="15"/>
      <c r="D28" s="15"/>
      <c r="E28" s="16"/>
      <c r="F28" s="15"/>
      <c r="G28" s="20"/>
      <c r="H28" s="20"/>
      <c r="I28" s="90">
        <f t="shared" si="0"/>
      </c>
    </row>
    <row r="29" spans="2:9" s="1" customFormat="1" ht="12.75" customHeight="1">
      <c r="B29" s="17"/>
      <c r="C29" s="12"/>
      <c r="D29" s="12"/>
      <c r="E29" s="41">
        <v>614000</v>
      </c>
      <c r="F29" s="12" t="s">
        <v>111</v>
      </c>
      <c r="G29" s="20">
        <f>G30</f>
        <v>15000</v>
      </c>
      <c r="H29" s="20">
        <f>H30</f>
        <v>0</v>
      </c>
      <c r="I29" s="127">
        <f t="shared" si="0"/>
        <v>0</v>
      </c>
    </row>
    <row r="30" spans="2:9" ht="12.75" customHeight="1">
      <c r="B30" s="14"/>
      <c r="C30" s="15"/>
      <c r="D30" s="29"/>
      <c r="E30" s="43">
        <v>614200</v>
      </c>
      <c r="F30" s="40" t="s">
        <v>22</v>
      </c>
      <c r="G30" s="52">
        <v>15000</v>
      </c>
      <c r="H30" s="52"/>
      <c r="I30" s="90">
        <f t="shared" si="0"/>
        <v>0</v>
      </c>
    </row>
    <row r="31" spans="2:9" ht="12.75" customHeight="1">
      <c r="B31" s="14"/>
      <c r="C31" s="15"/>
      <c r="D31" s="15"/>
      <c r="E31" s="42"/>
      <c r="F31" s="15"/>
      <c r="G31" s="33"/>
      <c r="H31" s="33"/>
      <c r="I31" s="90">
        <f t="shared" si="0"/>
      </c>
    </row>
    <row r="32" spans="2:9" ht="12.75" customHeight="1">
      <c r="B32" s="14"/>
      <c r="C32" s="15"/>
      <c r="D32" s="15"/>
      <c r="E32" s="16"/>
      <c r="F32" s="15"/>
      <c r="G32" s="33"/>
      <c r="H32" s="33"/>
      <c r="I32" s="90">
        <f t="shared" si="0"/>
      </c>
    </row>
    <row r="33" spans="2:9" ht="12.75" customHeight="1">
      <c r="B33" s="14"/>
      <c r="C33" s="15"/>
      <c r="D33" s="15"/>
      <c r="E33" s="16"/>
      <c r="F33" s="15"/>
      <c r="G33" s="33"/>
      <c r="H33" s="33"/>
      <c r="I33" s="90">
        <f t="shared" si="0"/>
      </c>
    </row>
    <row r="34" spans="2:9" ht="12.75" customHeight="1">
      <c r="B34" s="14"/>
      <c r="C34" s="15"/>
      <c r="D34" s="15"/>
      <c r="E34" s="16"/>
      <c r="F34" s="15"/>
      <c r="G34" s="33"/>
      <c r="H34" s="33"/>
      <c r="I34" s="90">
        <f t="shared" si="0"/>
      </c>
    </row>
    <row r="35" spans="2:9" ht="12.75" customHeight="1">
      <c r="B35" s="14"/>
      <c r="C35" s="15"/>
      <c r="D35" s="15"/>
      <c r="E35" s="16"/>
      <c r="F35" s="19"/>
      <c r="G35" s="33"/>
      <c r="H35" s="33"/>
      <c r="I35" s="90">
        <f t="shared" si="0"/>
      </c>
    </row>
    <row r="36" spans="2:9" ht="12.75" customHeight="1">
      <c r="B36" s="14"/>
      <c r="C36" s="15"/>
      <c r="D36" s="15"/>
      <c r="E36" s="16"/>
      <c r="F36" s="15"/>
      <c r="G36" s="20"/>
      <c r="H36" s="20"/>
      <c r="I36" s="90">
        <f t="shared" si="0"/>
      </c>
    </row>
    <row r="37" spans="2:9" s="1" customFormat="1" ht="12.75" customHeight="1">
      <c r="B37" s="17"/>
      <c r="C37" s="12"/>
      <c r="D37" s="12"/>
      <c r="E37" s="9">
        <v>821000</v>
      </c>
      <c r="F37" s="12" t="s">
        <v>13</v>
      </c>
      <c r="G37" s="20">
        <f>SUM(G38:G39)</f>
        <v>1000</v>
      </c>
      <c r="H37" s="20">
        <f>SUM(H38:H39)</f>
        <v>0</v>
      </c>
      <c r="I37" s="90">
        <f t="shared" si="0"/>
        <v>0</v>
      </c>
    </row>
    <row r="38" spans="2:9" ht="12.75" customHeight="1">
      <c r="B38" s="14"/>
      <c r="C38" s="15"/>
      <c r="D38" s="15"/>
      <c r="E38" s="16">
        <v>821200</v>
      </c>
      <c r="F38" s="15" t="s">
        <v>14</v>
      </c>
      <c r="G38" s="52">
        <v>0</v>
      </c>
      <c r="H38" s="52"/>
      <c r="I38" s="90">
        <f t="shared" si="0"/>
      </c>
    </row>
    <row r="39" spans="2:9" ht="12.75" customHeight="1">
      <c r="B39" s="14"/>
      <c r="C39" s="15"/>
      <c r="D39" s="15"/>
      <c r="E39" s="16">
        <v>821300</v>
      </c>
      <c r="F39" s="15" t="s">
        <v>15</v>
      </c>
      <c r="G39" s="33">
        <v>1000</v>
      </c>
      <c r="H39" s="33"/>
      <c r="I39" s="90">
        <f t="shared" si="0"/>
        <v>0</v>
      </c>
    </row>
    <row r="40" spans="2:9" ht="12.75" customHeight="1">
      <c r="B40" s="14"/>
      <c r="C40" s="15"/>
      <c r="D40" s="15"/>
      <c r="E40" s="16"/>
      <c r="F40" s="15"/>
      <c r="G40" s="33"/>
      <c r="H40" s="33"/>
      <c r="I40" s="90">
        <f t="shared" si="0"/>
      </c>
    </row>
    <row r="41" spans="2:9" ht="12.75" customHeight="1">
      <c r="B41" s="14"/>
      <c r="C41" s="15"/>
      <c r="D41" s="15"/>
      <c r="E41" s="16"/>
      <c r="F41" s="15"/>
      <c r="G41" s="20"/>
      <c r="H41" s="20"/>
      <c r="I41" s="90">
        <f t="shared" si="0"/>
      </c>
    </row>
    <row r="42" spans="2:9" s="1" customFormat="1" ht="12.75" customHeight="1">
      <c r="B42" s="17"/>
      <c r="C42" s="12"/>
      <c r="D42" s="12"/>
      <c r="E42" s="9"/>
      <c r="F42" s="12" t="s">
        <v>16</v>
      </c>
      <c r="G42" s="63">
        <v>2</v>
      </c>
      <c r="H42" s="63"/>
      <c r="I42" s="90"/>
    </row>
    <row r="43" spans="2:9" s="1" customFormat="1" ht="12.75" customHeight="1">
      <c r="B43" s="17"/>
      <c r="C43" s="12"/>
      <c r="D43" s="12"/>
      <c r="E43" s="9"/>
      <c r="F43" s="12" t="s">
        <v>32</v>
      </c>
      <c r="G43" s="20">
        <f>G37+G29+G17+G13+G7</f>
        <v>64190</v>
      </c>
      <c r="H43" s="20">
        <f>H37+H29+H17+H13+H7</f>
        <v>0</v>
      </c>
      <c r="I43" s="127">
        <f t="shared" si="0"/>
        <v>0</v>
      </c>
    </row>
    <row r="44" spans="2:9" s="1" customFormat="1" ht="12.75" customHeight="1">
      <c r="B44" s="17"/>
      <c r="C44" s="12"/>
      <c r="D44" s="12"/>
      <c r="E44" s="9"/>
      <c r="F44" s="12" t="s">
        <v>17</v>
      </c>
      <c r="G44" s="20"/>
      <c r="H44" s="20"/>
      <c r="I44" s="92"/>
    </row>
    <row r="45" spans="2:9" s="1" customFormat="1" ht="12.75" customHeight="1">
      <c r="B45" s="17"/>
      <c r="C45" s="12"/>
      <c r="D45" s="12"/>
      <c r="E45" s="9"/>
      <c r="F45" s="12" t="s">
        <v>18</v>
      </c>
      <c r="G45" s="33"/>
      <c r="H45" s="33"/>
      <c r="I45" s="91"/>
    </row>
    <row r="46" spans="2:9" ht="12.75" customHeight="1" thickBot="1">
      <c r="B46" s="21"/>
      <c r="C46" s="22"/>
      <c r="D46" s="22"/>
      <c r="E46" s="23"/>
      <c r="F46" s="22"/>
      <c r="G46" s="22"/>
      <c r="H46" s="22"/>
      <c r="I46" s="93"/>
    </row>
    <row r="48" ht="12.75">
      <c r="B48" s="51"/>
    </row>
  </sheetData>
  <sheetProtection/>
  <mergeCells count="2">
    <mergeCell ref="B2:H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&amp;R11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6"/>
  <dimension ref="B2:K62"/>
  <sheetViews>
    <sheetView workbookViewId="0" topLeftCell="C1">
      <selection activeCell="H4" sqref="H4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7109375" style="24" customWidth="1"/>
    <col min="6" max="6" width="43.7109375" style="13" customWidth="1"/>
    <col min="7" max="7" width="15.7109375" style="13" customWidth="1"/>
    <col min="8" max="8" width="15.7109375" style="55" customWidth="1"/>
    <col min="9" max="9" width="8.7109375" style="80" customWidth="1"/>
    <col min="10" max="16384" width="9.140625" style="13" customWidth="1"/>
  </cols>
  <sheetData>
    <row r="2" spans="2:7" ht="15" customHeight="1">
      <c r="B2" s="145" t="s">
        <v>98</v>
      </c>
      <c r="C2" s="145"/>
      <c r="D2" s="145"/>
      <c r="E2" s="145"/>
      <c r="F2" s="145"/>
      <c r="G2" s="145"/>
    </row>
    <row r="3" spans="5:9" s="1" customFormat="1" ht="16.5" thickBot="1">
      <c r="E3" s="2"/>
      <c r="F3" s="144" t="s">
        <v>165</v>
      </c>
      <c r="G3" s="144"/>
      <c r="H3" s="108">
        <v>1286520</v>
      </c>
      <c r="I3" s="109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31" t="s">
        <v>147</v>
      </c>
      <c r="H4" s="131" t="s">
        <v>164</v>
      </c>
      <c r="I4" s="86" t="s">
        <v>139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2">
        <v>6</v>
      </c>
      <c r="H5" s="9">
        <v>7</v>
      </c>
      <c r="I5" s="87">
        <v>8</v>
      </c>
    </row>
    <row r="6" spans="2:9" s="2" customFormat="1" ht="12.75" customHeight="1">
      <c r="B6" s="10" t="s">
        <v>69</v>
      </c>
      <c r="C6" s="11" t="s">
        <v>4</v>
      </c>
      <c r="D6" s="11" t="s">
        <v>5</v>
      </c>
      <c r="E6" s="9"/>
      <c r="F6" s="9"/>
      <c r="G6" s="32"/>
      <c r="H6" s="102"/>
      <c r="I6" s="88"/>
    </row>
    <row r="7" spans="2:9" s="1" customFormat="1" ht="12.75" customHeight="1">
      <c r="B7" s="17"/>
      <c r="C7" s="12"/>
      <c r="D7" s="12"/>
      <c r="E7" s="9">
        <v>611000</v>
      </c>
      <c r="F7" s="12" t="s">
        <v>82</v>
      </c>
      <c r="G7" s="136">
        <f>SUM(G8:G11)</f>
        <v>226200</v>
      </c>
      <c r="H7" s="136">
        <f>SUM(H8:H11)</f>
        <v>0</v>
      </c>
      <c r="I7" s="89">
        <f aca="true" t="shared" si="0" ref="I7:I41">IF(G7=0,"",H7/G7*100)</f>
        <v>0</v>
      </c>
    </row>
    <row r="8" spans="2:9" ht="12.75" customHeight="1">
      <c r="B8" s="14"/>
      <c r="C8" s="15"/>
      <c r="D8" s="15"/>
      <c r="E8" s="16">
        <v>611100</v>
      </c>
      <c r="F8" s="26" t="s">
        <v>107</v>
      </c>
      <c r="G8" s="138">
        <f>150100+21200+7440+1060</f>
        <v>179800</v>
      </c>
      <c r="H8" s="138"/>
      <c r="I8" s="90">
        <f t="shared" si="0"/>
        <v>0</v>
      </c>
    </row>
    <row r="9" spans="2:9" ht="12.75" customHeight="1">
      <c r="B9" s="14"/>
      <c r="C9" s="15"/>
      <c r="D9" s="15"/>
      <c r="E9" s="16">
        <v>611200</v>
      </c>
      <c r="F9" s="15" t="s">
        <v>108</v>
      </c>
      <c r="G9" s="138">
        <f>36100+10300</f>
        <v>46400</v>
      </c>
      <c r="H9" s="138"/>
      <c r="I9" s="90">
        <f t="shared" si="0"/>
        <v>0</v>
      </c>
    </row>
    <row r="10" spans="2:11" ht="12.75" customHeight="1">
      <c r="B10" s="14"/>
      <c r="C10" s="15"/>
      <c r="D10" s="15"/>
      <c r="E10" s="16">
        <v>611200</v>
      </c>
      <c r="F10" s="134" t="s">
        <v>148</v>
      </c>
      <c r="G10" s="135">
        <v>0</v>
      </c>
      <c r="H10" s="135"/>
      <c r="I10" s="90">
        <f t="shared" si="0"/>
      </c>
      <c r="K10" s="54"/>
    </row>
    <row r="11" spans="2:9" ht="12.75" customHeight="1">
      <c r="B11" s="14"/>
      <c r="C11" s="15"/>
      <c r="D11" s="15"/>
      <c r="E11" s="16"/>
      <c r="F11" s="26"/>
      <c r="G11" s="138"/>
      <c r="H11" s="138"/>
      <c r="I11" s="90">
        <f t="shared" si="0"/>
      </c>
    </row>
    <row r="12" spans="2:9" ht="12.75" customHeight="1">
      <c r="B12" s="14"/>
      <c r="C12" s="15"/>
      <c r="D12" s="15"/>
      <c r="E12" s="16"/>
      <c r="F12" s="15"/>
      <c r="G12" s="136"/>
      <c r="H12" s="136"/>
      <c r="I12" s="90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81</v>
      </c>
      <c r="G13" s="136">
        <f>G14</f>
        <v>20520</v>
      </c>
      <c r="H13" s="136">
        <f>H14</f>
        <v>0</v>
      </c>
      <c r="I13" s="89">
        <f t="shared" si="0"/>
        <v>0</v>
      </c>
    </row>
    <row r="14" spans="2:9" ht="12.75" customHeight="1">
      <c r="B14" s="14"/>
      <c r="C14" s="15"/>
      <c r="D14" s="15"/>
      <c r="E14" s="16">
        <v>612100</v>
      </c>
      <c r="F14" s="18" t="s">
        <v>6</v>
      </c>
      <c r="G14" s="138">
        <f>17200+2400+800+120</f>
        <v>20520</v>
      </c>
      <c r="H14" s="138"/>
      <c r="I14" s="90">
        <f t="shared" si="0"/>
        <v>0</v>
      </c>
    </row>
    <row r="15" spans="2:9" ht="12.75" customHeight="1">
      <c r="B15" s="14"/>
      <c r="C15" s="15"/>
      <c r="D15" s="15"/>
      <c r="E15" s="16"/>
      <c r="F15" s="15"/>
      <c r="G15" s="71"/>
      <c r="H15" s="71"/>
      <c r="I15" s="90">
        <f t="shared" si="0"/>
      </c>
    </row>
    <row r="16" spans="2:9" ht="12.75" customHeight="1">
      <c r="B16" s="14"/>
      <c r="C16" s="15"/>
      <c r="D16" s="15"/>
      <c r="E16" s="16"/>
      <c r="F16" s="15"/>
      <c r="G16" s="63"/>
      <c r="H16" s="63"/>
      <c r="I16" s="90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83</v>
      </c>
      <c r="G17" s="63">
        <f>SUM(G18:G27)</f>
        <v>39800</v>
      </c>
      <c r="H17" s="63">
        <f>SUM(H18:H27)</f>
        <v>0</v>
      </c>
      <c r="I17" s="89">
        <f t="shared" si="0"/>
        <v>0</v>
      </c>
    </row>
    <row r="18" spans="2:9" ht="12.75" customHeight="1">
      <c r="B18" s="14"/>
      <c r="C18" s="15"/>
      <c r="D18" s="15"/>
      <c r="E18" s="16">
        <v>613100</v>
      </c>
      <c r="F18" s="15" t="s">
        <v>7</v>
      </c>
      <c r="G18" s="71">
        <v>3500</v>
      </c>
      <c r="H18" s="71"/>
      <c r="I18" s="90">
        <f t="shared" si="0"/>
        <v>0</v>
      </c>
    </row>
    <row r="19" spans="2:9" ht="12.75" customHeight="1">
      <c r="B19" s="14"/>
      <c r="C19" s="15"/>
      <c r="D19" s="15"/>
      <c r="E19" s="16">
        <v>613200</v>
      </c>
      <c r="F19" s="15" t="s">
        <v>8</v>
      </c>
      <c r="G19" s="71">
        <v>0</v>
      </c>
      <c r="H19" s="71"/>
      <c r="I19" s="90">
        <f t="shared" si="0"/>
      </c>
    </row>
    <row r="20" spans="2:9" ht="12.75" customHeight="1">
      <c r="B20" s="14"/>
      <c r="C20" s="15"/>
      <c r="D20" s="15"/>
      <c r="E20" s="16">
        <v>613300</v>
      </c>
      <c r="F20" s="26" t="s">
        <v>109</v>
      </c>
      <c r="G20" s="71">
        <v>3300</v>
      </c>
      <c r="H20" s="71"/>
      <c r="I20" s="90">
        <f t="shared" si="0"/>
        <v>0</v>
      </c>
    </row>
    <row r="21" spans="2:9" ht="12.75" customHeight="1">
      <c r="B21" s="14"/>
      <c r="C21" s="15"/>
      <c r="D21" s="15"/>
      <c r="E21" s="16">
        <v>613400</v>
      </c>
      <c r="F21" s="15" t="s">
        <v>84</v>
      </c>
      <c r="G21" s="71">
        <v>2500</v>
      </c>
      <c r="H21" s="71"/>
      <c r="I21" s="90">
        <f t="shared" si="0"/>
        <v>0</v>
      </c>
    </row>
    <row r="22" spans="2:9" ht="12.75" customHeight="1">
      <c r="B22" s="14"/>
      <c r="C22" s="15"/>
      <c r="D22" s="15"/>
      <c r="E22" s="16">
        <v>613500</v>
      </c>
      <c r="F22" s="15" t="s">
        <v>9</v>
      </c>
      <c r="G22" s="71">
        <v>0</v>
      </c>
      <c r="H22" s="71"/>
      <c r="I22" s="90">
        <f t="shared" si="0"/>
      </c>
    </row>
    <row r="23" spans="2:9" ht="12.75" customHeight="1">
      <c r="B23" s="14"/>
      <c r="C23" s="15"/>
      <c r="D23" s="15"/>
      <c r="E23" s="16">
        <v>613600</v>
      </c>
      <c r="F23" s="26" t="s">
        <v>110</v>
      </c>
      <c r="G23" s="71">
        <v>0</v>
      </c>
      <c r="H23" s="71"/>
      <c r="I23" s="90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10</v>
      </c>
      <c r="G24" s="71">
        <v>6500</v>
      </c>
      <c r="H24" s="71"/>
      <c r="I24" s="90">
        <f t="shared" si="0"/>
        <v>0</v>
      </c>
    </row>
    <row r="25" spans="2:9" ht="12.75" customHeight="1">
      <c r="B25" s="14"/>
      <c r="C25" s="15"/>
      <c r="D25" s="15"/>
      <c r="E25" s="16">
        <v>613800</v>
      </c>
      <c r="F25" s="15" t="s">
        <v>85</v>
      </c>
      <c r="G25" s="71">
        <v>0</v>
      </c>
      <c r="H25" s="71"/>
      <c r="I25" s="90">
        <f t="shared" si="0"/>
      </c>
    </row>
    <row r="26" spans="2:10" ht="12.75" customHeight="1">
      <c r="B26" s="14"/>
      <c r="C26" s="15"/>
      <c r="D26" s="15"/>
      <c r="E26" s="16">
        <v>613900</v>
      </c>
      <c r="F26" s="15" t="s">
        <v>86</v>
      </c>
      <c r="G26" s="71">
        <v>24000</v>
      </c>
      <c r="H26" s="71"/>
      <c r="I26" s="90">
        <f t="shared" si="0"/>
        <v>0</v>
      </c>
      <c r="J26" s="62"/>
    </row>
    <row r="27" spans="2:9" ht="12.75" customHeight="1">
      <c r="B27" s="14"/>
      <c r="C27" s="15"/>
      <c r="D27" s="15"/>
      <c r="E27" s="16">
        <v>613900</v>
      </c>
      <c r="F27" s="134" t="s">
        <v>149</v>
      </c>
      <c r="G27" s="71"/>
      <c r="H27" s="71"/>
      <c r="I27" s="90">
        <f t="shared" si="0"/>
      </c>
    </row>
    <row r="28" spans="2:9" ht="12.75" customHeight="1">
      <c r="B28" s="14"/>
      <c r="C28" s="15"/>
      <c r="D28" s="15"/>
      <c r="E28" s="16"/>
      <c r="F28" s="15"/>
      <c r="G28" s="63"/>
      <c r="H28" s="63"/>
      <c r="I28" s="90">
        <f t="shared" si="0"/>
      </c>
    </row>
    <row r="29" spans="2:9" s="1" customFormat="1" ht="12.75" customHeight="1">
      <c r="B29" s="17"/>
      <c r="C29" s="12"/>
      <c r="D29" s="12"/>
      <c r="E29" s="9">
        <v>614000</v>
      </c>
      <c r="F29" s="12" t="s">
        <v>111</v>
      </c>
      <c r="G29" s="63">
        <f>G30</f>
        <v>1000000</v>
      </c>
      <c r="H29" s="63">
        <f>H30</f>
        <v>0</v>
      </c>
      <c r="I29" s="89">
        <f t="shared" si="0"/>
        <v>0</v>
      </c>
    </row>
    <row r="30" spans="2:9" ht="12.75" customHeight="1">
      <c r="B30" s="14"/>
      <c r="C30" s="15"/>
      <c r="D30" s="15"/>
      <c r="E30" s="16">
        <v>614200</v>
      </c>
      <c r="F30" s="28" t="s">
        <v>34</v>
      </c>
      <c r="G30" s="71">
        <v>1000000</v>
      </c>
      <c r="H30" s="71"/>
      <c r="I30" s="90">
        <f t="shared" si="0"/>
        <v>0</v>
      </c>
    </row>
    <row r="31" spans="2:9" ht="12.75" customHeight="1">
      <c r="B31" s="14"/>
      <c r="C31" s="15"/>
      <c r="D31" s="15"/>
      <c r="E31" s="16"/>
      <c r="F31" s="26"/>
      <c r="G31" s="71"/>
      <c r="H31" s="71"/>
      <c r="I31" s="90">
        <f t="shared" si="0"/>
      </c>
    </row>
    <row r="32" spans="2:9" ht="12.75" customHeight="1">
      <c r="B32" s="14"/>
      <c r="C32" s="15"/>
      <c r="D32" s="15"/>
      <c r="E32" s="16"/>
      <c r="F32" s="15"/>
      <c r="G32" s="71"/>
      <c r="H32" s="71"/>
      <c r="I32" s="90">
        <f t="shared" si="0"/>
      </c>
    </row>
    <row r="33" spans="2:9" s="1" customFormat="1" ht="12.75" customHeight="1">
      <c r="B33" s="17"/>
      <c r="C33" s="12"/>
      <c r="D33" s="12"/>
      <c r="E33" s="9">
        <v>821000</v>
      </c>
      <c r="F33" s="12" t="s">
        <v>13</v>
      </c>
      <c r="G33" s="63">
        <f>SUM(G34:G36)</f>
        <v>1000</v>
      </c>
      <c r="H33" s="63">
        <f>SUM(H34:H36)</f>
        <v>0</v>
      </c>
      <c r="I33" s="89">
        <f t="shared" si="0"/>
        <v>0</v>
      </c>
    </row>
    <row r="34" spans="2:9" ht="12.75" customHeight="1">
      <c r="B34" s="14"/>
      <c r="C34" s="15"/>
      <c r="D34" s="15"/>
      <c r="E34" s="16">
        <v>821200</v>
      </c>
      <c r="F34" s="15" t="s">
        <v>14</v>
      </c>
      <c r="G34" s="71">
        <v>0</v>
      </c>
      <c r="H34" s="71"/>
      <c r="I34" s="90">
        <f t="shared" si="0"/>
      </c>
    </row>
    <row r="35" spans="2:9" ht="12.75" customHeight="1">
      <c r="B35" s="14"/>
      <c r="C35" s="15"/>
      <c r="D35" s="15"/>
      <c r="E35" s="16">
        <v>821300</v>
      </c>
      <c r="F35" s="15" t="s">
        <v>15</v>
      </c>
      <c r="G35" s="71">
        <v>1000</v>
      </c>
      <c r="H35" s="71"/>
      <c r="I35" s="90">
        <f t="shared" si="0"/>
        <v>0</v>
      </c>
    </row>
    <row r="36" spans="2:9" ht="12.75" customHeight="1">
      <c r="B36" s="14"/>
      <c r="C36" s="15"/>
      <c r="D36" s="15"/>
      <c r="E36" s="16"/>
      <c r="F36" s="26"/>
      <c r="G36" s="71"/>
      <c r="H36" s="71"/>
      <c r="I36" s="90">
        <f t="shared" si="0"/>
      </c>
    </row>
    <row r="37" spans="2:9" ht="12.75" customHeight="1">
      <c r="B37" s="14"/>
      <c r="C37" s="15"/>
      <c r="D37" s="15"/>
      <c r="E37" s="16"/>
      <c r="F37" s="15"/>
      <c r="G37" s="71"/>
      <c r="H37" s="71"/>
      <c r="I37" s="90">
        <f t="shared" si="0"/>
      </c>
    </row>
    <row r="38" spans="2:9" s="1" customFormat="1" ht="12.75" customHeight="1">
      <c r="B38" s="17"/>
      <c r="C38" s="12"/>
      <c r="D38" s="12"/>
      <c r="E38" s="9"/>
      <c r="F38" s="12" t="s">
        <v>16</v>
      </c>
      <c r="G38" s="20">
        <v>11</v>
      </c>
      <c r="H38" s="20"/>
      <c r="I38" s="90"/>
    </row>
    <row r="39" spans="2:9" s="1" customFormat="1" ht="12.75" customHeight="1">
      <c r="B39" s="17"/>
      <c r="C39" s="12"/>
      <c r="D39" s="12"/>
      <c r="E39" s="9"/>
      <c r="F39" s="12" t="s">
        <v>32</v>
      </c>
      <c r="G39" s="20">
        <f>G7+G13+G17+G29+G33</f>
        <v>1287520</v>
      </c>
      <c r="H39" s="20">
        <f>H7+H13+H17+H29+H33</f>
        <v>0</v>
      </c>
      <c r="I39" s="89">
        <f t="shared" si="0"/>
        <v>0</v>
      </c>
    </row>
    <row r="40" spans="2:9" s="1" customFormat="1" ht="12.75" customHeight="1">
      <c r="B40" s="17"/>
      <c r="C40" s="12"/>
      <c r="D40" s="12"/>
      <c r="E40" s="9"/>
      <c r="F40" s="12" t="s">
        <v>17</v>
      </c>
      <c r="G40" s="20">
        <f>G39</f>
        <v>1287520</v>
      </c>
      <c r="H40" s="20">
        <f>H39</f>
        <v>0</v>
      </c>
      <c r="I40" s="89">
        <f t="shared" si="0"/>
        <v>0</v>
      </c>
    </row>
    <row r="41" spans="2:9" s="1" customFormat="1" ht="12.75" customHeight="1">
      <c r="B41" s="17"/>
      <c r="C41" s="12"/>
      <c r="D41" s="12"/>
      <c r="E41" s="9"/>
      <c r="F41" s="12" t="s">
        <v>18</v>
      </c>
      <c r="G41" s="20">
        <f>G40</f>
        <v>1287520</v>
      </c>
      <c r="H41" s="20">
        <f>H40</f>
        <v>0</v>
      </c>
      <c r="I41" s="89">
        <f t="shared" si="0"/>
        <v>0</v>
      </c>
    </row>
    <row r="42" spans="2:9" ht="12.75" customHeight="1" thickBot="1">
      <c r="B42" s="21"/>
      <c r="C42" s="22"/>
      <c r="D42" s="22"/>
      <c r="E42" s="23"/>
      <c r="F42" s="22"/>
      <c r="G42" s="35"/>
      <c r="H42" s="35"/>
      <c r="I42" s="93"/>
    </row>
    <row r="43" spans="7:8" ht="12.75">
      <c r="G43" s="57"/>
      <c r="H43" s="57"/>
    </row>
    <row r="44" ht="12.75">
      <c r="G44" s="55"/>
    </row>
    <row r="45" ht="12.75">
      <c r="G45" s="55"/>
    </row>
    <row r="46" ht="12.75">
      <c r="G46" s="55"/>
    </row>
    <row r="47" ht="12.75">
      <c r="G47" s="55"/>
    </row>
    <row r="48" ht="12.75">
      <c r="G48" s="55"/>
    </row>
    <row r="49" ht="12.75">
      <c r="G49" s="55"/>
    </row>
    <row r="50" ht="12.75">
      <c r="G50" s="55"/>
    </row>
    <row r="51" ht="12.75">
      <c r="G51" s="55"/>
    </row>
    <row r="52" ht="12.75">
      <c r="G52" s="55"/>
    </row>
    <row r="53" ht="12.75">
      <c r="G53" s="55"/>
    </row>
    <row r="54" ht="12.75">
      <c r="G54" s="55"/>
    </row>
    <row r="55" ht="12.75">
      <c r="G55" s="55"/>
    </row>
    <row r="56" ht="12.75">
      <c r="G56" s="55"/>
    </row>
    <row r="57" ht="12.75">
      <c r="G57" s="55"/>
    </row>
    <row r="58" ht="12.75">
      <c r="G58" s="55"/>
    </row>
    <row r="59" ht="12.75">
      <c r="G59" s="55"/>
    </row>
    <row r="60" ht="12.75">
      <c r="G60" s="55"/>
    </row>
    <row r="61" ht="12.75">
      <c r="G61" s="55"/>
    </row>
    <row r="62" ht="12.75">
      <c r="G62" s="55"/>
    </row>
  </sheetData>
  <sheetProtection/>
  <mergeCells count="2">
    <mergeCell ref="B2:G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&amp;R38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7"/>
  <dimension ref="B2:K49"/>
  <sheetViews>
    <sheetView workbookViewId="0" topLeftCell="A1">
      <selection activeCell="H4" sqref="H4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1.421875" style="24" customWidth="1"/>
    <col min="6" max="6" width="43.7109375" style="13" customWidth="1"/>
    <col min="7" max="8" width="15.7109375" style="13" customWidth="1"/>
    <col min="9" max="9" width="8.7109375" style="80" customWidth="1"/>
    <col min="10" max="16384" width="9.140625" style="13" customWidth="1"/>
  </cols>
  <sheetData>
    <row r="2" spans="2:9" s="67" customFormat="1" ht="15" customHeight="1">
      <c r="B2" s="145" t="s">
        <v>71</v>
      </c>
      <c r="C2" s="145"/>
      <c r="D2" s="145"/>
      <c r="E2" s="145"/>
      <c r="F2" s="145"/>
      <c r="G2" s="145"/>
      <c r="H2" s="145"/>
      <c r="I2" s="84"/>
    </row>
    <row r="3" spans="5:9" s="1" customFormat="1" ht="16.5" thickBot="1">
      <c r="E3" s="2"/>
      <c r="F3" s="144" t="s">
        <v>165</v>
      </c>
      <c r="G3" s="144"/>
      <c r="H3" s="108">
        <v>187100</v>
      </c>
      <c r="I3" s="109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31" t="s">
        <v>147</v>
      </c>
      <c r="H4" s="131" t="s">
        <v>164</v>
      </c>
      <c r="I4" s="86" t="s">
        <v>139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2">
        <v>6</v>
      </c>
      <c r="H5" s="9">
        <v>7</v>
      </c>
      <c r="I5" s="87">
        <v>8</v>
      </c>
    </row>
    <row r="6" spans="2:9" s="2" customFormat="1" ht="12.75" customHeight="1">
      <c r="B6" s="10" t="s">
        <v>70</v>
      </c>
      <c r="C6" s="11" t="s">
        <v>4</v>
      </c>
      <c r="D6" s="11" t="s">
        <v>5</v>
      </c>
      <c r="E6" s="9"/>
      <c r="F6" s="9"/>
      <c r="G6" s="32"/>
      <c r="H6" s="9"/>
      <c r="I6" s="88"/>
    </row>
    <row r="7" spans="2:9" s="1" customFormat="1" ht="12.75" customHeight="1">
      <c r="B7" s="17"/>
      <c r="C7" s="12"/>
      <c r="D7" s="12"/>
      <c r="E7" s="9">
        <v>611000</v>
      </c>
      <c r="F7" s="12" t="s">
        <v>82</v>
      </c>
      <c r="G7" s="136">
        <f>SUM(G8:G10)</f>
        <v>98070</v>
      </c>
      <c r="H7" s="136">
        <f>SUM(H8:H10)</f>
        <v>0</v>
      </c>
      <c r="I7" s="89">
        <f aca="true" t="shared" si="0" ref="I7:I43">IF(G7=0,"",H7/G7*100)</f>
        <v>0</v>
      </c>
    </row>
    <row r="8" spans="2:9" ht="12.75" customHeight="1">
      <c r="B8" s="14"/>
      <c r="C8" s="15"/>
      <c r="D8" s="15"/>
      <c r="E8" s="16">
        <v>611100</v>
      </c>
      <c r="F8" s="26" t="s">
        <v>107</v>
      </c>
      <c r="G8" s="135">
        <f>76100+3770</f>
        <v>79870</v>
      </c>
      <c r="H8" s="135"/>
      <c r="I8" s="90">
        <f t="shared" si="0"/>
        <v>0</v>
      </c>
    </row>
    <row r="9" spans="2:9" ht="12.75" customHeight="1">
      <c r="B9" s="14"/>
      <c r="C9" s="15"/>
      <c r="D9" s="15"/>
      <c r="E9" s="16">
        <v>611200</v>
      </c>
      <c r="F9" s="15" t="s">
        <v>108</v>
      </c>
      <c r="G9" s="135">
        <f>18200</f>
        <v>18200</v>
      </c>
      <c r="H9" s="135"/>
      <c r="I9" s="90">
        <f t="shared" si="0"/>
        <v>0</v>
      </c>
    </row>
    <row r="10" spans="2:11" ht="12.75" customHeight="1">
      <c r="B10" s="14"/>
      <c r="C10" s="15"/>
      <c r="D10" s="15"/>
      <c r="E10" s="16">
        <v>611200</v>
      </c>
      <c r="F10" s="134" t="s">
        <v>148</v>
      </c>
      <c r="G10" s="135">
        <v>0</v>
      </c>
      <c r="H10" s="135"/>
      <c r="I10" s="90">
        <f t="shared" si="0"/>
      </c>
      <c r="K10" s="54"/>
    </row>
    <row r="11" spans="2:9" ht="12.75" customHeight="1">
      <c r="B11" s="14"/>
      <c r="C11" s="15"/>
      <c r="D11" s="15"/>
      <c r="E11" s="16"/>
      <c r="F11" s="15"/>
      <c r="G11" s="135"/>
      <c r="H11" s="135"/>
      <c r="I11" s="90">
        <f t="shared" si="0"/>
      </c>
    </row>
    <row r="12" spans="2:9" ht="12.75" customHeight="1">
      <c r="B12" s="17"/>
      <c r="C12" s="12"/>
      <c r="D12" s="12"/>
      <c r="E12" s="9">
        <v>612000</v>
      </c>
      <c r="F12" s="12" t="s">
        <v>81</v>
      </c>
      <c r="G12" s="136">
        <f>G13</f>
        <v>8800</v>
      </c>
      <c r="H12" s="136">
        <f>H13</f>
        <v>0</v>
      </c>
      <c r="I12" s="89">
        <f t="shared" si="0"/>
        <v>0</v>
      </c>
    </row>
    <row r="13" spans="2:9" s="1" customFormat="1" ht="12.75" customHeight="1">
      <c r="B13" s="14"/>
      <c r="C13" s="15"/>
      <c r="D13" s="15"/>
      <c r="E13" s="16">
        <v>612100</v>
      </c>
      <c r="F13" s="18" t="s">
        <v>6</v>
      </c>
      <c r="G13" s="135">
        <f>8400+400</f>
        <v>8800</v>
      </c>
      <c r="H13" s="135"/>
      <c r="I13" s="90">
        <f t="shared" si="0"/>
        <v>0</v>
      </c>
    </row>
    <row r="14" spans="2:9" ht="12.75" customHeight="1">
      <c r="B14" s="14"/>
      <c r="C14" s="15"/>
      <c r="D14" s="15"/>
      <c r="E14" s="16"/>
      <c r="F14" s="15"/>
      <c r="G14" s="33"/>
      <c r="H14" s="33"/>
      <c r="I14" s="90">
        <f t="shared" si="0"/>
      </c>
    </row>
    <row r="15" spans="2:9" ht="12.75" customHeight="1">
      <c r="B15" s="14"/>
      <c r="C15" s="15"/>
      <c r="D15" s="15"/>
      <c r="E15" s="16"/>
      <c r="F15" s="15"/>
      <c r="G15" s="33"/>
      <c r="H15" s="33"/>
      <c r="I15" s="90">
        <f t="shared" si="0"/>
      </c>
    </row>
    <row r="16" spans="2:9" ht="12.75" customHeight="1">
      <c r="B16" s="17"/>
      <c r="C16" s="12"/>
      <c r="D16" s="12"/>
      <c r="E16" s="9">
        <v>613000</v>
      </c>
      <c r="F16" s="12" t="s">
        <v>83</v>
      </c>
      <c r="G16" s="37">
        <f>SUM(G17:G26)</f>
        <v>28800</v>
      </c>
      <c r="H16" s="37">
        <f>SUM(H17:H26)</f>
        <v>0</v>
      </c>
      <c r="I16" s="89">
        <f t="shared" si="0"/>
        <v>0</v>
      </c>
    </row>
    <row r="17" spans="2:9" s="1" customFormat="1" ht="12.75" customHeight="1">
      <c r="B17" s="14"/>
      <c r="C17" s="15"/>
      <c r="D17" s="15"/>
      <c r="E17" s="16">
        <v>613100</v>
      </c>
      <c r="F17" s="15" t="s">
        <v>7</v>
      </c>
      <c r="G17" s="52">
        <v>400</v>
      </c>
      <c r="H17" s="52"/>
      <c r="I17" s="90">
        <f t="shared" si="0"/>
        <v>0</v>
      </c>
    </row>
    <row r="18" spans="2:9" ht="12.75" customHeight="1">
      <c r="B18" s="14"/>
      <c r="C18" s="15"/>
      <c r="D18" s="15"/>
      <c r="E18" s="16">
        <v>613200</v>
      </c>
      <c r="F18" s="15" t="s">
        <v>8</v>
      </c>
      <c r="G18" s="52">
        <v>5500</v>
      </c>
      <c r="H18" s="52"/>
      <c r="I18" s="90">
        <f t="shared" si="0"/>
        <v>0</v>
      </c>
    </row>
    <row r="19" spans="2:9" ht="12.75" customHeight="1">
      <c r="B19" s="14"/>
      <c r="C19" s="15"/>
      <c r="D19" s="15"/>
      <c r="E19" s="16">
        <v>613300</v>
      </c>
      <c r="F19" s="26" t="s">
        <v>109</v>
      </c>
      <c r="G19" s="52">
        <v>3600</v>
      </c>
      <c r="H19" s="52"/>
      <c r="I19" s="90">
        <f t="shared" si="0"/>
        <v>0</v>
      </c>
    </row>
    <row r="20" spans="2:9" ht="12.75" customHeight="1">
      <c r="B20" s="14"/>
      <c r="C20" s="15"/>
      <c r="D20" s="15"/>
      <c r="E20" s="16">
        <v>613400</v>
      </c>
      <c r="F20" s="15" t="s">
        <v>84</v>
      </c>
      <c r="G20" s="52">
        <v>1500</v>
      </c>
      <c r="H20" s="52"/>
      <c r="I20" s="90">
        <f t="shared" si="0"/>
        <v>0</v>
      </c>
    </row>
    <row r="21" spans="2:9" ht="12.75" customHeight="1">
      <c r="B21" s="14"/>
      <c r="C21" s="15"/>
      <c r="D21" s="15"/>
      <c r="E21" s="16">
        <v>613500</v>
      </c>
      <c r="F21" s="15" t="s">
        <v>9</v>
      </c>
      <c r="G21" s="52">
        <v>0</v>
      </c>
      <c r="H21" s="52"/>
      <c r="I21" s="90">
        <f t="shared" si="0"/>
      </c>
    </row>
    <row r="22" spans="2:9" ht="12.75" customHeight="1">
      <c r="B22" s="14"/>
      <c r="C22" s="15"/>
      <c r="D22" s="15"/>
      <c r="E22" s="16">
        <v>613600</v>
      </c>
      <c r="F22" s="26" t="s">
        <v>110</v>
      </c>
      <c r="G22" s="52">
        <v>0</v>
      </c>
      <c r="H22" s="52"/>
      <c r="I22" s="90">
        <f t="shared" si="0"/>
      </c>
    </row>
    <row r="23" spans="2:9" ht="12.75" customHeight="1">
      <c r="B23" s="14"/>
      <c r="C23" s="15"/>
      <c r="D23" s="15"/>
      <c r="E23" s="16">
        <v>613700</v>
      </c>
      <c r="F23" s="15" t="s">
        <v>10</v>
      </c>
      <c r="G23" s="52">
        <v>500</v>
      </c>
      <c r="H23" s="52"/>
      <c r="I23" s="90">
        <f t="shared" si="0"/>
        <v>0</v>
      </c>
    </row>
    <row r="24" spans="2:9" ht="12.75" customHeight="1">
      <c r="B24" s="14"/>
      <c r="C24" s="15"/>
      <c r="D24" s="15"/>
      <c r="E24" s="16">
        <v>613800</v>
      </c>
      <c r="F24" s="15" t="s">
        <v>85</v>
      </c>
      <c r="G24" s="52">
        <v>0</v>
      </c>
      <c r="H24" s="52"/>
      <c r="I24" s="90">
        <f t="shared" si="0"/>
      </c>
    </row>
    <row r="25" spans="2:9" ht="12.75" customHeight="1">
      <c r="B25" s="14"/>
      <c r="C25" s="15"/>
      <c r="D25" s="15"/>
      <c r="E25" s="16">
        <v>613900</v>
      </c>
      <c r="F25" s="15" t="s">
        <v>86</v>
      </c>
      <c r="G25" s="52">
        <v>17300</v>
      </c>
      <c r="H25" s="52"/>
      <c r="I25" s="90">
        <f t="shared" si="0"/>
        <v>0</v>
      </c>
    </row>
    <row r="26" spans="2:9" ht="12.75" customHeight="1">
      <c r="B26" s="14"/>
      <c r="C26" s="15"/>
      <c r="D26" s="15"/>
      <c r="E26" s="16">
        <v>613900</v>
      </c>
      <c r="F26" s="134" t="s">
        <v>149</v>
      </c>
      <c r="G26" s="52">
        <v>0</v>
      </c>
      <c r="H26" s="52"/>
      <c r="I26" s="90">
        <f t="shared" si="0"/>
      </c>
    </row>
    <row r="27" spans="2:9" ht="12.75" customHeight="1">
      <c r="B27" s="17"/>
      <c r="C27" s="12"/>
      <c r="D27" s="12"/>
      <c r="E27" s="9"/>
      <c r="F27" s="12"/>
      <c r="G27" s="63"/>
      <c r="H27" s="63"/>
      <c r="I27" s="90">
        <f t="shared" si="0"/>
      </c>
    </row>
    <row r="28" spans="2:9" s="1" customFormat="1" ht="12.75" customHeight="1">
      <c r="B28" s="14"/>
      <c r="C28" s="15"/>
      <c r="D28" s="29"/>
      <c r="E28" s="16"/>
      <c r="F28" s="28"/>
      <c r="G28" s="52"/>
      <c r="H28" s="52"/>
      <c r="I28" s="90">
        <f t="shared" si="0"/>
      </c>
    </row>
    <row r="29" spans="2:9" ht="12.75" customHeight="1">
      <c r="B29" s="14"/>
      <c r="C29" s="15"/>
      <c r="D29" s="15"/>
      <c r="E29" s="42"/>
      <c r="F29" s="28"/>
      <c r="G29" s="52"/>
      <c r="H29" s="52"/>
      <c r="I29" s="90">
        <f t="shared" si="0"/>
      </c>
    </row>
    <row r="30" spans="2:9" ht="12.75" customHeight="1">
      <c r="B30" s="14"/>
      <c r="C30" s="15"/>
      <c r="D30" s="15"/>
      <c r="E30" s="16"/>
      <c r="F30" s="15"/>
      <c r="G30" s="52"/>
      <c r="H30" s="52"/>
      <c r="I30" s="90">
        <f t="shared" si="0"/>
      </c>
    </row>
    <row r="31" spans="2:9" ht="12.75" customHeight="1">
      <c r="B31" s="14"/>
      <c r="C31" s="15"/>
      <c r="D31" s="15"/>
      <c r="E31" s="16"/>
      <c r="F31" s="15"/>
      <c r="G31" s="52"/>
      <c r="H31" s="52"/>
      <c r="I31" s="90">
        <f t="shared" si="0"/>
      </c>
    </row>
    <row r="32" spans="2:9" ht="12.75" customHeight="1">
      <c r="B32" s="14"/>
      <c r="C32" s="15"/>
      <c r="D32" s="15"/>
      <c r="E32" s="9"/>
      <c r="F32" s="12"/>
      <c r="G32" s="52"/>
      <c r="H32" s="52"/>
      <c r="I32" s="90">
        <f t="shared" si="0"/>
      </c>
    </row>
    <row r="33" spans="2:9" ht="12.75" customHeight="1">
      <c r="B33" s="14"/>
      <c r="C33" s="15"/>
      <c r="D33" s="15"/>
      <c r="E33" s="16"/>
      <c r="F33" s="26"/>
      <c r="G33" s="52"/>
      <c r="H33" s="52"/>
      <c r="I33" s="90">
        <f t="shared" si="0"/>
      </c>
    </row>
    <row r="34" spans="2:9" ht="12.75" customHeight="1">
      <c r="B34" s="14"/>
      <c r="C34" s="15"/>
      <c r="D34" s="15"/>
      <c r="E34" s="16"/>
      <c r="F34" s="15"/>
      <c r="G34" s="52"/>
      <c r="H34" s="52"/>
      <c r="I34" s="90">
        <f t="shared" si="0"/>
      </c>
    </row>
    <row r="35" spans="2:9" ht="12.75" customHeight="1">
      <c r="B35" s="17"/>
      <c r="C35" s="12"/>
      <c r="D35" s="12"/>
      <c r="E35" s="9">
        <v>821000</v>
      </c>
      <c r="F35" s="12" t="s">
        <v>13</v>
      </c>
      <c r="G35" s="63">
        <f>SUM(G36:G37)</f>
        <v>4000</v>
      </c>
      <c r="H35" s="63">
        <f>SUM(H36:H37)</f>
        <v>0</v>
      </c>
      <c r="I35" s="89">
        <f t="shared" si="0"/>
        <v>0</v>
      </c>
    </row>
    <row r="36" spans="2:9" s="1" customFormat="1" ht="12.75" customHeight="1">
      <c r="B36" s="14"/>
      <c r="C36" s="15"/>
      <c r="D36" s="15"/>
      <c r="E36" s="16">
        <v>821200</v>
      </c>
      <c r="F36" s="15" t="s">
        <v>14</v>
      </c>
      <c r="G36" s="52">
        <v>4000</v>
      </c>
      <c r="H36" s="52"/>
      <c r="I36" s="90">
        <f t="shared" si="0"/>
        <v>0</v>
      </c>
    </row>
    <row r="37" spans="2:9" ht="12.75" customHeight="1">
      <c r="B37" s="14"/>
      <c r="C37" s="15"/>
      <c r="D37" s="15"/>
      <c r="E37" s="16">
        <v>821300</v>
      </c>
      <c r="F37" s="15" t="s">
        <v>15</v>
      </c>
      <c r="G37" s="52">
        <v>0</v>
      </c>
      <c r="H37" s="52"/>
      <c r="I37" s="90">
        <f t="shared" si="0"/>
      </c>
    </row>
    <row r="38" spans="2:9" ht="12.75" customHeight="1">
      <c r="B38" s="14"/>
      <c r="C38" s="15"/>
      <c r="D38" s="15"/>
      <c r="E38" s="16"/>
      <c r="F38" s="26"/>
      <c r="G38" s="52"/>
      <c r="H38" s="52"/>
      <c r="I38" s="90">
        <f t="shared" si="0"/>
      </c>
    </row>
    <row r="39" spans="2:9" ht="12.75" customHeight="1">
      <c r="B39" s="14"/>
      <c r="C39" s="15"/>
      <c r="D39" s="15"/>
      <c r="E39" s="16"/>
      <c r="F39" s="15"/>
      <c r="G39" s="52"/>
      <c r="H39" s="52"/>
      <c r="I39" s="90">
        <f t="shared" si="0"/>
      </c>
    </row>
    <row r="40" spans="2:9" ht="12.75" customHeight="1">
      <c r="B40" s="17"/>
      <c r="C40" s="12"/>
      <c r="D40" s="12"/>
      <c r="E40" s="9"/>
      <c r="F40" s="12" t="s">
        <v>16</v>
      </c>
      <c r="G40" s="63">
        <v>4</v>
      </c>
      <c r="H40" s="63"/>
      <c r="I40" s="90"/>
    </row>
    <row r="41" spans="2:9" s="1" customFormat="1" ht="12.75" customHeight="1">
      <c r="B41" s="17"/>
      <c r="C41" s="12"/>
      <c r="D41" s="12"/>
      <c r="E41" s="9"/>
      <c r="F41" s="12" t="s">
        <v>32</v>
      </c>
      <c r="G41" s="20">
        <f>G7+G12+G16+G35</f>
        <v>139670</v>
      </c>
      <c r="H41" s="20">
        <f>H7+H12+H16+H35</f>
        <v>0</v>
      </c>
      <c r="I41" s="89">
        <f t="shared" si="0"/>
        <v>0</v>
      </c>
    </row>
    <row r="42" spans="2:9" s="1" customFormat="1" ht="12.75" customHeight="1">
      <c r="B42" s="17"/>
      <c r="C42" s="12"/>
      <c r="D42" s="12"/>
      <c r="E42" s="9"/>
      <c r="F42" s="12" t="s">
        <v>17</v>
      </c>
      <c r="G42" s="20">
        <f>G41</f>
        <v>139670</v>
      </c>
      <c r="H42" s="20">
        <f>H41</f>
        <v>0</v>
      </c>
      <c r="I42" s="89">
        <f t="shared" si="0"/>
        <v>0</v>
      </c>
    </row>
    <row r="43" spans="2:9" s="1" customFormat="1" ht="12.75" customHeight="1">
      <c r="B43" s="17"/>
      <c r="C43" s="12"/>
      <c r="D43" s="12"/>
      <c r="E43" s="9"/>
      <c r="F43" s="12" t="s">
        <v>18</v>
      </c>
      <c r="G43" s="20">
        <f>G42</f>
        <v>139670</v>
      </c>
      <c r="H43" s="20">
        <f>H42</f>
        <v>0</v>
      </c>
      <c r="I43" s="89">
        <f t="shared" si="0"/>
        <v>0</v>
      </c>
    </row>
    <row r="44" spans="2:9" s="1" customFormat="1" ht="12.75" customHeight="1" thickBot="1">
      <c r="B44" s="21"/>
      <c r="C44" s="22"/>
      <c r="D44" s="22"/>
      <c r="E44" s="23"/>
      <c r="F44" s="22"/>
      <c r="G44" s="35"/>
      <c r="H44" s="35"/>
      <c r="I44" s="93"/>
    </row>
    <row r="45" ht="12.75" customHeight="1"/>
    <row r="46" ht="12.75">
      <c r="B46" s="51"/>
    </row>
    <row r="47" ht="12.75">
      <c r="B47" s="51"/>
    </row>
    <row r="48" ht="12.75">
      <c r="B48" s="51"/>
    </row>
    <row r="49" ht="12.75">
      <c r="B49" s="51"/>
    </row>
  </sheetData>
  <sheetProtection/>
  <mergeCells count="2">
    <mergeCell ref="B2:H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&amp;R39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8"/>
  <dimension ref="B2:K54"/>
  <sheetViews>
    <sheetView workbookViewId="0" topLeftCell="A1">
      <selection activeCell="H4" sqref="H4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8515625" style="24" customWidth="1"/>
    <col min="6" max="6" width="43.7109375" style="13" customWidth="1"/>
    <col min="7" max="8" width="15.7109375" style="13" customWidth="1"/>
    <col min="9" max="9" width="8.7109375" style="80" customWidth="1"/>
    <col min="10" max="16384" width="9.140625" style="13" customWidth="1"/>
  </cols>
  <sheetData>
    <row r="2" spans="2:9" s="67" customFormat="1" ht="15" customHeight="1">
      <c r="B2" s="145" t="s">
        <v>72</v>
      </c>
      <c r="C2" s="145"/>
      <c r="D2" s="145"/>
      <c r="E2" s="145"/>
      <c r="F2" s="145"/>
      <c r="G2" s="145"/>
      <c r="H2" s="145"/>
      <c r="I2" s="84"/>
    </row>
    <row r="3" spans="5:9" s="1" customFormat="1" ht="16.5" thickBot="1">
      <c r="E3" s="2"/>
      <c r="F3" s="144" t="s">
        <v>165</v>
      </c>
      <c r="G3" s="144"/>
      <c r="H3" s="108">
        <v>303880</v>
      </c>
      <c r="I3" s="109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31" t="s">
        <v>147</v>
      </c>
      <c r="H4" s="131" t="s">
        <v>164</v>
      </c>
      <c r="I4" s="86" t="s">
        <v>139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2">
        <v>6</v>
      </c>
      <c r="H5" s="9">
        <v>7</v>
      </c>
      <c r="I5" s="87">
        <v>8</v>
      </c>
    </row>
    <row r="6" spans="2:9" s="2" customFormat="1" ht="12.75" customHeight="1">
      <c r="B6" s="10" t="s">
        <v>73</v>
      </c>
      <c r="C6" s="11" t="s">
        <v>4</v>
      </c>
      <c r="D6" s="11" t="s">
        <v>5</v>
      </c>
      <c r="E6" s="9"/>
      <c r="F6" s="9"/>
      <c r="G6" s="32"/>
      <c r="H6" s="9"/>
      <c r="I6" s="88"/>
    </row>
    <row r="7" spans="2:9" s="1" customFormat="1" ht="12.75" customHeight="1">
      <c r="B7" s="17"/>
      <c r="C7" s="12"/>
      <c r="D7" s="12"/>
      <c r="E7" s="9">
        <v>611000</v>
      </c>
      <c r="F7" s="12" t="s">
        <v>82</v>
      </c>
      <c r="G7" s="136">
        <f>SUM(G8:G11)</f>
        <v>201890</v>
      </c>
      <c r="H7" s="136">
        <f>SUM(H8:H11)</f>
        <v>0</v>
      </c>
      <c r="I7" s="89">
        <f aca="true" t="shared" si="0" ref="I7:I42">IF(G7=0,"",H7/G7*100)</f>
        <v>0</v>
      </c>
    </row>
    <row r="8" spans="2:9" ht="12.75" customHeight="1">
      <c r="B8" s="14"/>
      <c r="C8" s="15"/>
      <c r="D8" s="15"/>
      <c r="E8" s="16">
        <v>611100</v>
      </c>
      <c r="F8" s="26" t="s">
        <v>107</v>
      </c>
      <c r="G8" s="135">
        <f>142100+11300+7070+570</f>
        <v>161040</v>
      </c>
      <c r="H8" s="135"/>
      <c r="I8" s="90">
        <f t="shared" si="0"/>
        <v>0</v>
      </c>
    </row>
    <row r="9" spans="2:9" ht="12.75" customHeight="1">
      <c r="B9" s="14"/>
      <c r="C9" s="15"/>
      <c r="D9" s="15"/>
      <c r="E9" s="16">
        <v>611200</v>
      </c>
      <c r="F9" s="15" t="s">
        <v>108</v>
      </c>
      <c r="G9" s="135">
        <f>37400+3450</f>
        <v>40850</v>
      </c>
      <c r="H9" s="135"/>
      <c r="I9" s="90">
        <f t="shared" si="0"/>
        <v>0</v>
      </c>
    </row>
    <row r="10" spans="2:11" ht="12.75" customHeight="1">
      <c r="B10" s="14"/>
      <c r="C10" s="15"/>
      <c r="D10" s="15"/>
      <c r="E10" s="16">
        <v>611200</v>
      </c>
      <c r="F10" s="134" t="s">
        <v>148</v>
      </c>
      <c r="G10" s="135">
        <v>0</v>
      </c>
      <c r="H10" s="135"/>
      <c r="I10" s="90">
        <f t="shared" si="0"/>
      </c>
      <c r="K10" s="54"/>
    </row>
    <row r="11" spans="2:9" ht="12.75" customHeight="1">
      <c r="B11" s="14"/>
      <c r="C11" s="15"/>
      <c r="D11" s="15"/>
      <c r="E11" s="16"/>
      <c r="F11" s="26"/>
      <c r="G11" s="135"/>
      <c r="H11" s="135"/>
      <c r="I11" s="90">
        <f t="shared" si="0"/>
      </c>
    </row>
    <row r="12" spans="2:9" ht="12.75" customHeight="1">
      <c r="B12" s="14"/>
      <c r="C12" s="15"/>
      <c r="D12" s="15"/>
      <c r="E12" s="16"/>
      <c r="F12" s="15"/>
      <c r="G12" s="136"/>
      <c r="H12" s="136"/>
      <c r="I12" s="90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81</v>
      </c>
      <c r="G13" s="136">
        <f>G14</f>
        <v>17890</v>
      </c>
      <c r="H13" s="136">
        <f>H14</f>
        <v>0</v>
      </c>
      <c r="I13" s="89">
        <f t="shared" si="0"/>
        <v>0</v>
      </c>
    </row>
    <row r="14" spans="2:9" ht="12.75" customHeight="1">
      <c r="B14" s="14"/>
      <c r="C14" s="15"/>
      <c r="D14" s="15"/>
      <c r="E14" s="16">
        <v>612100</v>
      </c>
      <c r="F14" s="18" t="s">
        <v>6</v>
      </c>
      <c r="G14" s="135">
        <f>15800+1260+760+70</f>
        <v>17890</v>
      </c>
      <c r="H14" s="135"/>
      <c r="I14" s="90">
        <f t="shared" si="0"/>
        <v>0</v>
      </c>
    </row>
    <row r="15" spans="2:9" ht="12.75" customHeight="1">
      <c r="B15" s="14"/>
      <c r="C15" s="15"/>
      <c r="D15" s="15"/>
      <c r="E15" s="16"/>
      <c r="F15" s="15"/>
      <c r="G15" s="33"/>
      <c r="H15" s="33"/>
      <c r="I15" s="90">
        <f t="shared" si="0"/>
      </c>
    </row>
    <row r="16" spans="2:9" ht="12.75" customHeight="1">
      <c r="B16" s="14"/>
      <c r="C16" s="15"/>
      <c r="D16" s="15"/>
      <c r="E16" s="16"/>
      <c r="F16" s="15"/>
      <c r="G16" s="37"/>
      <c r="H16" s="37"/>
      <c r="I16" s="90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83</v>
      </c>
      <c r="G17" s="37">
        <f>SUM(G18:G27)</f>
        <v>53100</v>
      </c>
      <c r="H17" s="37">
        <f>SUM(H18:H27)</f>
        <v>0</v>
      </c>
      <c r="I17" s="89">
        <f t="shared" si="0"/>
        <v>0</v>
      </c>
    </row>
    <row r="18" spans="2:9" ht="12.75" customHeight="1">
      <c r="B18" s="14"/>
      <c r="C18" s="15"/>
      <c r="D18" s="15"/>
      <c r="E18" s="16">
        <v>613100</v>
      </c>
      <c r="F18" s="15" t="s">
        <v>7</v>
      </c>
      <c r="G18" s="33">
        <v>1500</v>
      </c>
      <c r="H18" s="33"/>
      <c r="I18" s="90">
        <f t="shared" si="0"/>
        <v>0</v>
      </c>
    </row>
    <row r="19" spans="2:9" ht="12.75" customHeight="1">
      <c r="B19" s="14"/>
      <c r="C19" s="15"/>
      <c r="D19" s="15"/>
      <c r="E19" s="16">
        <v>613200</v>
      </c>
      <c r="F19" s="15" t="s">
        <v>8</v>
      </c>
      <c r="G19" s="33">
        <v>8000</v>
      </c>
      <c r="H19" s="33"/>
      <c r="I19" s="90">
        <f t="shared" si="0"/>
        <v>0</v>
      </c>
    </row>
    <row r="20" spans="2:9" ht="12.75" customHeight="1">
      <c r="B20" s="14"/>
      <c r="C20" s="15"/>
      <c r="D20" s="15"/>
      <c r="E20" s="16">
        <v>613300</v>
      </c>
      <c r="F20" s="26" t="s">
        <v>109</v>
      </c>
      <c r="G20" s="52">
        <v>3500</v>
      </c>
      <c r="H20" s="52"/>
      <c r="I20" s="90">
        <f t="shared" si="0"/>
        <v>0</v>
      </c>
    </row>
    <row r="21" spans="2:9" ht="12.75" customHeight="1">
      <c r="B21" s="14"/>
      <c r="C21" s="15"/>
      <c r="D21" s="15"/>
      <c r="E21" s="16">
        <v>613400</v>
      </c>
      <c r="F21" s="15" t="s">
        <v>84</v>
      </c>
      <c r="G21" s="52">
        <v>1200</v>
      </c>
      <c r="H21" s="52"/>
      <c r="I21" s="90">
        <f t="shared" si="0"/>
        <v>0</v>
      </c>
    </row>
    <row r="22" spans="2:9" ht="12.75" customHeight="1">
      <c r="B22" s="14"/>
      <c r="C22" s="15"/>
      <c r="D22" s="15"/>
      <c r="E22" s="16">
        <v>613500</v>
      </c>
      <c r="F22" s="15" t="s">
        <v>9</v>
      </c>
      <c r="G22" s="52">
        <v>1000</v>
      </c>
      <c r="H22" s="52"/>
      <c r="I22" s="90">
        <f t="shared" si="0"/>
        <v>0</v>
      </c>
    </row>
    <row r="23" spans="2:9" ht="12.75" customHeight="1">
      <c r="B23" s="14"/>
      <c r="C23" s="15"/>
      <c r="D23" s="15"/>
      <c r="E23" s="16">
        <v>613600</v>
      </c>
      <c r="F23" s="26" t="s">
        <v>110</v>
      </c>
      <c r="G23" s="52">
        <v>0</v>
      </c>
      <c r="H23" s="52"/>
      <c r="I23" s="90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10</v>
      </c>
      <c r="G24" s="52">
        <v>2500</v>
      </c>
      <c r="H24" s="52"/>
      <c r="I24" s="90">
        <f t="shared" si="0"/>
        <v>0</v>
      </c>
    </row>
    <row r="25" spans="2:9" ht="12.75" customHeight="1">
      <c r="B25" s="14"/>
      <c r="C25" s="15"/>
      <c r="D25" s="15"/>
      <c r="E25" s="16">
        <v>613800</v>
      </c>
      <c r="F25" s="15" t="s">
        <v>85</v>
      </c>
      <c r="G25" s="52">
        <v>400</v>
      </c>
      <c r="H25" s="52"/>
      <c r="I25" s="90">
        <f t="shared" si="0"/>
        <v>0</v>
      </c>
    </row>
    <row r="26" spans="2:10" ht="12.75" customHeight="1">
      <c r="B26" s="14"/>
      <c r="C26" s="15"/>
      <c r="D26" s="15"/>
      <c r="E26" s="16">
        <v>613900</v>
      </c>
      <c r="F26" s="15" t="s">
        <v>86</v>
      </c>
      <c r="G26" s="52">
        <v>35000</v>
      </c>
      <c r="H26" s="52"/>
      <c r="I26" s="90">
        <f t="shared" si="0"/>
        <v>0</v>
      </c>
      <c r="J26" s="51"/>
    </row>
    <row r="27" spans="2:9" ht="12.75" customHeight="1">
      <c r="B27" s="14"/>
      <c r="C27" s="15"/>
      <c r="D27" s="15"/>
      <c r="E27" s="16">
        <v>613900</v>
      </c>
      <c r="F27" s="134" t="s">
        <v>149</v>
      </c>
      <c r="G27" s="52">
        <v>0</v>
      </c>
      <c r="H27" s="52"/>
      <c r="I27" s="90">
        <f t="shared" si="0"/>
      </c>
    </row>
    <row r="28" spans="2:9" ht="12.75" customHeight="1">
      <c r="B28" s="14"/>
      <c r="C28" s="15"/>
      <c r="D28" s="15"/>
      <c r="E28" s="16"/>
      <c r="F28" s="15"/>
      <c r="G28" s="63"/>
      <c r="H28" s="63"/>
      <c r="I28" s="90">
        <f t="shared" si="0"/>
      </c>
    </row>
    <row r="29" spans="2:9" s="1" customFormat="1" ht="12.75" customHeight="1">
      <c r="B29" s="17"/>
      <c r="C29" s="12"/>
      <c r="D29" s="12"/>
      <c r="E29" s="9">
        <v>614000</v>
      </c>
      <c r="F29" s="12" t="s">
        <v>111</v>
      </c>
      <c r="G29" s="63">
        <f>G30</f>
        <v>30000</v>
      </c>
      <c r="H29" s="63">
        <f>H30</f>
        <v>0</v>
      </c>
      <c r="I29" s="89">
        <f t="shared" si="0"/>
        <v>0</v>
      </c>
    </row>
    <row r="30" spans="2:9" ht="12.75" customHeight="1">
      <c r="B30" s="14"/>
      <c r="C30" s="15"/>
      <c r="D30" s="15"/>
      <c r="E30" s="16">
        <v>614200</v>
      </c>
      <c r="F30" s="26" t="s">
        <v>35</v>
      </c>
      <c r="G30" s="52">
        <v>30000</v>
      </c>
      <c r="H30" s="52"/>
      <c r="I30" s="90">
        <f t="shared" si="0"/>
        <v>0</v>
      </c>
    </row>
    <row r="31" spans="2:9" ht="12.75" customHeight="1">
      <c r="B31" s="14"/>
      <c r="C31" s="15"/>
      <c r="D31" s="15"/>
      <c r="E31" s="9"/>
      <c r="F31" s="12"/>
      <c r="G31" s="52"/>
      <c r="H31" s="52"/>
      <c r="I31" s="90">
        <f t="shared" si="0"/>
      </c>
    </row>
    <row r="32" spans="2:9" ht="12.75" customHeight="1">
      <c r="B32" s="14"/>
      <c r="C32" s="15"/>
      <c r="D32" s="15"/>
      <c r="E32" s="16"/>
      <c r="F32" s="26"/>
      <c r="G32" s="52"/>
      <c r="H32" s="52"/>
      <c r="I32" s="90">
        <f t="shared" si="0"/>
      </c>
    </row>
    <row r="33" spans="2:9" ht="12.75" customHeight="1">
      <c r="B33" s="14"/>
      <c r="C33" s="15"/>
      <c r="D33" s="15"/>
      <c r="E33" s="16"/>
      <c r="F33" s="15"/>
      <c r="G33" s="52"/>
      <c r="H33" s="52"/>
      <c r="I33" s="90">
        <f t="shared" si="0"/>
      </c>
    </row>
    <row r="34" spans="2:9" ht="12.75" customHeight="1">
      <c r="B34" s="17"/>
      <c r="C34" s="12"/>
      <c r="D34" s="12"/>
      <c r="E34" s="9">
        <v>821000</v>
      </c>
      <c r="F34" s="12" t="s">
        <v>13</v>
      </c>
      <c r="G34" s="63">
        <f>SUM(G35:G37)</f>
        <v>2000</v>
      </c>
      <c r="H34" s="63">
        <f>SUM(H35:H37)</f>
        <v>0</v>
      </c>
      <c r="I34" s="89">
        <f t="shared" si="0"/>
        <v>0</v>
      </c>
    </row>
    <row r="35" spans="2:9" ht="12.75" customHeight="1">
      <c r="B35" s="14"/>
      <c r="C35" s="15"/>
      <c r="D35" s="15"/>
      <c r="E35" s="16">
        <v>821200</v>
      </c>
      <c r="F35" s="15" t="s">
        <v>14</v>
      </c>
      <c r="G35" s="71">
        <v>0</v>
      </c>
      <c r="H35" s="71"/>
      <c r="I35" s="90">
        <f t="shared" si="0"/>
      </c>
    </row>
    <row r="36" spans="2:9" s="1" customFormat="1" ht="12.75" customHeight="1">
      <c r="B36" s="14"/>
      <c r="C36" s="15"/>
      <c r="D36" s="15"/>
      <c r="E36" s="16">
        <v>821300</v>
      </c>
      <c r="F36" s="15" t="s">
        <v>15</v>
      </c>
      <c r="G36" s="52">
        <v>2000</v>
      </c>
      <c r="H36" s="52"/>
      <c r="I36" s="90">
        <f t="shared" si="0"/>
        <v>0</v>
      </c>
    </row>
    <row r="37" spans="2:9" ht="12.75" customHeight="1">
      <c r="B37" s="14"/>
      <c r="C37" s="15"/>
      <c r="D37" s="15"/>
      <c r="E37" s="16"/>
      <c r="F37" s="26"/>
      <c r="G37" s="52"/>
      <c r="H37" s="52"/>
      <c r="I37" s="90">
        <f t="shared" si="0"/>
      </c>
    </row>
    <row r="38" spans="2:9" ht="12.75" customHeight="1">
      <c r="B38" s="14"/>
      <c r="C38" s="15"/>
      <c r="D38" s="15"/>
      <c r="E38" s="16"/>
      <c r="F38" s="15"/>
      <c r="G38" s="33"/>
      <c r="H38" s="33"/>
      <c r="I38" s="90">
        <f t="shared" si="0"/>
      </c>
    </row>
    <row r="39" spans="2:9" ht="12.75" customHeight="1">
      <c r="B39" s="17"/>
      <c r="C39" s="12"/>
      <c r="D39" s="12"/>
      <c r="E39" s="9"/>
      <c r="F39" s="12" t="s">
        <v>16</v>
      </c>
      <c r="G39" s="20">
        <v>11</v>
      </c>
      <c r="H39" s="20"/>
      <c r="I39" s="90"/>
    </row>
    <row r="40" spans="2:9" ht="12.75" customHeight="1">
      <c r="B40" s="17"/>
      <c r="C40" s="12"/>
      <c r="D40" s="12"/>
      <c r="E40" s="9"/>
      <c r="F40" s="12" t="s">
        <v>32</v>
      </c>
      <c r="G40" s="20">
        <f>G7+G13+G17+G29+G34</f>
        <v>304880</v>
      </c>
      <c r="H40" s="20">
        <f>H7+H13+H17+H29+H34</f>
        <v>0</v>
      </c>
      <c r="I40" s="89">
        <f t="shared" si="0"/>
        <v>0</v>
      </c>
    </row>
    <row r="41" spans="2:9" s="1" customFormat="1" ht="12.75" customHeight="1">
      <c r="B41" s="17"/>
      <c r="C41" s="12"/>
      <c r="D41" s="12"/>
      <c r="E41" s="9"/>
      <c r="F41" s="12" t="s">
        <v>17</v>
      </c>
      <c r="G41" s="20">
        <f>G40</f>
        <v>304880</v>
      </c>
      <c r="H41" s="20">
        <f>H40</f>
        <v>0</v>
      </c>
      <c r="I41" s="89">
        <f t="shared" si="0"/>
        <v>0</v>
      </c>
    </row>
    <row r="42" spans="2:9" s="1" customFormat="1" ht="12.75" customHeight="1">
      <c r="B42" s="17"/>
      <c r="C42" s="12"/>
      <c r="D42" s="12"/>
      <c r="E42" s="9"/>
      <c r="F42" s="12" t="s">
        <v>18</v>
      </c>
      <c r="G42" s="20">
        <f>G41</f>
        <v>304880</v>
      </c>
      <c r="H42" s="20">
        <f>H41</f>
        <v>0</v>
      </c>
      <c r="I42" s="89">
        <f t="shared" si="0"/>
        <v>0</v>
      </c>
    </row>
    <row r="43" spans="2:9" s="1" customFormat="1" ht="12.75" customHeight="1" thickBot="1">
      <c r="B43" s="21"/>
      <c r="C43" s="22"/>
      <c r="D43" s="22"/>
      <c r="E43" s="23"/>
      <c r="F43" s="22"/>
      <c r="G43" s="107"/>
      <c r="H43" s="107"/>
      <c r="I43" s="106"/>
    </row>
    <row r="44" spans="2:9" s="1" customFormat="1" ht="12.75" customHeight="1">
      <c r="B44" s="13"/>
      <c r="C44" s="13"/>
      <c r="D44" s="13"/>
      <c r="E44" s="24"/>
      <c r="F44" s="13"/>
      <c r="G44" s="53"/>
      <c r="H44" s="53"/>
      <c r="I44" s="85"/>
    </row>
    <row r="45" ht="12.75" customHeight="1">
      <c r="B45" s="51"/>
    </row>
    <row r="46" ht="12.75">
      <c r="B46" s="51"/>
    </row>
    <row r="47" ht="12.75">
      <c r="B47" s="51"/>
    </row>
    <row r="48" ht="12.75">
      <c r="B48" s="51"/>
    </row>
    <row r="49" ht="12.75">
      <c r="B49" s="51"/>
    </row>
    <row r="50" ht="12.75">
      <c r="B50" s="51"/>
    </row>
    <row r="51" ht="12.75">
      <c r="B51" s="51"/>
    </row>
    <row r="52" ht="12.75">
      <c r="B52" s="51"/>
    </row>
    <row r="53" ht="12.75">
      <c r="B53" s="51"/>
    </row>
    <row r="54" ht="12.75">
      <c r="B54" s="51"/>
    </row>
  </sheetData>
  <sheetProtection/>
  <mergeCells count="2">
    <mergeCell ref="B2:H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&amp;R40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9"/>
  <dimension ref="B2:K62"/>
  <sheetViews>
    <sheetView workbookViewId="0" topLeftCell="A1">
      <selection activeCell="H4" sqref="H4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1.00390625" style="24" customWidth="1"/>
    <col min="6" max="6" width="43.7109375" style="13" customWidth="1"/>
    <col min="7" max="7" width="15.7109375" style="13" customWidth="1"/>
    <col min="8" max="8" width="15.7109375" style="55" customWidth="1"/>
    <col min="9" max="9" width="8.7109375" style="80" customWidth="1"/>
    <col min="10" max="16384" width="9.140625" style="13" customWidth="1"/>
  </cols>
  <sheetData>
    <row r="2" spans="2:9" s="67" customFormat="1" ht="15" customHeight="1">
      <c r="B2" s="145" t="s">
        <v>74</v>
      </c>
      <c r="C2" s="145"/>
      <c r="D2" s="145"/>
      <c r="E2" s="145"/>
      <c r="F2" s="145"/>
      <c r="G2" s="145"/>
      <c r="H2" s="129"/>
      <c r="I2" s="130"/>
    </row>
    <row r="3" spans="5:9" s="1" customFormat="1" ht="16.5" thickBot="1">
      <c r="E3" s="2"/>
      <c r="F3" s="144" t="s">
        <v>165</v>
      </c>
      <c r="G3" s="144"/>
      <c r="H3" s="108">
        <v>686050</v>
      </c>
      <c r="I3" s="109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31" t="s">
        <v>147</v>
      </c>
      <c r="H4" s="131" t="s">
        <v>164</v>
      </c>
      <c r="I4" s="86" t="s">
        <v>139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2">
        <v>6</v>
      </c>
      <c r="H5" s="9">
        <v>7</v>
      </c>
      <c r="I5" s="87">
        <v>8</v>
      </c>
    </row>
    <row r="6" spans="2:9" s="2" customFormat="1" ht="12.75" customHeight="1">
      <c r="B6" s="10" t="s">
        <v>75</v>
      </c>
      <c r="C6" s="11" t="s">
        <v>4</v>
      </c>
      <c r="D6" s="11" t="s">
        <v>5</v>
      </c>
      <c r="E6" s="9"/>
      <c r="F6" s="9"/>
      <c r="G6" s="32"/>
      <c r="H6" s="102"/>
      <c r="I6" s="88"/>
    </row>
    <row r="7" spans="2:9" s="1" customFormat="1" ht="12.75" customHeight="1">
      <c r="B7" s="17"/>
      <c r="C7" s="12"/>
      <c r="D7" s="12"/>
      <c r="E7" s="9">
        <v>611000</v>
      </c>
      <c r="F7" s="12" t="s">
        <v>82</v>
      </c>
      <c r="G7" s="136">
        <f>SUM(G8:G11)</f>
        <v>509050</v>
      </c>
      <c r="H7" s="136">
        <f>SUM(H8:H11)</f>
        <v>0</v>
      </c>
      <c r="I7" s="89">
        <f aca="true" t="shared" si="0" ref="I7:I44">IF(G7=0,"",H7/G7*100)</f>
        <v>0</v>
      </c>
    </row>
    <row r="8" spans="2:9" ht="12.75" customHeight="1">
      <c r="B8" s="14"/>
      <c r="C8" s="15"/>
      <c r="D8" s="15"/>
      <c r="E8" s="16">
        <v>611100</v>
      </c>
      <c r="F8" s="26" t="s">
        <v>107</v>
      </c>
      <c r="G8" s="138">
        <f>421700+7450</f>
        <v>429150</v>
      </c>
      <c r="H8" s="138"/>
      <c r="I8" s="90">
        <f t="shared" si="0"/>
        <v>0</v>
      </c>
    </row>
    <row r="9" spans="2:9" ht="12.75" customHeight="1">
      <c r="B9" s="14"/>
      <c r="C9" s="15"/>
      <c r="D9" s="15"/>
      <c r="E9" s="16">
        <v>611200</v>
      </c>
      <c r="F9" s="15" t="s">
        <v>108</v>
      </c>
      <c r="G9" s="138">
        <f>74000+5900</f>
        <v>79900</v>
      </c>
      <c r="H9" s="138"/>
      <c r="I9" s="90">
        <f t="shared" si="0"/>
        <v>0</v>
      </c>
    </row>
    <row r="10" spans="2:11" ht="12.75" customHeight="1">
      <c r="B10" s="14"/>
      <c r="C10" s="15"/>
      <c r="D10" s="15"/>
      <c r="E10" s="16">
        <v>611200</v>
      </c>
      <c r="F10" s="134" t="s">
        <v>148</v>
      </c>
      <c r="G10" s="135">
        <v>0</v>
      </c>
      <c r="H10" s="135"/>
      <c r="I10" s="90">
        <f t="shared" si="0"/>
      </c>
      <c r="K10" s="54"/>
    </row>
    <row r="11" spans="2:9" ht="12.75" customHeight="1">
      <c r="B11" s="14"/>
      <c r="C11" s="15"/>
      <c r="D11" s="15"/>
      <c r="E11" s="16"/>
      <c r="F11" s="26"/>
      <c r="G11" s="138"/>
      <c r="H11" s="138"/>
      <c r="I11" s="90">
        <f t="shared" si="0"/>
      </c>
    </row>
    <row r="12" spans="2:9" ht="12.75" customHeight="1">
      <c r="B12" s="14"/>
      <c r="C12" s="15"/>
      <c r="D12" s="15"/>
      <c r="E12" s="16"/>
      <c r="F12" s="15"/>
      <c r="G12" s="136"/>
      <c r="H12" s="136"/>
      <c r="I12" s="90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81</v>
      </c>
      <c r="G13" s="136">
        <f>G14</f>
        <v>46620</v>
      </c>
      <c r="H13" s="136">
        <f>H14</f>
        <v>0</v>
      </c>
      <c r="I13" s="89">
        <f t="shared" si="0"/>
        <v>0</v>
      </c>
    </row>
    <row r="14" spans="2:9" ht="12.75" customHeight="1">
      <c r="B14" s="14"/>
      <c r="C14" s="15"/>
      <c r="D14" s="15"/>
      <c r="E14" s="16">
        <v>612100</v>
      </c>
      <c r="F14" s="18" t="s">
        <v>6</v>
      </c>
      <c r="G14" s="138">
        <f>45800+820</f>
        <v>46620</v>
      </c>
      <c r="H14" s="138"/>
      <c r="I14" s="90">
        <f t="shared" si="0"/>
        <v>0</v>
      </c>
    </row>
    <row r="15" spans="2:9" ht="12.75" customHeight="1">
      <c r="B15" s="14"/>
      <c r="C15" s="15"/>
      <c r="D15" s="15"/>
      <c r="E15" s="16"/>
      <c r="F15" s="15"/>
      <c r="G15" s="34"/>
      <c r="H15" s="34"/>
      <c r="I15" s="90">
        <f t="shared" si="0"/>
      </c>
    </row>
    <row r="16" spans="2:9" ht="12.75" customHeight="1">
      <c r="B16" s="14"/>
      <c r="C16" s="15"/>
      <c r="D16" s="15"/>
      <c r="E16" s="16"/>
      <c r="F16" s="15"/>
      <c r="G16" s="20"/>
      <c r="H16" s="20"/>
      <c r="I16" s="90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83</v>
      </c>
      <c r="G17" s="37">
        <f>SUM(G18:G27)</f>
        <v>124000</v>
      </c>
      <c r="H17" s="37">
        <f>SUM(H18:H27)</f>
        <v>0</v>
      </c>
      <c r="I17" s="89">
        <f t="shared" si="0"/>
        <v>0</v>
      </c>
    </row>
    <row r="18" spans="2:9" ht="12.75" customHeight="1">
      <c r="B18" s="14"/>
      <c r="C18" s="15"/>
      <c r="D18" s="15"/>
      <c r="E18" s="16">
        <v>613100</v>
      </c>
      <c r="F18" s="15" t="s">
        <v>7</v>
      </c>
      <c r="G18" s="34">
        <v>4000</v>
      </c>
      <c r="H18" s="34"/>
      <c r="I18" s="90">
        <f t="shared" si="0"/>
        <v>0</v>
      </c>
    </row>
    <row r="19" spans="2:9" ht="12.75" customHeight="1">
      <c r="B19" s="14"/>
      <c r="C19" s="15"/>
      <c r="D19" s="15"/>
      <c r="E19" s="16">
        <v>613200</v>
      </c>
      <c r="F19" s="15" t="s">
        <v>8</v>
      </c>
      <c r="G19" s="34">
        <v>31000</v>
      </c>
      <c r="H19" s="34"/>
      <c r="I19" s="90">
        <f t="shared" si="0"/>
        <v>0</v>
      </c>
    </row>
    <row r="20" spans="2:9" ht="12.75" customHeight="1">
      <c r="B20" s="14"/>
      <c r="C20" s="15"/>
      <c r="D20" s="15"/>
      <c r="E20" s="16">
        <v>613300</v>
      </c>
      <c r="F20" s="26" t="s">
        <v>109</v>
      </c>
      <c r="G20" s="34">
        <v>17000</v>
      </c>
      <c r="H20" s="34"/>
      <c r="I20" s="90">
        <f t="shared" si="0"/>
        <v>0</v>
      </c>
    </row>
    <row r="21" spans="2:9" ht="12.75" customHeight="1">
      <c r="B21" s="14"/>
      <c r="C21" s="15"/>
      <c r="D21" s="15"/>
      <c r="E21" s="16">
        <v>613400</v>
      </c>
      <c r="F21" s="15" t="s">
        <v>84</v>
      </c>
      <c r="G21" s="34">
        <v>6500</v>
      </c>
      <c r="H21" s="34"/>
      <c r="I21" s="90">
        <f t="shared" si="0"/>
        <v>0</v>
      </c>
    </row>
    <row r="22" spans="2:10" ht="12.75" customHeight="1">
      <c r="B22" s="14"/>
      <c r="C22" s="15"/>
      <c r="D22" s="15"/>
      <c r="E22" s="16">
        <v>613500</v>
      </c>
      <c r="F22" s="15" t="s">
        <v>9</v>
      </c>
      <c r="G22" s="71">
        <v>4600</v>
      </c>
      <c r="H22" s="71"/>
      <c r="I22" s="90">
        <f t="shared" si="0"/>
        <v>0</v>
      </c>
      <c r="J22" s="51"/>
    </row>
    <row r="23" spans="2:9" ht="12.75" customHeight="1">
      <c r="B23" s="14"/>
      <c r="C23" s="15"/>
      <c r="D23" s="15"/>
      <c r="E23" s="16">
        <v>613600</v>
      </c>
      <c r="F23" s="26" t="s">
        <v>110</v>
      </c>
      <c r="G23" s="34">
        <v>0</v>
      </c>
      <c r="H23" s="34"/>
      <c r="I23" s="90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10</v>
      </c>
      <c r="G24" s="71">
        <v>5000</v>
      </c>
      <c r="H24" s="71"/>
      <c r="I24" s="90">
        <f t="shared" si="0"/>
        <v>0</v>
      </c>
    </row>
    <row r="25" spans="2:9" ht="12.75" customHeight="1">
      <c r="B25" s="14"/>
      <c r="C25" s="15"/>
      <c r="D25" s="15"/>
      <c r="E25" s="16">
        <v>613800</v>
      </c>
      <c r="F25" s="15" t="s">
        <v>85</v>
      </c>
      <c r="G25" s="71">
        <v>900</v>
      </c>
      <c r="H25" s="71"/>
      <c r="I25" s="90">
        <f t="shared" si="0"/>
        <v>0</v>
      </c>
    </row>
    <row r="26" spans="2:9" ht="12.75" customHeight="1">
      <c r="B26" s="14"/>
      <c r="C26" s="15"/>
      <c r="D26" s="15"/>
      <c r="E26" s="16">
        <v>613900</v>
      </c>
      <c r="F26" s="15" t="s">
        <v>86</v>
      </c>
      <c r="G26" s="71">
        <v>55000</v>
      </c>
      <c r="H26" s="71"/>
      <c r="I26" s="90">
        <f t="shared" si="0"/>
        <v>0</v>
      </c>
    </row>
    <row r="27" spans="2:9" ht="12.75" customHeight="1">
      <c r="B27" s="14"/>
      <c r="C27" s="15"/>
      <c r="D27" s="15"/>
      <c r="E27" s="16">
        <v>613900</v>
      </c>
      <c r="F27" s="134" t="s">
        <v>149</v>
      </c>
      <c r="G27" s="71">
        <v>0</v>
      </c>
      <c r="H27" s="71"/>
      <c r="I27" s="90">
        <f t="shared" si="0"/>
      </c>
    </row>
    <row r="28" spans="2:9" s="1" customFormat="1" ht="12.75" customHeight="1">
      <c r="B28" s="17"/>
      <c r="C28" s="12"/>
      <c r="D28" s="12"/>
      <c r="E28" s="9"/>
      <c r="F28" s="12"/>
      <c r="G28" s="71"/>
      <c r="H28" s="71"/>
      <c r="I28" s="90">
        <f t="shared" si="0"/>
      </c>
    </row>
    <row r="29" spans="2:9" ht="12.75" customHeight="1">
      <c r="B29" s="14"/>
      <c r="C29" s="15"/>
      <c r="D29" s="29"/>
      <c r="E29" s="16"/>
      <c r="F29" s="28"/>
      <c r="G29" s="71"/>
      <c r="H29" s="71"/>
      <c r="I29" s="90">
        <f t="shared" si="0"/>
      </c>
    </row>
    <row r="30" spans="2:9" ht="12.75" customHeight="1">
      <c r="B30" s="14"/>
      <c r="C30" s="15"/>
      <c r="D30" s="15"/>
      <c r="E30" s="42"/>
      <c r="F30" s="28"/>
      <c r="G30" s="71"/>
      <c r="H30" s="71"/>
      <c r="I30" s="90">
        <f t="shared" si="0"/>
      </c>
    </row>
    <row r="31" spans="2:9" ht="12.75" customHeight="1">
      <c r="B31" s="14"/>
      <c r="C31" s="15"/>
      <c r="D31" s="15"/>
      <c r="E31" s="16"/>
      <c r="F31" s="15"/>
      <c r="G31" s="71"/>
      <c r="H31" s="71"/>
      <c r="I31" s="90">
        <f t="shared" si="0"/>
      </c>
    </row>
    <row r="32" spans="2:9" ht="12.75" customHeight="1">
      <c r="B32" s="14"/>
      <c r="C32" s="15"/>
      <c r="D32" s="15"/>
      <c r="E32" s="16"/>
      <c r="F32" s="15"/>
      <c r="G32" s="71"/>
      <c r="H32" s="71"/>
      <c r="I32" s="90">
        <f t="shared" si="0"/>
      </c>
    </row>
    <row r="33" spans="2:9" ht="12.75" customHeight="1">
      <c r="B33" s="14"/>
      <c r="C33" s="15"/>
      <c r="D33" s="15"/>
      <c r="E33" s="9"/>
      <c r="F33" s="12"/>
      <c r="G33" s="71"/>
      <c r="H33" s="71"/>
      <c r="I33" s="90">
        <f t="shared" si="0"/>
      </c>
    </row>
    <row r="34" spans="2:9" ht="12.75" customHeight="1">
      <c r="B34" s="14"/>
      <c r="C34" s="15"/>
      <c r="D34" s="15"/>
      <c r="E34" s="16"/>
      <c r="F34" s="26"/>
      <c r="G34" s="71"/>
      <c r="H34" s="71"/>
      <c r="I34" s="90">
        <f t="shared" si="0"/>
      </c>
    </row>
    <row r="35" spans="2:9" ht="12.75" customHeight="1">
      <c r="B35" s="14"/>
      <c r="C35" s="15"/>
      <c r="D35" s="15"/>
      <c r="E35" s="16"/>
      <c r="F35" s="15"/>
      <c r="G35" s="63"/>
      <c r="H35" s="63"/>
      <c r="I35" s="90">
        <f t="shared" si="0"/>
      </c>
    </row>
    <row r="36" spans="2:9" s="1" customFormat="1" ht="12.75" customHeight="1">
      <c r="B36" s="17"/>
      <c r="C36" s="12"/>
      <c r="D36" s="12"/>
      <c r="E36" s="9">
        <v>821000</v>
      </c>
      <c r="F36" s="12" t="s">
        <v>13</v>
      </c>
      <c r="G36" s="63">
        <f>SUM(G37:G39)</f>
        <v>3000</v>
      </c>
      <c r="H36" s="63">
        <f>SUM(H37:H39)</f>
        <v>0</v>
      </c>
      <c r="I36" s="89">
        <f t="shared" si="0"/>
        <v>0</v>
      </c>
    </row>
    <row r="37" spans="2:9" ht="12.75" customHeight="1">
      <c r="B37" s="14"/>
      <c r="C37" s="15"/>
      <c r="D37" s="15"/>
      <c r="E37" s="16">
        <v>821200</v>
      </c>
      <c r="F37" s="15" t="s">
        <v>14</v>
      </c>
      <c r="G37" s="71">
        <v>0</v>
      </c>
      <c r="H37" s="71"/>
      <c r="I37" s="90">
        <f t="shared" si="0"/>
      </c>
    </row>
    <row r="38" spans="2:9" ht="12.75" customHeight="1">
      <c r="B38" s="14"/>
      <c r="C38" s="15"/>
      <c r="D38" s="15"/>
      <c r="E38" s="16">
        <v>821300</v>
      </c>
      <c r="F38" s="15" t="s">
        <v>15</v>
      </c>
      <c r="G38" s="71">
        <v>3000</v>
      </c>
      <c r="H38" s="71"/>
      <c r="I38" s="90">
        <f t="shared" si="0"/>
        <v>0</v>
      </c>
    </row>
    <row r="39" spans="2:9" ht="12.75" customHeight="1">
      <c r="B39" s="14"/>
      <c r="C39" s="15"/>
      <c r="D39" s="15"/>
      <c r="E39" s="16"/>
      <c r="F39" s="26"/>
      <c r="G39" s="71"/>
      <c r="H39" s="71"/>
      <c r="I39" s="90">
        <f t="shared" si="0"/>
      </c>
    </row>
    <row r="40" spans="2:9" ht="12.75" customHeight="1">
      <c r="B40" s="14"/>
      <c r="C40" s="15"/>
      <c r="D40" s="15"/>
      <c r="E40" s="16"/>
      <c r="F40" s="15"/>
      <c r="G40" s="34"/>
      <c r="H40" s="34"/>
      <c r="I40" s="90">
        <f t="shared" si="0"/>
      </c>
    </row>
    <row r="41" spans="2:9" s="1" customFormat="1" ht="12.75" customHeight="1">
      <c r="B41" s="17"/>
      <c r="C41" s="12"/>
      <c r="D41" s="12"/>
      <c r="E41" s="9"/>
      <c r="F41" s="12" t="s">
        <v>16</v>
      </c>
      <c r="G41" s="20">
        <v>16</v>
      </c>
      <c r="H41" s="20"/>
      <c r="I41" s="90"/>
    </row>
    <row r="42" spans="2:9" s="1" customFormat="1" ht="12.75" customHeight="1">
      <c r="B42" s="17"/>
      <c r="C42" s="12"/>
      <c r="D42" s="12"/>
      <c r="E42" s="9"/>
      <c r="F42" s="12" t="s">
        <v>32</v>
      </c>
      <c r="G42" s="20">
        <f>G7+G13+G17+G36</f>
        <v>682670</v>
      </c>
      <c r="H42" s="20">
        <f>H7+H13+H17+H36</f>
        <v>0</v>
      </c>
      <c r="I42" s="89">
        <f t="shared" si="0"/>
        <v>0</v>
      </c>
    </row>
    <row r="43" spans="2:9" s="1" customFormat="1" ht="12.75" customHeight="1">
      <c r="B43" s="17"/>
      <c r="C43" s="12"/>
      <c r="D43" s="12"/>
      <c r="E43" s="9"/>
      <c r="F43" s="12" t="s">
        <v>17</v>
      </c>
      <c r="G43" s="20">
        <f>G42</f>
        <v>682670</v>
      </c>
      <c r="H43" s="20">
        <f>H42</f>
        <v>0</v>
      </c>
      <c r="I43" s="89">
        <f t="shared" si="0"/>
        <v>0</v>
      </c>
    </row>
    <row r="44" spans="2:9" s="1" customFormat="1" ht="12.75" customHeight="1">
      <c r="B44" s="17"/>
      <c r="C44" s="12"/>
      <c r="D44" s="12"/>
      <c r="E44" s="9"/>
      <c r="F44" s="12" t="s">
        <v>18</v>
      </c>
      <c r="G44" s="20">
        <f>G43</f>
        <v>682670</v>
      </c>
      <c r="H44" s="20">
        <f>H43</f>
        <v>0</v>
      </c>
      <c r="I44" s="89">
        <f t="shared" si="0"/>
        <v>0</v>
      </c>
    </row>
    <row r="45" spans="2:9" ht="12.75" customHeight="1" thickBot="1">
      <c r="B45" s="21"/>
      <c r="C45" s="22"/>
      <c r="D45" s="22"/>
      <c r="E45" s="23"/>
      <c r="F45" s="22"/>
      <c r="G45" s="35"/>
      <c r="H45" s="35"/>
      <c r="I45" s="93"/>
    </row>
    <row r="46" ht="12.75">
      <c r="G46" s="55"/>
    </row>
    <row r="47" ht="12.75">
      <c r="G47" s="55"/>
    </row>
    <row r="48" spans="2:7" ht="12.75">
      <c r="B48" s="51"/>
      <c r="G48" s="55"/>
    </row>
    <row r="49" spans="2:7" ht="12.75">
      <c r="B49" s="51"/>
      <c r="G49" s="55"/>
    </row>
    <row r="50" spans="2:7" ht="12.75">
      <c r="B50" s="51"/>
      <c r="G50" s="55"/>
    </row>
    <row r="51" spans="2:7" ht="12.75">
      <c r="B51" s="51"/>
      <c r="G51" s="55"/>
    </row>
    <row r="52" spans="2:7" ht="12.75">
      <c r="B52" s="51"/>
      <c r="G52" s="55"/>
    </row>
    <row r="53" ht="12.75">
      <c r="G53" s="55"/>
    </row>
    <row r="54" ht="12.75">
      <c r="G54" s="55"/>
    </row>
    <row r="55" ht="12.75">
      <c r="G55" s="55"/>
    </row>
    <row r="56" ht="12.75">
      <c r="G56" s="55"/>
    </row>
    <row r="57" ht="12.75">
      <c r="G57" s="55"/>
    </row>
    <row r="58" ht="12.75">
      <c r="G58" s="55"/>
    </row>
    <row r="59" ht="12.75">
      <c r="G59" s="55"/>
    </row>
    <row r="60" ht="12.75">
      <c r="G60" s="55"/>
    </row>
    <row r="61" ht="12.75">
      <c r="G61" s="55"/>
    </row>
    <row r="62" ht="12.75">
      <c r="G62" s="55"/>
    </row>
  </sheetData>
  <sheetProtection/>
  <mergeCells count="2">
    <mergeCell ref="B2:G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&amp;R41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40"/>
  <dimension ref="B2:K48"/>
  <sheetViews>
    <sheetView workbookViewId="0" topLeftCell="A1">
      <selection activeCell="H4" sqref="H4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1.140625" style="24" customWidth="1"/>
    <col min="6" max="6" width="43.7109375" style="13" customWidth="1"/>
    <col min="7" max="8" width="15.7109375" style="13" customWidth="1"/>
    <col min="9" max="9" width="8.7109375" style="80" customWidth="1"/>
    <col min="10" max="16384" width="9.140625" style="13" customWidth="1"/>
  </cols>
  <sheetData>
    <row r="2" spans="2:9" s="67" customFormat="1" ht="15" customHeight="1">
      <c r="B2" s="145" t="s">
        <v>127</v>
      </c>
      <c r="C2" s="145"/>
      <c r="D2" s="145"/>
      <c r="E2" s="145"/>
      <c r="F2" s="145"/>
      <c r="G2" s="145"/>
      <c r="H2" s="145"/>
      <c r="I2" s="84"/>
    </row>
    <row r="3" spans="5:9" s="1" customFormat="1" ht="16.5" thickBot="1">
      <c r="E3" s="2"/>
      <c r="F3" s="144" t="s">
        <v>165</v>
      </c>
      <c r="G3" s="144"/>
      <c r="H3" s="108">
        <v>84100</v>
      </c>
      <c r="I3" s="109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31" t="s">
        <v>147</v>
      </c>
      <c r="H4" s="131" t="s">
        <v>164</v>
      </c>
      <c r="I4" s="86" t="s">
        <v>139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2">
        <v>6</v>
      </c>
      <c r="H5" s="9">
        <v>7</v>
      </c>
      <c r="I5" s="87">
        <v>8</v>
      </c>
    </row>
    <row r="6" spans="2:9" s="2" customFormat="1" ht="12.75" customHeight="1">
      <c r="B6" s="10" t="s">
        <v>76</v>
      </c>
      <c r="C6" s="11" t="s">
        <v>4</v>
      </c>
      <c r="D6" s="11" t="s">
        <v>5</v>
      </c>
      <c r="E6" s="9"/>
      <c r="F6" s="9"/>
      <c r="G6" s="32"/>
      <c r="H6" s="9"/>
      <c r="I6" s="88"/>
    </row>
    <row r="7" spans="2:9" s="1" customFormat="1" ht="12.75" customHeight="1">
      <c r="B7" s="17"/>
      <c r="C7" s="12"/>
      <c r="D7" s="12"/>
      <c r="E7" s="9">
        <v>611000</v>
      </c>
      <c r="F7" s="12" t="s">
        <v>82</v>
      </c>
      <c r="G7" s="136">
        <f>SUM(G8:G11)</f>
        <v>67100</v>
      </c>
      <c r="H7" s="136">
        <f>SUM(H8:H11)</f>
        <v>0</v>
      </c>
      <c r="I7" s="89">
        <f aca="true" t="shared" si="0" ref="I7:I44">IF(G7=0,"",H7/G7*100)</f>
        <v>0</v>
      </c>
    </row>
    <row r="8" spans="2:9" ht="12.75" customHeight="1">
      <c r="B8" s="14"/>
      <c r="C8" s="15"/>
      <c r="D8" s="15"/>
      <c r="E8" s="16">
        <v>611100</v>
      </c>
      <c r="F8" s="26" t="s">
        <v>107</v>
      </c>
      <c r="G8" s="135">
        <f>54900+2600</f>
        <v>57500</v>
      </c>
      <c r="H8" s="135"/>
      <c r="I8" s="90">
        <f t="shared" si="0"/>
        <v>0</v>
      </c>
    </row>
    <row r="9" spans="2:9" ht="12.75" customHeight="1">
      <c r="B9" s="14"/>
      <c r="C9" s="15"/>
      <c r="D9" s="15"/>
      <c r="E9" s="16">
        <v>611200</v>
      </c>
      <c r="F9" s="15" t="s">
        <v>108</v>
      </c>
      <c r="G9" s="135">
        <v>9600</v>
      </c>
      <c r="H9" s="135"/>
      <c r="I9" s="90">
        <f t="shared" si="0"/>
        <v>0</v>
      </c>
    </row>
    <row r="10" spans="2:11" ht="12.75" customHeight="1">
      <c r="B10" s="14"/>
      <c r="C10" s="15"/>
      <c r="D10" s="15"/>
      <c r="E10" s="16">
        <v>611200</v>
      </c>
      <c r="F10" s="134" t="s">
        <v>148</v>
      </c>
      <c r="G10" s="135">
        <v>0</v>
      </c>
      <c r="H10" s="135"/>
      <c r="I10" s="90">
        <f t="shared" si="0"/>
      </c>
      <c r="K10" s="54"/>
    </row>
    <row r="11" spans="2:9" ht="12.75" customHeight="1">
      <c r="B11" s="14"/>
      <c r="C11" s="15"/>
      <c r="D11" s="15"/>
      <c r="E11" s="16"/>
      <c r="F11" s="26"/>
      <c r="G11" s="135"/>
      <c r="H11" s="135"/>
      <c r="I11" s="90">
        <f t="shared" si="0"/>
      </c>
    </row>
    <row r="12" spans="2:9" ht="12.75" customHeight="1">
      <c r="B12" s="14"/>
      <c r="C12" s="15"/>
      <c r="D12" s="15"/>
      <c r="E12" s="16"/>
      <c r="F12" s="15"/>
      <c r="G12" s="136"/>
      <c r="H12" s="136"/>
      <c r="I12" s="90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81</v>
      </c>
      <c r="G13" s="136">
        <f>G14</f>
        <v>6880</v>
      </c>
      <c r="H13" s="136">
        <f>H14</f>
        <v>0</v>
      </c>
      <c r="I13" s="89">
        <f t="shared" si="0"/>
        <v>0</v>
      </c>
    </row>
    <row r="14" spans="2:9" ht="12.75" customHeight="1">
      <c r="B14" s="14"/>
      <c r="C14" s="15"/>
      <c r="D14" s="15"/>
      <c r="E14" s="16">
        <v>612100</v>
      </c>
      <c r="F14" s="18" t="s">
        <v>6</v>
      </c>
      <c r="G14" s="135">
        <f>6600+280</f>
        <v>6880</v>
      </c>
      <c r="H14" s="135"/>
      <c r="I14" s="90">
        <f t="shared" si="0"/>
        <v>0</v>
      </c>
    </row>
    <row r="15" spans="2:9" ht="12.75" customHeight="1">
      <c r="B15" s="14"/>
      <c r="C15" s="15"/>
      <c r="D15" s="15"/>
      <c r="E15" s="16"/>
      <c r="F15" s="15"/>
      <c r="G15" s="33"/>
      <c r="H15" s="33"/>
      <c r="I15" s="90">
        <f t="shared" si="0"/>
      </c>
    </row>
    <row r="16" spans="2:9" ht="12.75" customHeight="1">
      <c r="B16" s="14"/>
      <c r="C16" s="15"/>
      <c r="D16" s="15"/>
      <c r="E16" s="16"/>
      <c r="F16" s="15"/>
      <c r="G16" s="37"/>
      <c r="H16" s="37"/>
      <c r="I16" s="90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83</v>
      </c>
      <c r="G17" s="37">
        <f>SUM(G18:G27)</f>
        <v>9500</v>
      </c>
      <c r="H17" s="37">
        <f>SUM(H18:H27)</f>
        <v>0</v>
      </c>
      <c r="I17" s="89">
        <f t="shared" si="0"/>
        <v>0</v>
      </c>
    </row>
    <row r="18" spans="2:9" ht="12.75" customHeight="1">
      <c r="B18" s="14"/>
      <c r="C18" s="15"/>
      <c r="D18" s="15"/>
      <c r="E18" s="16">
        <v>613100</v>
      </c>
      <c r="F18" s="15" t="s">
        <v>7</v>
      </c>
      <c r="G18" s="33">
        <v>1000</v>
      </c>
      <c r="H18" s="33"/>
      <c r="I18" s="90">
        <f t="shared" si="0"/>
        <v>0</v>
      </c>
    </row>
    <row r="19" spans="2:9" ht="12.75" customHeight="1">
      <c r="B19" s="14"/>
      <c r="C19" s="15"/>
      <c r="D19" s="15"/>
      <c r="E19" s="16">
        <v>613200</v>
      </c>
      <c r="F19" s="15" t="s">
        <v>8</v>
      </c>
      <c r="G19" s="33">
        <v>0</v>
      </c>
      <c r="H19" s="33"/>
      <c r="I19" s="90">
        <f t="shared" si="0"/>
      </c>
    </row>
    <row r="20" spans="2:10" ht="12.75" customHeight="1">
      <c r="B20" s="14"/>
      <c r="C20" s="15"/>
      <c r="D20" s="15"/>
      <c r="E20" s="16">
        <v>613300</v>
      </c>
      <c r="F20" s="26" t="s">
        <v>109</v>
      </c>
      <c r="G20" s="52">
        <v>3200</v>
      </c>
      <c r="H20" s="52"/>
      <c r="I20" s="90">
        <f t="shared" si="0"/>
        <v>0</v>
      </c>
      <c r="J20" s="51"/>
    </row>
    <row r="21" spans="2:9" ht="12.75" customHeight="1">
      <c r="B21" s="14"/>
      <c r="C21" s="15"/>
      <c r="D21" s="15"/>
      <c r="E21" s="16">
        <v>613400</v>
      </c>
      <c r="F21" s="15" t="s">
        <v>84</v>
      </c>
      <c r="G21" s="33">
        <v>1200</v>
      </c>
      <c r="H21" s="33"/>
      <c r="I21" s="90">
        <f t="shared" si="0"/>
        <v>0</v>
      </c>
    </row>
    <row r="22" spans="2:9" ht="12.75" customHeight="1">
      <c r="B22" s="14"/>
      <c r="C22" s="15"/>
      <c r="D22" s="15"/>
      <c r="E22" s="16">
        <v>613500</v>
      </c>
      <c r="F22" s="15" t="s">
        <v>9</v>
      </c>
      <c r="G22" s="33">
        <v>0</v>
      </c>
      <c r="H22" s="33"/>
      <c r="I22" s="90">
        <f t="shared" si="0"/>
      </c>
    </row>
    <row r="23" spans="2:9" ht="12.75" customHeight="1">
      <c r="B23" s="14"/>
      <c r="C23" s="15"/>
      <c r="D23" s="15"/>
      <c r="E23" s="16">
        <v>613600</v>
      </c>
      <c r="F23" s="26" t="s">
        <v>110</v>
      </c>
      <c r="G23" s="33">
        <v>0</v>
      </c>
      <c r="H23" s="33"/>
      <c r="I23" s="90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10</v>
      </c>
      <c r="G24" s="52">
        <v>500</v>
      </c>
      <c r="H24" s="52"/>
      <c r="I24" s="90">
        <f t="shared" si="0"/>
        <v>0</v>
      </c>
    </row>
    <row r="25" spans="2:9" ht="12.75" customHeight="1">
      <c r="B25" s="14"/>
      <c r="C25" s="15"/>
      <c r="D25" s="15"/>
      <c r="E25" s="16">
        <v>613800</v>
      </c>
      <c r="F25" s="15" t="s">
        <v>85</v>
      </c>
      <c r="G25" s="52">
        <v>0</v>
      </c>
      <c r="H25" s="52"/>
      <c r="I25" s="90">
        <f t="shared" si="0"/>
      </c>
    </row>
    <row r="26" spans="2:9" ht="12.75" customHeight="1">
      <c r="B26" s="14"/>
      <c r="C26" s="15"/>
      <c r="D26" s="15"/>
      <c r="E26" s="16">
        <v>613900</v>
      </c>
      <c r="F26" s="15" t="s">
        <v>86</v>
      </c>
      <c r="G26" s="52">
        <v>3600</v>
      </c>
      <c r="H26" s="52"/>
      <c r="I26" s="90">
        <f t="shared" si="0"/>
        <v>0</v>
      </c>
    </row>
    <row r="27" spans="2:9" ht="12.75" customHeight="1">
      <c r="B27" s="14"/>
      <c r="C27" s="15"/>
      <c r="D27" s="15"/>
      <c r="E27" s="16">
        <v>613900</v>
      </c>
      <c r="F27" s="134" t="s">
        <v>149</v>
      </c>
      <c r="G27" s="71">
        <v>0</v>
      </c>
      <c r="H27" s="71"/>
      <c r="I27" s="90">
        <f t="shared" si="0"/>
      </c>
    </row>
    <row r="28" spans="2:9" s="1" customFormat="1" ht="12.75" customHeight="1">
      <c r="B28" s="17"/>
      <c r="C28" s="12"/>
      <c r="D28" s="12"/>
      <c r="E28" s="9"/>
      <c r="F28" s="12"/>
      <c r="G28" s="52"/>
      <c r="H28" s="52"/>
      <c r="I28" s="90">
        <f t="shared" si="0"/>
      </c>
    </row>
    <row r="29" spans="2:9" ht="12.75" customHeight="1">
      <c r="B29" s="14"/>
      <c r="C29" s="15"/>
      <c r="D29" s="29"/>
      <c r="E29" s="16"/>
      <c r="F29" s="28"/>
      <c r="G29" s="52"/>
      <c r="H29" s="52"/>
      <c r="I29" s="90">
        <f t="shared" si="0"/>
      </c>
    </row>
    <row r="30" spans="2:9" ht="12.75" customHeight="1">
      <c r="B30" s="14"/>
      <c r="C30" s="15"/>
      <c r="D30" s="15"/>
      <c r="E30" s="42"/>
      <c r="F30" s="28"/>
      <c r="G30" s="52"/>
      <c r="H30" s="52"/>
      <c r="I30" s="90">
        <f t="shared" si="0"/>
      </c>
    </row>
    <row r="31" spans="2:9" ht="12.75" customHeight="1">
      <c r="B31" s="14"/>
      <c r="C31" s="15"/>
      <c r="D31" s="15"/>
      <c r="E31" s="16"/>
      <c r="F31" s="15"/>
      <c r="G31" s="52"/>
      <c r="H31" s="52"/>
      <c r="I31" s="90">
        <f t="shared" si="0"/>
      </c>
    </row>
    <row r="32" spans="2:9" ht="12.75" customHeight="1">
      <c r="B32" s="14"/>
      <c r="C32" s="15"/>
      <c r="D32" s="15"/>
      <c r="E32" s="16"/>
      <c r="F32" s="15"/>
      <c r="G32" s="52"/>
      <c r="H32" s="52"/>
      <c r="I32" s="90">
        <f t="shared" si="0"/>
      </c>
    </row>
    <row r="33" spans="2:9" ht="12.75" customHeight="1">
      <c r="B33" s="14"/>
      <c r="C33" s="15"/>
      <c r="D33" s="15"/>
      <c r="E33" s="9"/>
      <c r="F33" s="12"/>
      <c r="G33" s="52"/>
      <c r="H33" s="52"/>
      <c r="I33" s="90">
        <f t="shared" si="0"/>
      </c>
    </row>
    <row r="34" spans="2:9" ht="12.75" customHeight="1">
      <c r="B34" s="14"/>
      <c r="C34" s="15"/>
      <c r="D34" s="15"/>
      <c r="E34" s="16"/>
      <c r="F34" s="26"/>
      <c r="G34" s="52"/>
      <c r="H34" s="52"/>
      <c r="I34" s="90">
        <f t="shared" si="0"/>
      </c>
    </row>
    <row r="35" spans="2:9" ht="12.75" customHeight="1">
      <c r="B35" s="14"/>
      <c r="C35" s="15"/>
      <c r="D35" s="15"/>
      <c r="E35" s="16"/>
      <c r="F35" s="15"/>
      <c r="G35" s="63"/>
      <c r="H35" s="63"/>
      <c r="I35" s="90">
        <f t="shared" si="0"/>
      </c>
    </row>
    <row r="36" spans="2:9" s="1" customFormat="1" ht="12.75" customHeight="1">
      <c r="B36" s="17"/>
      <c r="C36" s="12"/>
      <c r="D36" s="12"/>
      <c r="E36" s="9">
        <v>821000</v>
      </c>
      <c r="F36" s="12" t="s">
        <v>13</v>
      </c>
      <c r="G36" s="63">
        <f>G37+G38</f>
        <v>1000</v>
      </c>
      <c r="H36" s="63">
        <f>H37+H38</f>
        <v>0</v>
      </c>
      <c r="I36" s="89">
        <f t="shared" si="0"/>
        <v>0</v>
      </c>
    </row>
    <row r="37" spans="2:9" ht="12.75" customHeight="1">
      <c r="B37" s="14"/>
      <c r="C37" s="15"/>
      <c r="D37" s="15"/>
      <c r="E37" s="16">
        <v>821200</v>
      </c>
      <c r="F37" s="15" t="s">
        <v>14</v>
      </c>
      <c r="G37" s="52">
        <v>0</v>
      </c>
      <c r="H37" s="52"/>
      <c r="I37" s="90">
        <f t="shared" si="0"/>
      </c>
    </row>
    <row r="38" spans="2:9" ht="12.75" customHeight="1">
      <c r="B38" s="14"/>
      <c r="C38" s="15"/>
      <c r="D38" s="15"/>
      <c r="E38" s="16">
        <v>821300</v>
      </c>
      <c r="F38" s="15" t="s">
        <v>15</v>
      </c>
      <c r="G38" s="52">
        <v>1000</v>
      </c>
      <c r="H38" s="52"/>
      <c r="I38" s="90">
        <f t="shared" si="0"/>
        <v>0</v>
      </c>
    </row>
    <row r="39" spans="2:9" ht="12.75" customHeight="1">
      <c r="B39" s="14"/>
      <c r="C39" s="15"/>
      <c r="D39" s="15"/>
      <c r="E39" s="16"/>
      <c r="F39" s="26"/>
      <c r="G39" s="52"/>
      <c r="H39" s="52"/>
      <c r="I39" s="90">
        <f t="shared" si="0"/>
      </c>
    </row>
    <row r="40" spans="2:9" ht="12.75" customHeight="1">
      <c r="B40" s="14"/>
      <c r="C40" s="15"/>
      <c r="D40" s="15"/>
      <c r="E40" s="16"/>
      <c r="F40" s="15"/>
      <c r="G40" s="20"/>
      <c r="H40" s="20"/>
      <c r="I40" s="90">
        <f t="shared" si="0"/>
      </c>
    </row>
    <row r="41" spans="2:9" s="1" customFormat="1" ht="12.75" customHeight="1">
      <c r="B41" s="17"/>
      <c r="C41" s="12"/>
      <c r="D41" s="12"/>
      <c r="E41" s="9"/>
      <c r="F41" s="12" t="s">
        <v>16</v>
      </c>
      <c r="G41" s="20">
        <v>3</v>
      </c>
      <c r="H41" s="20"/>
      <c r="I41" s="90"/>
    </row>
    <row r="42" spans="2:9" s="1" customFormat="1" ht="12.75" customHeight="1">
      <c r="B42" s="17"/>
      <c r="C42" s="12"/>
      <c r="D42" s="12"/>
      <c r="E42" s="9"/>
      <c r="F42" s="12" t="s">
        <v>32</v>
      </c>
      <c r="G42" s="20">
        <f>G7+G13+G17+G36</f>
        <v>84480</v>
      </c>
      <c r="H42" s="20">
        <f>H7+H13+H17+H36</f>
        <v>0</v>
      </c>
      <c r="I42" s="89">
        <f t="shared" si="0"/>
        <v>0</v>
      </c>
    </row>
    <row r="43" spans="2:9" s="1" customFormat="1" ht="12.75" customHeight="1">
      <c r="B43" s="17"/>
      <c r="C43" s="12"/>
      <c r="D43" s="12"/>
      <c r="E43" s="9"/>
      <c r="F43" s="12" t="s">
        <v>17</v>
      </c>
      <c r="G43" s="20">
        <f>G42</f>
        <v>84480</v>
      </c>
      <c r="H43" s="20">
        <f>H42</f>
        <v>0</v>
      </c>
      <c r="I43" s="89">
        <f t="shared" si="0"/>
        <v>0</v>
      </c>
    </row>
    <row r="44" spans="2:9" s="1" customFormat="1" ht="12.75" customHeight="1">
      <c r="B44" s="17"/>
      <c r="C44" s="12"/>
      <c r="D44" s="12"/>
      <c r="E44" s="9"/>
      <c r="F44" s="12" t="s">
        <v>18</v>
      </c>
      <c r="G44" s="20">
        <f>G43</f>
        <v>84480</v>
      </c>
      <c r="H44" s="20">
        <f>H43</f>
        <v>0</v>
      </c>
      <c r="I44" s="89">
        <f t="shared" si="0"/>
        <v>0</v>
      </c>
    </row>
    <row r="45" spans="2:9" ht="12.75" customHeight="1" thickBot="1">
      <c r="B45" s="21"/>
      <c r="C45" s="22"/>
      <c r="D45" s="22"/>
      <c r="E45" s="23"/>
      <c r="F45" s="22"/>
      <c r="G45" s="22"/>
      <c r="H45" s="22"/>
      <c r="I45" s="93"/>
    </row>
    <row r="47" ht="12.75">
      <c r="B47" s="51"/>
    </row>
    <row r="48" ht="12.75">
      <c r="B48" s="51"/>
    </row>
  </sheetData>
  <sheetProtection/>
  <mergeCells count="2">
    <mergeCell ref="B2:H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&amp;R42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41"/>
  <dimension ref="B2:K62"/>
  <sheetViews>
    <sheetView workbookViewId="0" topLeftCell="A1">
      <selection activeCell="H4" sqref="H4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1.28125" style="24" customWidth="1"/>
    <col min="6" max="6" width="43.7109375" style="13" customWidth="1"/>
    <col min="7" max="7" width="15.7109375" style="13" customWidth="1"/>
    <col min="8" max="8" width="15.7109375" style="55" customWidth="1"/>
    <col min="9" max="9" width="8.7109375" style="80" customWidth="1"/>
    <col min="10" max="16384" width="9.140625" style="13" customWidth="1"/>
  </cols>
  <sheetData>
    <row r="2" spans="2:7" ht="15" customHeight="1">
      <c r="B2" s="143" t="s">
        <v>78</v>
      </c>
      <c r="C2" s="143"/>
      <c r="D2" s="143"/>
      <c r="E2" s="143"/>
      <c r="F2" s="143"/>
      <c r="G2" s="143"/>
    </row>
    <row r="3" spans="5:9" s="1" customFormat="1" ht="16.5" thickBot="1">
      <c r="E3" s="2"/>
      <c r="F3" s="144" t="s">
        <v>165</v>
      </c>
      <c r="G3" s="144"/>
      <c r="H3" s="108">
        <v>607750</v>
      </c>
      <c r="I3" s="109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31" t="s">
        <v>147</v>
      </c>
      <c r="H4" s="131" t="s">
        <v>164</v>
      </c>
      <c r="I4" s="86" t="s">
        <v>139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2">
        <v>6</v>
      </c>
      <c r="H5" s="9">
        <v>7</v>
      </c>
      <c r="I5" s="87">
        <v>8</v>
      </c>
    </row>
    <row r="6" spans="2:9" s="2" customFormat="1" ht="12.75" customHeight="1">
      <c r="B6" s="10" t="s">
        <v>77</v>
      </c>
      <c r="C6" s="11" t="s">
        <v>4</v>
      </c>
      <c r="D6" s="11" t="s">
        <v>5</v>
      </c>
      <c r="E6" s="9"/>
      <c r="F6" s="9"/>
      <c r="G6" s="32"/>
      <c r="H6" s="102"/>
      <c r="I6" s="88"/>
    </row>
    <row r="7" spans="2:9" s="1" customFormat="1" ht="12.75" customHeight="1">
      <c r="B7" s="17"/>
      <c r="C7" s="12"/>
      <c r="D7" s="12"/>
      <c r="E7" s="9">
        <v>611000</v>
      </c>
      <c r="F7" s="12" t="s">
        <v>82</v>
      </c>
      <c r="G7" s="136">
        <f>SUM(G8:G11)</f>
        <v>454090</v>
      </c>
      <c r="H7" s="136">
        <f>SUM(H8:H11)</f>
        <v>0</v>
      </c>
      <c r="I7" s="89">
        <f aca="true" t="shared" si="0" ref="I7:I44">IF(G7=0,"",H7/G7*100)</f>
        <v>0</v>
      </c>
    </row>
    <row r="8" spans="2:9" ht="12.75" customHeight="1">
      <c r="B8" s="14"/>
      <c r="C8" s="15"/>
      <c r="D8" s="15"/>
      <c r="E8" s="16">
        <v>611100</v>
      </c>
      <c r="F8" s="26" t="s">
        <v>107</v>
      </c>
      <c r="G8" s="138">
        <f>389100+5090</f>
        <v>394190</v>
      </c>
      <c r="H8" s="138"/>
      <c r="I8" s="90">
        <f t="shared" si="0"/>
        <v>0</v>
      </c>
    </row>
    <row r="9" spans="2:9" ht="12.75" customHeight="1">
      <c r="B9" s="14"/>
      <c r="C9" s="15"/>
      <c r="D9" s="15"/>
      <c r="E9" s="16">
        <v>611200</v>
      </c>
      <c r="F9" s="15" t="s">
        <v>108</v>
      </c>
      <c r="G9" s="138">
        <f>59900</f>
        <v>59900</v>
      </c>
      <c r="H9" s="138"/>
      <c r="I9" s="90">
        <f t="shared" si="0"/>
        <v>0</v>
      </c>
    </row>
    <row r="10" spans="2:11" ht="12.75" customHeight="1">
      <c r="B10" s="14"/>
      <c r="C10" s="15"/>
      <c r="D10" s="15"/>
      <c r="E10" s="16">
        <v>611200</v>
      </c>
      <c r="F10" s="134" t="s">
        <v>148</v>
      </c>
      <c r="G10" s="135">
        <v>0</v>
      </c>
      <c r="H10" s="135"/>
      <c r="I10" s="90">
        <f t="shared" si="0"/>
      </c>
      <c r="K10" s="54"/>
    </row>
    <row r="11" spans="2:9" ht="12.75" customHeight="1">
      <c r="B11" s="14"/>
      <c r="C11" s="15"/>
      <c r="D11" s="15"/>
      <c r="E11" s="16"/>
      <c r="F11" s="26"/>
      <c r="G11" s="138"/>
      <c r="H11" s="138"/>
      <c r="I11" s="90">
        <f t="shared" si="0"/>
      </c>
    </row>
    <row r="12" spans="2:11" ht="12.75" customHeight="1">
      <c r="B12" s="14"/>
      <c r="C12" s="15"/>
      <c r="D12" s="15"/>
      <c r="E12" s="16"/>
      <c r="F12" s="15"/>
      <c r="G12" s="136"/>
      <c r="H12" s="136"/>
      <c r="I12" s="90">
        <f t="shared" si="0"/>
      </c>
      <c r="K12" s="51"/>
    </row>
    <row r="13" spans="2:9" s="1" customFormat="1" ht="12.75" customHeight="1">
      <c r="B13" s="17"/>
      <c r="C13" s="12"/>
      <c r="D13" s="12"/>
      <c r="E13" s="9">
        <v>612000</v>
      </c>
      <c r="F13" s="12" t="s">
        <v>81</v>
      </c>
      <c r="G13" s="136">
        <f>G14</f>
        <v>43360</v>
      </c>
      <c r="H13" s="136">
        <f>H14</f>
        <v>0</v>
      </c>
      <c r="I13" s="89">
        <f t="shared" si="0"/>
        <v>0</v>
      </c>
    </row>
    <row r="14" spans="2:9" ht="12.75" customHeight="1">
      <c r="B14" s="14"/>
      <c r="C14" s="15"/>
      <c r="D14" s="15"/>
      <c r="E14" s="16">
        <v>612100</v>
      </c>
      <c r="F14" s="18" t="s">
        <v>6</v>
      </c>
      <c r="G14" s="138">
        <f>42800+560</f>
        <v>43360</v>
      </c>
      <c r="H14" s="138"/>
      <c r="I14" s="90">
        <f t="shared" si="0"/>
        <v>0</v>
      </c>
    </row>
    <row r="15" spans="2:9" ht="12.75" customHeight="1">
      <c r="B15" s="14"/>
      <c r="C15" s="15"/>
      <c r="D15" s="15"/>
      <c r="E15" s="16"/>
      <c r="F15" s="15"/>
      <c r="G15" s="34"/>
      <c r="H15" s="34"/>
      <c r="I15" s="90">
        <f t="shared" si="0"/>
      </c>
    </row>
    <row r="16" spans="2:9" ht="12.75" customHeight="1">
      <c r="B16" s="14"/>
      <c r="C16" s="15"/>
      <c r="D16" s="15"/>
      <c r="E16" s="16"/>
      <c r="F16" s="15"/>
      <c r="G16" s="20"/>
      <c r="H16" s="20"/>
      <c r="I16" s="90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83</v>
      </c>
      <c r="G17" s="37">
        <f>SUM(G18:G27)</f>
        <v>95400</v>
      </c>
      <c r="H17" s="37">
        <f>SUM(H18:H27)</f>
        <v>0</v>
      </c>
      <c r="I17" s="89">
        <f t="shared" si="0"/>
        <v>0</v>
      </c>
    </row>
    <row r="18" spans="2:9" ht="12.75" customHeight="1">
      <c r="B18" s="14"/>
      <c r="C18" s="15"/>
      <c r="D18" s="15"/>
      <c r="E18" s="16">
        <v>613100</v>
      </c>
      <c r="F18" s="15" t="s">
        <v>7</v>
      </c>
      <c r="G18" s="34">
        <v>3000</v>
      </c>
      <c r="H18" s="34"/>
      <c r="I18" s="90">
        <f t="shared" si="0"/>
        <v>0</v>
      </c>
    </row>
    <row r="19" spans="2:9" ht="12.75" customHeight="1">
      <c r="B19" s="14"/>
      <c r="C19" s="15"/>
      <c r="D19" s="15"/>
      <c r="E19" s="16">
        <v>613200</v>
      </c>
      <c r="F19" s="15" t="s">
        <v>8</v>
      </c>
      <c r="G19" s="34">
        <v>4500</v>
      </c>
      <c r="H19" s="34"/>
      <c r="I19" s="90">
        <f t="shared" si="0"/>
        <v>0</v>
      </c>
    </row>
    <row r="20" spans="2:10" ht="12.75" customHeight="1">
      <c r="B20" s="14"/>
      <c r="C20" s="15"/>
      <c r="D20" s="15"/>
      <c r="E20" s="16">
        <v>613300</v>
      </c>
      <c r="F20" s="26" t="s">
        <v>109</v>
      </c>
      <c r="G20" s="71">
        <v>14000</v>
      </c>
      <c r="H20" s="71"/>
      <c r="I20" s="90">
        <f t="shared" si="0"/>
        <v>0</v>
      </c>
      <c r="J20" s="51"/>
    </row>
    <row r="21" spans="2:9" ht="12.75" customHeight="1">
      <c r="B21" s="14"/>
      <c r="C21" s="15"/>
      <c r="D21" s="15"/>
      <c r="E21" s="16">
        <v>613400</v>
      </c>
      <c r="F21" s="15" t="s">
        <v>84</v>
      </c>
      <c r="G21" s="34">
        <v>9000</v>
      </c>
      <c r="H21" s="34"/>
      <c r="I21" s="90">
        <f t="shared" si="0"/>
        <v>0</v>
      </c>
    </row>
    <row r="22" spans="2:10" ht="12.75" customHeight="1">
      <c r="B22" s="14"/>
      <c r="C22" s="15"/>
      <c r="D22" s="15"/>
      <c r="E22" s="16">
        <v>613500</v>
      </c>
      <c r="F22" s="15" t="s">
        <v>9</v>
      </c>
      <c r="G22" s="71">
        <v>2500</v>
      </c>
      <c r="H22" s="71"/>
      <c r="I22" s="90">
        <f t="shared" si="0"/>
        <v>0</v>
      </c>
      <c r="J22" s="51"/>
    </row>
    <row r="23" spans="2:9" ht="12.75" customHeight="1">
      <c r="B23" s="14"/>
      <c r="C23" s="15"/>
      <c r="D23" s="15"/>
      <c r="E23" s="16">
        <v>613600</v>
      </c>
      <c r="F23" s="26" t="s">
        <v>110</v>
      </c>
      <c r="G23" s="34">
        <v>0</v>
      </c>
      <c r="H23" s="34"/>
      <c r="I23" s="90">
        <f t="shared" si="0"/>
      </c>
    </row>
    <row r="24" spans="2:10" ht="12.75" customHeight="1">
      <c r="B24" s="14"/>
      <c r="C24" s="15"/>
      <c r="D24" s="15"/>
      <c r="E24" s="16">
        <v>613700</v>
      </c>
      <c r="F24" s="15" t="s">
        <v>10</v>
      </c>
      <c r="G24" s="71">
        <v>6300</v>
      </c>
      <c r="H24" s="71"/>
      <c r="I24" s="90">
        <f t="shared" si="0"/>
        <v>0</v>
      </c>
      <c r="J24" s="51"/>
    </row>
    <row r="25" spans="2:9" ht="12.75" customHeight="1">
      <c r="B25" s="14"/>
      <c r="C25" s="15"/>
      <c r="D25" s="15"/>
      <c r="E25" s="16">
        <v>613800</v>
      </c>
      <c r="F25" s="15" t="s">
        <v>85</v>
      </c>
      <c r="G25" s="71">
        <v>1100</v>
      </c>
      <c r="H25" s="71"/>
      <c r="I25" s="90">
        <f t="shared" si="0"/>
        <v>0</v>
      </c>
    </row>
    <row r="26" spans="2:9" ht="12.75" customHeight="1">
      <c r="B26" s="14"/>
      <c r="C26" s="15"/>
      <c r="D26" s="15"/>
      <c r="E26" s="16">
        <v>613900</v>
      </c>
      <c r="F26" s="15" t="s">
        <v>86</v>
      </c>
      <c r="G26" s="71">
        <v>55000</v>
      </c>
      <c r="H26" s="71"/>
      <c r="I26" s="90">
        <f t="shared" si="0"/>
        <v>0</v>
      </c>
    </row>
    <row r="27" spans="2:9" ht="12.75" customHeight="1">
      <c r="B27" s="14"/>
      <c r="C27" s="15"/>
      <c r="D27" s="15"/>
      <c r="E27" s="16">
        <v>613900</v>
      </c>
      <c r="F27" s="134" t="s">
        <v>149</v>
      </c>
      <c r="G27" s="71">
        <v>0</v>
      </c>
      <c r="H27" s="71"/>
      <c r="I27" s="90">
        <f t="shared" si="0"/>
      </c>
    </row>
    <row r="28" spans="2:9" s="1" customFormat="1" ht="12.75" customHeight="1">
      <c r="B28" s="17"/>
      <c r="C28" s="12"/>
      <c r="D28" s="12"/>
      <c r="E28" s="9"/>
      <c r="F28" s="12"/>
      <c r="G28" s="71"/>
      <c r="H28" s="71"/>
      <c r="I28" s="90">
        <f t="shared" si="0"/>
      </c>
    </row>
    <row r="29" spans="2:9" ht="12.75" customHeight="1">
      <c r="B29" s="14"/>
      <c r="C29" s="15"/>
      <c r="D29" s="29"/>
      <c r="E29" s="16"/>
      <c r="F29" s="28"/>
      <c r="G29" s="71"/>
      <c r="H29" s="71"/>
      <c r="I29" s="90">
        <f t="shared" si="0"/>
      </c>
    </row>
    <row r="30" spans="2:9" ht="12.75" customHeight="1">
      <c r="B30" s="14"/>
      <c r="C30" s="15"/>
      <c r="D30" s="15"/>
      <c r="E30" s="42"/>
      <c r="F30" s="28"/>
      <c r="G30" s="71"/>
      <c r="H30" s="71"/>
      <c r="I30" s="90">
        <f t="shared" si="0"/>
      </c>
    </row>
    <row r="31" spans="2:9" ht="12.75" customHeight="1">
      <c r="B31" s="14"/>
      <c r="C31" s="15"/>
      <c r="D31" s="15"/>
      <c r="E31" s="16"/>
      <c r="F31" s="15"/>
      <c r="G31" s="71"/>
      <c r="H31" s="71"/>
      <c r="I31" s="90">
        <f t="shared" si="0"/>
      </c>
    </row>
    <row r="32" spans="2:9" ht="12.75" customHeight="1">
      <c r="B32" s="14"/>
      <c r="C32" s="15"/>
      <c r="D32" s="15"/>
      <c r="E32" s="16"/>
      <c r="F32" s="15"/>
      <c r="G32" s="71"/>
      <c r="H32" s="71"/>
      <c r="I32" s="90">
        <f t="shared" si="0"/>
      </c>
    </row>
    <row r="33" spans="2:9" ht="12.75" customHeight="1">
      <c r="B33" s="14"/>
      <c r="C33" s="15"/>
      <c r="D33" s="15"/>
      <c r="E33" s="9"/>
      <c r="F33" s="12"/>
      <c r="G33" s="71"/>
      <c r="H33" s="71"/>
      <c r="I33" s="90">
        <f t="shared" si="0"/>
      </c>
    </row>
    <row r="34" spans="2:9" ht="12.75" customHeight="1">
      <c r="B34" s="14"/>
      <c r="C34" s="15"/>
      <c r="D34" s="15"/>
      <c r="E34" s="16"/>
      <c r="F34" s="26"/>
      <c r="G34" s="71"/>
      <c r="H34" s="71"/>
      <c r="I34" s="90">
        <f t="shared" si="0"/>
      </c>
    </row>
    <row r="35" spans="2:9" ht="12.75" customHeight="1">
      <c r="B35" s="14"/>
      <c r="C35" s="15"/>
      <c r="D35" s="15"/>
      <c r="E35" s="16"/>
      <c r="F35" s="15"/>
      <c r="G35" s="63"/>
      <c r="H35" s="63"/>
      <c r="I35" s="90">
        <f t="shared" si="0"/>
      </c>
    </row>
    <row r="36" spans="2:9" s="1" customFormat="1" ht="12.75" customHeight="1">
      <c r="B36" s="17"/>
      <c r="C36" s="12"/>
      <c r="D36" s="12"/>
      <c r="E36" s="9">
        <v>821000</v>
      </c>
      <c r="F36" s="12" t="s">
        <v>13</v>
      </c>
      <c r="G36" s="63">
        <f>G37+G38</f>
        <v>5000</v>
      </c>
      <c r="H36" s="63">
        <f>H37+H38</f>
        <v>0</v>
      </c>
      <c r="I36" s="89">
        <f t="shared" si="0"/>
        <v>0</v>
      </c>
    </row>
    <row r="37" spans="2:9" ht="12.75" customHeight="1">
      <c r="B37" s="14"/>
      <c r="C37" s="15"/>
      <c r="D37" s="15"/>
      <c r="E37" s="16">
        <v>821200</v>
      </c>
      <c r="F37" s="15" t="s">
        <v>14</v>
      </c>
      <c r="G37" s="71">
        <v>0</v>
      </c>
      <c r="H37" s="71"/>
      <c r="I37" s="90">
        <f t="shared" si="0"/>
      </c>
    </row>
    <row r="38" spans="2:9" ht="12.75" customHeight="1">
      <c r="B38" s="14"/>
      <c r="C38" s="15"/>
      <c r="D38" s="15"/>
      <c r="E38" s="16">
        <v>821300</v>
      </c>
      <c r="F38" s="15" t="s">
        <v>15</v>
      </c>
      <c r="G38" s="71">
        <v>5000</v>
      </c>
      <c r="H38" s="71"/>
      <c r="I38" s="90">
        <f t="shared" si="0"/>
        <v>0</v>
      </c>
    </row>
    <row r="39" spans="2:9" ht="12.75" customHeight="1">
      <c r="B39" s="14"/>
      <c r="C39" s="15"/>
      <c r="D39" s="15"/>
      <c r="E39" s="16"/>
      <c r="F39" s="26"/>
      <c r="G39" s="71"/>
      <c r="H39" s="71"/>
      <c r="I39" s="90">
        <f t="shared" si="0"/>
      </c>
    </row>
    <row r="40" spans="2:9" ht="12.75" customHeight="1">
      <c r="B40" s="14"/>
      <c r="C40" s="15"/>
      <c r="D40" s="15"/>
      <c r="E40" s="16"/>
      <c r="F40" s="15"/>
      <c r="G40" s="34"/>
      <c r="H40" s="34"/>
      <c r="I40" s="90">
        <f t="shared" si="0"/>
      </c>
    </row>
    <row r="41" spans="2:9" s="1" customFormat="1" ht="12.75" customHeight="1">
      <c r="B41" s="17"/>
      <c r="C41" s="12"/>
      <c r="D41" s="12"/>
      <c r="E41" s="9"/>
      <c r="F41" s="12" t="s">
        <v>16</v>
      </c>
      <c r="G41" s="63">
        <v>13</v>
      </c>
      <c r="H41" s="63"/>
      <c r="I41" s="90"/>
    </row>
    <row r="42" spans="2:9" s="1" customFormat="1" ht="12.75" customHeight="1">
      <c r="B42" s="17"/>
      <c r="C42" s="12"/>
      <c r="D42" s="12"/>
      <c r="E42" s="9"/>
      <c r="F42" s="12" t="s">
        <v>32</v>
      </c>
      <c r="G42" s="20">
        <f>G7+G13+G17+G36</f>
        <v>597850</v>
      </c>
      <c r="H42" s="20">
        <f>H7+H13+H17+H36</f>
        <v>0</v>
      </c>
      <c r="I42" s="89">
        <f t="shared" si="0"/>
        <v>0</v>
      </c>
    </row>
    <row r="43" spans="2:9" s="1" customFormat="1" ht="12.75" customHeight="1">
      <c r="B43" s="17"/>
      <c r="C43" s="12"/>
      <c r="D43" s="12"/>
      <c r="E43" s="9"/>
      <c r="F43" s="12" t="s">
        <v>17</v>
      </c>
      <c r="G43" s="20">
        <f>G42</f>
        <v>597850</v>
      </c>
      <c r="H43" s="20">
        <f>H42</f>
        <v>0</v>
      </c>
      <c r="I43" s="89">
        <f t="shared" si="0"/>
        <v>0</v>
      </c>
    </row>
    <row r="44" spans="2:9" s="1" customFormat="1" ht="12.75" customHeight="1">
      <c r="B44" s="17"/>
      <c r="C44" s="12"/>
      <c r="D44" s="12"/>
      <c r="E44" s="9"/>
      <c r="F44" s="12" t="s">
        <v>18</v>
      </c>
      <c r="G44" s="20">
        <f>G43</f>
        <v>597850</v>
      </c>
      <c r="H44" s="20">
        <f>H43</f>
        <v>0</v>
      </c>
      <c r="I44" s="89">
        <f t="shared" si="0"/>
        <v>0</v>
      </c>
    </row>
    <row r="45" spans="2:9" ht="12.75" customHeight="1" thickBot="1">
      <c r="B45" s="21"/>
      <c r="C45" s="22"/>
      <c r="D45" s="22"/>
      <c r="E45" s="23"/>
      <c r="F45" s="22"/>
      <c r="G45" s="35"/>
      <c r="H45" s="35"/>
      <c r="I45" s="93"/>
    </row>
    <row r="46" ht="12.75">
      <c r="G46" s="55"/>
    </row>
    <row r="47" spans="2:7" ht="12.75">
      <c r="B47" s="51"/>
      <c r="G47" s="55"/>
    </row>
    <row r="48" spans="2:7" ht="12.75">
      <c r="B48" s="51"/>
      <c r="G48" s="55"/>
    </row>
    <row r="49" spans="2:7" ht="12.75">
      <c r="B49" s="51"/>
      <c r="G49" s="55"/>
    </row>
    <row r="50" ht="12.75">
      <c r="G50" s="55"/>
    </row>
    <row r="51" ht="12.75">
      <c r="G51" s="55"/>
    </row>
    <row r="52" ht="12.75">
      <c r="G52" s="55"/>
    </row>
    <row r="53" ht="12.75">
      <c r="G53" s="55"/>
    </row>
    <row r="54" ht="12.75">
      <c r="G54" s="55"/>
    </row>
    <row r="55" ht="12.75">
      <c r="G55" s="55"/>
    </row>
    <row r="56" ht="12.75">
      <c r="G56" s="55"/>
    </row>
    <row r="57" ht="12.75">
      <c r="G57" s="55"/>
    </row>
    <row r="58" ht="12.75">
      <c r="G58" s="55"/>
    </row>
    <row r="59" ht="12.75">
      <c r="G59" s="55"/>
    </row>
    <row r="60" ht="12.75">
      <c r="G60" s="55"/>
    </row>
    <row r="61" ht="12.75">
      <c r="G61" s="55"/>
    </row>
    <row r="62" ht="12.75">
      <c r="G62" s="55"/>
    </row>
  </sheetData>
  <sheetProtection/>
  <mergeCells count="2">
    <mergeCell ref="B2:G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&amp;R43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44"/>
  <dimension ref="B2:K62"/>
  <sheetViews>
    <sheetView workbookViewId="0" topLeftCell="C1">
      <selection activeCell="N22" sqref="N22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7109375" style="24" customWidth="1"/>
    <col min="6" max="6" width="43.7109375" style="13" customWidth="1"/>
    <col min="7" max="7" width="15.7109375" style="13" customWidth="1"/>
    <col min="8" max="8" width="15.7109375" style="55" customWidth="1"/>
    <col min="9" max="9" width="8.7109375" style="80" customWidth="1"/>
    <col min="10" max="16384" width="9.140625" style="13" customWidth="1"/>
  </cols>
  <sheetData>
    <row r="2" spans="2:7" ht="15" customHeight="1">
      <c r="B2" s="143" t="s">
        <v>101</v>
      </c>
      <c r="C2" s="143"/>
      <c r="D2" s="143"/>
      <c r="E2" s="143"/>
      <c r="F2" s="143"/>
      <c r="G2" s="143"/>
    </row>
    <row r="3" spans="5:9" s="1" customFormat="1" ht="16.5" thickBot="1">
      <c r="E3" s="2"/>
      <c r="F3" s="144" t="s">
        <v>165</v>
      </c>
      <c r="G3" s="144"/>
      <c r="H3" s="108">
        <v>402200</v>
      </c>
      <c r="I3" s="109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31" t="s">
        <v>147</v>
      </c>
      <c r="H4" s="131" t="s">
        <v>164</v>
      </c>
      <c r="I4" s="86" t="s">
        <v>139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2">
        <v>6</v>
      </c>
      <c r="H5" s="9">
        <v>7</v>
      </c>
      <c r="I5" s="87">
        <v>8</v>
      </c>
    </row>
    <row r="6" spans="2:9" s="2" customFormat="1" ht="12.75" customHeight="1">
      <c r="B6" s="10" t="s">
        <v>100</v>
      </c>
      <c r="C6" s="11" t="s">
        <v>4</v>
      </c>
      <c r="D6" s="11" t="s">
        <v>5</v>
      </c>
      <c r="E6" s="9"/>
      <c r="F6" s="9"/>
      <c r="G6" s="32"/>
      <c r="H6" s="102"/>
      <c r="I6" s="88"/>
    </row>
    <row r="7" spans="2:9" s="1" customFormat="1" ht="12.75" customHeight="1">
      <c r="B7" s="17"/>
      <c r="C7" s="12"/>
      <c r="D7" s="12"/>
      <c r="E7" s="9">
        <v>611000</v>
      </c>
      <c r="F7" s="12" t="s">
        <v>82</v>
      </c>
      <c r="G7" s="136">
        <f>SUM(G8:G11)</f>
        <v>338800</v>
      </c>
      <c r="H7" s="136">
        <f>SUM(H8:H11)</f>
        <v>0</v>
      </c>
      <c r="I7" s="89">
        <f aca="true" t="shared" si="0" ref="I7:I44">IF(G7=0,"",H7/G7*100)</f>
        <v>0</v>
      </c>
    </row>
    <row r="8" spans="2:9" ht="12.75" customHeight="1">
      <c r="B8" s="14"/>
      <c r="C8" s="15"/>
      <c r="D8" s="15"/>
      <c r="E8" s="16">
        <v>611100</v>
      </c>
      <c r="F8" s="26" t="s">
        <v>107</v>
      </c>
      <c r="G8" s="138">
        <f>273500+13600</f>
        <v>287100</v>
      </c>
      <c r="H8" s="138"/>
      <c r="I8" s="90">
        <f t="shared" si="0"/>
        <v>0</v>
      </c>
    </row>
    <row r="9" spans="2:9" ht="12.75" customHeight="1">
      <c r="B9" s="14"/>
      <c r="C9" s="15"/>
      <c r="D9" s="15"/>
      <c r="E9" s="16">
        <v>611200</v>
      </c>
      <c r="F9" s="15" t="s">
        <v>108</v>
      </c>
      <c r="G9" s="138">
        <f>49400+2300</f>
        <v>51700</v>
      </c>
      <c r="H9" s="138"/>
      <c r="I9" s="90">
        <f t="shared" si="0"/>
        <v>0</v>
      </c>
    </row>
    <row r="10" spans="2:11" ht="12.75" customHeight="1">
      <c r="B10" s="14"/>
      <c r="C10" s="15"/>
      <c r="D10" s="15"/>
      <c r="E10" s="16">
        <v>611200</v>
      </c>
      <c r="F10" s="134" t="s">
        <v>148</v>
      </c>
      <c r="G10" s="135">
        <v>0</v>
      </c>
      <c r="H10" s="135"/>
      <c r="I10" s="90">
        <f t="shared" si="0"/>
      </c>
      <c r="K10" s="54"/>
    </row>
    <row r="11" spans="2:9" ht="12.75" customHeight="1">
      <c r="B11" s="14"/>
      <c r="C11" s="15"/>
      <c r="D11" s="15"/>
      <c r="E11" s="16"/>
      <c r="F11" s="26"/>
      <c r="G11" s="138"/>
      <c r="H11" s="138"/>
      <c r="I11" s="90">
        <f t="shared" si="0"/>
      </c>
    </row>
    <row r="12" spans="2:9" ht="12.75" customHeight="1">
      <c r="B12" s="14"/>
      <c r="C12" s="15"/>
      <c r="D12" s="15"/>
      <c r="E12" s="16"/>
      <c r="F12" s="15"/>
      <c r="G12" s="136"/>
      <c r="H12" s="136"/>
      <c r="I12" s="90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81</v>
      </c>
      <c r="G13" s="136">
        <f>G14</f>
        <v>32300</v>
      </c>
      <c r="H13" s="136">
        <f>H14</f>
        <v>0</v>
      </c>
      <c r="I13" s="89">
        <f t="shared" si="0"/>
        <v>0</v>
      </c>
    </row>
    <row r="14" spans="2:9" ht="12.75" customHeight="1">
      <c r="B14" s="14"/>
      <c r="C14" s="15"/>
      <c r="D14" s="15"/>
      <c r="E14" s="16">
        <v>612100</v>
      </c>
      <c r="F14" s="18" t="s">
        <v>6</v>
      </c>
      <c r="G14" s="138">
        <f>30900+1400</f>
        <v>32300</v>
      </c>
      <c r="H14" s="138"/>
      <c r="I14" s="90">
        <f t="shared" si="0"/>
        <v>0</v>
      </c>
    </row>
    <row r="15" spans="2:9" ht="12.75" customHeight="1">
      <c r="B15" s="14"/>
      <c r="C15" s="15"/>
      <c r="D15" s="15"/>
      <c r="E15" s="16"/>
      <c r="F15" s="15"/>
      <c r="G15" s="34"/>
      <c r="H15" s="34"/>
      <c r="I15" s="90">
        <f t="shared" si="0"/>
      </c>
    </row>
    <row r="16" spans="2:9" ht="12.75" customHeight="1">
      <c r="B16" s="14"/>
      <c r="C16" s="15"/>
      <c r="D16" s="15"/>
      <c r="E16" s="16"/>
      <c r="F16" s="15"/>
      <c r="G16" s="20"/>
      <c r="H16" s="20"/>
      <c r="I16" s="90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83</v>
      </c>
      <c r="G17" s="37">
        <f>SUM(G18:G27)</f>
        <v>29300</v>
      </c>
      <c r="H17" s="37">
        <f>SUM(H18:H27)</f>
        <v>0</v>
      </c>
      <c r="I17" s="89">
        <f t="shared" si="0"/>
        <v>0</v>
      </c>
    </row>
    <row r="18" spans="2:9" ht="12.75" customHeight="1">
      <c r="B18" s="14"/>
      <c r="C18" s="15"/>
      <c r="D18" s="15"/>
      <c r="E18" s="16">
        <v>613100</v>
      </c>
      <c r="F18" s="15" t="s">
        <v>7</v>
      </c>
      <c r="G18" s="34">
        <v>2500</v>
      </c>
      <c r="H18" s="34"/>
      <c r="I18" s="90">
        <f t="shared" si="0"/>
        <v>0</v>
      </c>
    </row>
    <row r="19" spans="2:9" ht="12.75" customHeight="1">
      <c r="B19" s="14"/>
      <c r="C19" s="15"/>
      <c r="D19" s="15"/>
      <c r="E19" s="16">
        <v>613200</v>
      </c>
      <c r="F19" s="15" t="s">
        <v>8</v>
      </c>
      <c r="G19" s="34">
        <v>6000</v>
      </c>
      <c r="H19" s="34"/>
      <c r="I19" s="90">
        <f t="shared" si="0"/>
        <v>0</v>
      </c>
    </row>
    <row r="20" spans="2:9" ht="12.75" customHeight="1">
      <c r="B20" s="14"/>
      <c r="C20" s="15"/>
      <c r="D20" s="15"/>
      <c r="E20" s="16">
        <v>613300</v>
      </c>
      <c r="F20" s="26" t="s">
        <v>109</v>
      </c>
      <c r="G20" s="34">
        <v>6000</v>
      </c>
      <c r="H20" s="34"/>
      <c r="I20" s="90">
        <f t="shared" si="0"/>
        <v>0</v>
      </c>
    </row>
    <row r="21" spans="2:9" ht="12.75" customHeight="1">
      <c r="B21" s="14"/>
      <c r="C21" s="15"/>
      <c r="D21" s="15"/>
      <c r="E21" s="16">
        <v>613400</v>
      </c>
      <c r="F21" s="15" t="s">
        <v>84</v>
      </c>
      <c r="G21" s="34">
        <v>1500</v>
      </c>
      <c r="H21" s="34"/>
      <c r="I21" s="90">
        <f t="shared" si="0"/>
        <v>0</v>
      </c>
    </row>
    <row r="22" spans="2:9" ht="12.75" customHeight="1">
      <c r="B22" s="14"/>
      <c r="C22" s="15"/>
      <c r="D22" s="15"/>
      <c r="E22" s="16">
        <v>613500</v>
      </c>
      <c r="F22" s="15" t="s">
        <v>9</v>
      </c>
      <c r="G22" s="34">
        <v>5500</v>
      </c>
      <c r="H22" s="34"/>
      <c r="I22" s="90">
        <f t="shared" si="0"/>
        <v>0</v>
      </c>
    </row>
    <row r="23" spans="2:9" ht="12.75" customHeight="1">
      <c r="B23" s="14"/>
      <c r="C23" s="15"/>
      <c r="D23" s="15"/>
      <c r="E23" s="16">
        <v>613600</v>
      </c>
      <c r="F23" s="26" t="s">
        <v>110</v>
      </c>
      <c r="G23" s="71">
        <v>0</v>
      </c>
      <c r="H23" s="71"/>
      <c r="I23" s="90">
        <f t="shared" si="0"/>
      </c>
    </row>
    <row r="24" spans="2:10" ht="12.75" customHeight="1">
      <c r="B24" s="14"/>
      <c r="C24" s="15"/>
      <c r="D24" s="15"/>
      <c r="E24" s="16">
        <v>613700</v>
      </c>
      <c r="F24" s="15" t="s">
        <v>10</v>
      </c>
      <c r="G24" s="71">
        <v>2000</v>
      </c>
      <c r="H24" s="71"/>
      <c r="I24" s="90">
        <f t="shared" si="0"/>
        <v>0</v>
      </c>
      <c r="J24" s="51"/>
    </row>
    <row r="25" spans="2:9" ht="12.75" customHeight="1">
      <c r="B25" s="14"/>
      <c r="C25" s="15"/>
      <c r="D25" s="15"/>
      <c r="E25" s="16">
        <v>613800</v>
      </c>
      <c r="F25" s="15" t="s">
        <v>85</v>
      </c>
      <c r="G25" s="71">
        <v>800</v>
      </c>
      <c r="H25" s="71"/>
      <c r="I25" s="90">
        <f t="shared" si="0"/>
        <v>0</v>
      </c>
    </row>
    <row r="26" spans="2:10" ht="12.75" customHeight="1">
      <c r="B26" s="14"/>
      <c r="C26" s="15"/>
      <c r="D26" s="15"/>
      <c r="E26" s="16">
        <v>613900</v>
      </c>
      <c r="F26" s="15" t="s">
        <v>86</v>
      </c>
      <c r="G26" s="71">
        <v>5000</v>
      </c>
      <c r="H26" s="71"/>
      <c r="I26" s="90">
        <f t="shared" si="0"/>
        <v>0</v>
      </c>
      <c r="J26" s="51"/>
    </row>
    <row r="27" spans="2:9" ht="12.75" customHeight="1">
      <c r="B27" s="14"/>
      <c r="C27" s="15"/>
      <c r="D27" s="15"/>
      <c r="E27" s="16">
        <v>613900</v>
      </c>
      <c r="F27" s="134" t="s">
        <v>149</v>
      </c>
      <c r="G27" s="71">
        <v>0</v>
      </c>
      <c r="H27" s="71"/>
      <c r="I27" s="90">
        <f t="shared" si="0"/>
      </c>
    </row>
    <row r="28" spans="2:9" s="1" customFormat="1" ht="12.75" customHeight="1">
      <c r="B28" s="17"/>
      <c r="C28" s="12"/>
      <c r="D28" s="12"/>
      <c r="E28" s="9"/>
      <c r="F28" s="12"/>
      <c r="G28" s="71"/>
      <c r="H28" s="71"/>
      <c r="I28" s="90">
        <f t="shared" si="0"/>
      </c>
    </row>
    <row r="29" spans="2:9" ht="12.75" customHeight="1">
      <c r="B29" s="14"/>
      <c r="C29" s="15"/>
      <c r="D29" s="29"/>
      <c r="E29" s="16"/>
      <c r="F29" s="28"/>
      <c r="G29" s="71"/>
      <c r="H29" s="71"/>
      <c r="I29" s="90">
        <f t="shared" si="0"/>
      </c>
    </row>
    <row r="30" spans="2:9" ht="12.75" customHeight="1">
      <c r="B30" s="14"/>
      <c r="C30" s="15"/>
      <c r="D30" s="15"/>
      <c r="E30" s="42"/>
      <c r="F30" s="28"/>
      <c r="G30" s="71"/>
      <c r="H30" s="71"/>
      <c r="I30" s="90">
        <f t="shared" si="0"/>
      </c>
    </row>
    <row r="31" spans="2:9" ht="12.75" customHeight="1">
      <c r="B31" s="14"/>
      <c r="C31" s="15"/>
      <c r="D31" s="15"/>
      <c r="E31" s="16"/>
      <c r="F31" s="15"/>
      <c r="G31" s="71"/>
      <c r="H31" s="71"/>
      <c r="I31" s="90">
        <f t="shared" si="0"/>
      </c>
    </row>
    <row r="32" spans="2:9" ht="12.75" customHeight="1">
      <c r="B32" s="14"/>
      <c r="C32" s="15"/>
      <c r="D32" s="15"/>
      <c r="E32" s="16"/>
      <c r="F32" s="15"/>
      <c r="G32" s="71"/>
      <c r="H32" s="71"/>
      <c r="I32" s="90">
        <f t="shared" si="0"/>
      </c>
    </row>
    <row r="33" spans="2:9" ht="12.75" customHeight="1">
      <c r="B33" s="14"/>
      <c r="C33" s="15"/>
      <c r="D33" s="15"/>
      <c r="E33" s="9"/>
      <c r="F33" s="12"/>
      <c r="G33" s="71"/>
      <c r="H33" s="71"/>
      <c r="I33" s="90">
        <f t="shared" si="0"/>
      </c>
    </row>
    <row r="34" spans="2:9" ht="12.75" customHeight="1">
      <c r="B34" s="14"/>
      <c r="C34" s="15"/>
      <c r="D34" s="15"/>
      <c r="E34" s="16"/>
      <c r="F34" s="26"/>
      <c r="G34" s="71"/>
      <c r="H34" s="71"/>
      <c r="I34" s="90">
        <f t="shared" si="0"/>
      </c>
    </row>
    <row r="35" spans="2:9" ht="12.75" customHeight="1">
      <c r="B35" s="14"/>
      <c r="C35" s="15"/>
      <c r="D35" s="15"/>
      <c r="E35" s="16"/>
      <c r="F35" s="15"/>
      <c r="G35" s="63"/>
      <c r="H35" s="63"/>
      <c r="I35" s="90">
        <f t="shared" si="0"/>
      </c>
    </row>
    <row r="36" spans="2:9" s="1" customFormat="1" ht="12.75" customHeight="1">
      <c r="B36" s="17"/>
      <c r="C36" s="12"/>
      <c r="D36" s="12"/>
      <c r="E36" s="9">
        <v>821000</v>
      </c>
      <c r="F36" s="12" t="s">
        <v>13</v>
      </c>
      <c r="G36" s="63">
        <f>SUM(G37:G39)</f>
        <v>2000</v>
      </c>
      <c r="H36" s="63">
        <f>SUM(H37:H39)</f>
        <v>0</v>
      </c>
      <c r="I36" s="89">
        <f t="shared" si="0"/>
        <v>0</v>
      </c>
    </row>
    <row r="37" spans="2:9" ht="12.75" customHeight="1">
      <c r="B37" s="14"/>
      <c r="C37" s="15"/>
      <c r="D37" s="15"/>
      <c r="E37" s="16">
        <v>821200</v>
      </c>
      <c r="F37" s="15" t="s">
        <v>14</v>
      </c>
      <c r="G37" s="71">
        <v>0</v>
      </c>
      <c r="H37" s="71"/>
      <c r="I37" s="90">
        <f t="shared" si="0"/>
      </c>
    </row>
    <row r="38" spans="2:9" ht="12.75" customHeight="1">
      <c r="B38" s="14"/>
      <c r="C38" s="15"/>
      <c r="D38" s="15"/>
      <c r="E38" s="16">
        <v>821300</v>
      </c>
      <c r="F38" s="15" t="s">
        <v>15</v>
      </c>
      <c r="G38" s="71">
        <v>2000</v>
      </c>
      <c r="H38" s="71"/>
      <c r="I38" s="90">
        <f t="shared" si="0"/>
        <v>0</v>
      </c>
    </row>
    <row r="39" spans="2:9" ht="12.75" customHeight="1">
      <c r="B39" s="14"/>
      <c r="C39" s="15"/>
      <c r="D39" s="15"/>
      <c r="E39" s="16"/>
      <c r="F39" s="26"/>
      <c r="G39" s="71"/>
      <c r="H39" s="71"/>
      <c r="I39" s="90">
        <f t="shared" si="0"/>
      </c>
    </row>
    <row r="40" spans="2:9" ht="12.75" customHeight="1">
      <c r="B40" s="14"/>
      <c r="C40" s="15"/>
      <c r="D40" s="15"/>
      <c r="E40" s="16"/>
      <c r="F40" s="15"/>
      <c r="G40" s="71"/>
      <c r="H40" s="71"/>
      <c r="I40" s="90">
        <f t="shared" si="0"/>
      </c>
    </row>
    <row r="41" spans="2:9" s="1" customFormat="1" ht="12.75" customHeight="1">
      <c r="B41" s="17"/>
      <c r="C41" s="12"/>
      <c r="D41" s="12"/>
      <c r="E41" s="9"/>
      <c r="F41" s="12" t="s">
        <v>16</v>
      </c>
      <c r="G41" s="20">
        <v>12</v>
      </c>
      <c r="H41" s="20"/>
      <c r="I41" s="90"/>
    </row>
    <row r="42" spans="2:9" s="1" customFormat="1" ht="12.75" customHeight="1">
      <c r="B42" s="17"/>
      <c r="C42" s="12"/>
      <c r="D42" s="12"/>
      <c r="E42" s="9"/>
      <c r="F42" s="12" t="s">
        <v>32</v>
      </c>
      <c r="G42" s="20">
        <f>G7+G13+G17+G36</f>
        <v>402400</v>
      </c>
      <c r="H42" s="20">
        <f>H7+H13+H17+H36</f>
        <v>0</v>
      </c>
      <c r="I42" s="89">
        <f t="shared" si="0"/>
        <v>0</v>
      </c>
    </row>
    <row r="43" spans="2:9" s="1" customFormat="1" ht="12.75" customHeight="1">
      <c r="B43" s="17"/>
      <c r="C43" s="12"/>
      <c r="D43" s="12"/>
      <c r="E43" s="9"/>
      <c r="F43" s="12" t="s">
        <v>17</v>
      </c>
      <c r="G43" s="20">
        <f>G42</f>
        <v>402400</v>
      </c>
      <c r="H43" s="20">
        <f>H42</f>
        <v>0</v>
      </c>
      <c r="I43" s="89">
        <f t="shared" si="0"/>
        <v>0</v>
      </c>
    </row>
    <row r="44" spans="2:9" s="1" customFormat="1" ht="12.75" customHeight="1">
      <c r="B44" s="17"/>
      <c r="C44" s="12"/>
      <c r="D44" s="12"/>
      <c r="E44" s="9"/>
      <c r="F44" s="12" t="s">
        <v>18</v>
      </c>
      <c r="G44" s="20">
        <f>G43</f>
        <v>402400</v>
      </c>
      <c r="H44" s="20">
        <f>H43</f>
        <v>0</v>
      </c>
      <c r="I44" s="89">
        <f t="shared" si="0"/>
        <v>0</v>
      </c>
    </row>
    <row r="45" spans="2:9" ht="12.75" customHeight="1" thickBot="1">
      <c r="B45" s="21"/>
      <c r="C45" s="22"/>
      <c r="D45" s="22"/>
      <c r="E45" s="23"/>
      <c r="F45" s="22"/>
      <c r="G45" s="35"/>
      <c r="H45" s="35"/>
      <c r="I45" s="93"/>
    </row>
    <row r="46" ht="12.75">
      <c r="G46" s="55"/>
    </row>
    <row r="47" spans="2:7" ht="12.75">
      <c r="B47" s="51"/>
      <c r="G47" s="55"/>
    </row>
    <row r="48" ht="12.75">
      <c r="G48" s="55"/>
    </row>
    <row r="49" ht="12.75">
      <c r="G49" s="55"/>
    </row>
    <row r="50" ht="12.75">
      <c r="G50" s="55"/>
    </row>
    <row r="51" ht="12.75">
      <c r="G51" s="55"/>
    </row>
    <row r="52" ht="12.75">
      <c r="G52" s="55"/>
    </row>
    <row r="53" ht="12.75">
      <c r="G53" s="55"/>
    </row>
    <row r="54" ht="12.75">
      <c r="G54" s="55"/>
    </row>
    <row r="55" ht="12.75">
      <c r="G55" s="55"/>
    </row>
    <row r="56" ht="12.75">
      <c r="G56" s="55"/>
    </row>
    <row r="57" ht="12.75">
      <c r="G57" s="55"/>
    </row>
    <row r="58" ht="12.75">
      <c r="G58" s="55"/>
    </row>
    <row r="59" ht="12.75">
      <c r="G59" s="55"/>
    </row>
    <row r="60" ht="12.75">
      <c r="G60" s="55"/>
    </row>
    <row r="61" ht="12.75">
      <c r="G61" s="55"/>
    </row>
    <row r="62" ht="12.75">
      <c r="G62" s="55"/>
    </row>
  </sheetData>
  <sheetProtection/>
  <mergeCells count="2">
    <mergeCell ref="B2:G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&amp;R44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B2:K47"/>
  <sheetViews>
    <sheetView workbookViewId="0" topLeftCell="A1">
      <selection activeCell="H4" sqref="H4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57421875" style="24" customWidth="1"/>
    <col min="6" max="6" width="43.7109375" style="13" customWidth="1"/>
    <col min="7" max="8" width="15.7109375" style="13" customWidth="1"/>
    <col min="9" max="9" width="8.7109375" style="80" customWidth="1"/>
    <col min="10" max="16384" width="9.140625" style="13" customWidth="1"/>
  </cols>
  <sheetData>
    <row r="2" spans="2:9" s="67" customFormat="1" ht="15" customHeight="1">
      <c r="B2" s="145" t="s">
        <v>43</v>
      </c>
      <c r="C2" s="145"/>
      <c r="D2" s="145"/>
      <c r="E2" s="145"/>
      <c r="F2" s="145"/>
      <c r="G2" s="145"/>
      <c r="H2" s="145"/>
      <c r="I2" s="84"/>
    </row>
    <row r="3" spans="5:9" s="1" customFormat="1" ht="16.5" thickBot="1">
      <c r="E3" s="2"/>
      <c r="F3" s="144" t="s">
        <v>165</v>
      </c>
      <c r="G3" s="144"/>
      <c r="H3" s="108">
        <v>91200</v>
      </c>
      <c r="I3" s="109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31" t="s">
        <v>147</v>
      </c>
      <c r="H4" s="131" t="s">
        <v>164</v>
      </c>
      <c r="I4" s="86" t="s">
        <v>139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2">
        <v>6</v>
      </c>
      <c r="H5" s="9">
        <v>7</v>
      </c>
      <c r="I5" s="87">
        <v>8</v>
      </c>
    </row>
    <row r="6" spans="2:9" s="2" customFormat="1" ht="12.75" customHeight="1">
      <c r="B6" s="10" t="s">
        <v>39</v>
      </c>
      <c r="C6" s="11" t="s">
        <v>4</v>
      </c>
      <c r="D6" s="11" t="s">
        <v>44</v>
      </c>
      <c r="E6" s="9"/>
      <c r="F6" s="9"/>
      <c r="G6" s="32"/>
      <c r="H6" s="9"/>
      <c r="I6" s="88"/>
    </row>
    <row r="7" spans="2:9" s="1" customFormat="1" ht="12.75" customHeight="1">
      <c r="B7" s="17"/>
      <c r="C7" s="12"/>
      <c r="D7" s="12"/>
      <c r="E7" s="9">
        <v>611000</v>
      </c>
      <c r="F7" s="12" t="s">
        <v>82</v>
      </c>
      <c r="G7" s="136">
        <f>SUM(G8:G11)</f>
        <v>47600</v>
      </c>
      <c r="H7" s="136">
        <f>SUM(H8:H11)</f>
        <v>0</v>
      </c>
      <c r="I7" s="127">
        <f aca="true" t="shared" si="0" ref="I7:I42">IF(G7=0,"",H7/G7*100)</f>
        <v>0</v>
      </c>
    </row>
    <row r="8" spans="2:9" ht="12.75" customHeight="1">
      <c r="B8" s="14"/>
      <c r="C8" s="15"/>
      <c r="D8" s="15"/>
      <c r="E8" s="16">
        <v>611100</v>
      </c>
      <c r="F8" s="26" t="s">
        <v>107</v>
      </c>
      <c r="G8" s="135">
        <f>28000+11700+1370+590</f>
        <v>41660</v>
      </c>
      <c r="H8" s="135"/>
      <c r="I8" s="90">
        <f t="shared" si="0"/>
        <v>0</v>
      </c>
    </row>
    <row r="9" spans="2:9" ht="12.75" customHeight="1">
      <c r="B9" s="14"/>
      <c r="C9" s="15"/>
      <c r="D9" s="15"/>
      <c r="E9" s="16">
        <v>611200</v>
      </c>
      <c r="F9" s="15" t="s">
        <v>108</v>
      </c>
      <c r="G9" s="135">
        <f>3040+2900</f>
        <v>5940</v>
      </c>
      <c r="H9" s="135"/>
      <c r="I9" s="90">
        <f t="shared" si="0"/>
        <v>0</v>
      </c>
    </row>
    <row r="10" spans="2:11" ht="12.75" customHeight="1">
      <c r="B10" s="14"/>
      <c r="C10" s="15"/>
      <c r="D10" s="15"/>
      <c r="E10" s="16">
        <v>611200</v>
      </c>
      <c r="F10" s="134" t="s">
        <v>148</v>
      </c>
      <c r="G10" s="135">
        <v>0</v>
      </c>
      <c r="H10" s="135"/>
      <c r="I10" s="90">
        <f t="shared" si="0"/>
      </c>
      <c r="K10" s="54"/>
    </row>
    <row r="11" spans="2:9" ht="12.75" customHeight="1">
      <c r="B11" s="14"/>
      <c r="C11" s="15"/>
      <c r="D11" s="15"/>
      <c r="E11" s="16"/>
      <c r="F11" s="26"/>
      <c r="G11" s="135"/>
      <c r="H11" s="135"/>
      <c r="I11" s="90">
        <f t="shared" si="0"/>
      </c>
    </row>
    <row r="12" spans="2:9" ht="12.75" customHeight="1">
      <c r="B12" s="14"/>
      <c r="C12" s="15"/>
      <c r="D12" s="15"/>
      <c r="E12" s="16"/>
      <c r="F12" s="15"/>
      <c r="G12" s="136"/>
      <c r="H12" s="136"/>
      <c r="I12" s="90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81</v>
      </c>
      <c r="G13" s="136">
        <f>G14</f>
        <v>5010</v>
      </c>
      <c r="H13" s="136">
        <f>H14</f>
        <v>0</v>
      </c>
      <c r="I13" s="127">
        <f t="shared" si="0"/>
        <v>0</v>
      </c>
    </row>
    <row r="14" spans="2:9" ht="12.75" customHeight="1">
      <c r="B14" s="14"/>
      <c r="C14" s="15"/>
      <c r="D14" s="15"/>
      <c r="E14" s="16">
        <v>612100</v>
      </c>
      <c r="F14" s="18" t="s">
        <v>6</v>
      </c>
      <c r="G14" s="135">
        <f>3500+1290+150+70</f>
        <v>5010</v>
      </c>
      <c r="H14" s="135"/>
      <c r="I14" s="90">
        <f t="shared" si="0"/>
        <v>0</v>
      </c>
    </row>
    <row r="15" spans="2:9" ht="12.75" customHeight="1">
      <c r="B15" s="14"/>
      <c r="C15" s="15"/>
      <c r="D15" s="15"/>
      <c r="E15" s="16"/>
      <c r="F15" s="15"/>
      <c r="G15" s="33"/>
      <c r="H15" s="33"/>
      <c r="I15" s="90">
        <f t="shared" si="0"/>
      </c>
    </row>
    <row r="16" spans="2:9" ht="12.75" customHeight="1">
      <c r="B16" s="14"/>
      <c r="C16" s="15"/>
      <c r="D16" s="15"/>
      <c r="E16" s="16"/>
      <c r="F16" s="15"/>
      <c r="G16" s="37"/>
      <c r="H16" s="37"/>
      <c r="I16" s="90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83</v>
      </c>
      <c r="G17" s="37">
        <f>SUM(G18:G27)</f>
        <v>15300</v>
      </c>
      <c r="H17" s="37">
        <f>SUM(H18:H27)</f>
        <v>0</v>
      </c>
      <c r="I17" s="127">
        <f t="shared" si="0"/>
        <v>0</v>
      </c>
    </row>
    <row r="18" spans="2:9" ht="12.75" customHeight="1">
      <c r="B18" s="14"/>
      <c r="C18" s="15"/>
      <c r="D18" s="15"/>
      <c r="E18" s="16">
        <v>613100</v>
      </c>
      <c r="F18" s="15" t="s">
        <v>7</v>
      </c>
      <c r="G18" s="33">
        <v>300</v>
      </c>
      <c r="H18" s="33"/>
      <c r="I18" s="90">
        <f t="shared" si="0"/>
        <v>0</v>
      </c>
    </row>
    <row r="19" spans="2:9" ht="12.75" customHeight="1">
      <c r="B19" s="14"/>
      <c r="C19" s="15"/>
      <c r="D19" s="15"/>
      <c r="E19" s="16">
        <v>613200</v>
      </c>
      <c r="F19" s="15" t="s">
        <v>8</v>
      </c>
      <c r="G19" s="33">
        <v>0</v>
      </c>
      <c r="H19" s="33"/>
      <c r="I19" s="90">
        <f t="shared" si="0"/>
      </c>
    </row>
    <row r="20" spans="2:9" ht="12.75" customHeight="1">
      <c r="B20" s="14"/>
      <c r="C20" s="15"/>
      <c r="D20" s="15"/>
      <c r="E20" s="16">
        <v>613300</v>
      </c>
      <c r="F20" s="26" t="s">
        <v>109</v>
      </c>
      <c r="G20" s="33">
        <v>0</v>
      </c>
      <c r="H20" s="33"/>
      <c r="I20" s="90">
        <f t="shared" si="0"/>
      </c>
    </row>
    <row r="21" spans="2:9" ht="12.75" customHeight="1">
      <c r="B21" s="14"/>
      <c r="C21" s="15"/>
      <c r="D21" s="15"/>
      <c r="E21" s="16">
        <v>613400</v>
      </c>
      <c r="F21" s="15" t="s">
        <v>84</v>
      </c>
      <c r="G21" s="33">
        <v>0</v>
      </c>
      <c r="H21" s="33"/>
      <c r="I21" s="90">
        <f t="shared" si="0"/>
      </c>
    </row>
    <row r="22" spans="2:9" ht="12.75" customHeight="1">
      <c r="B22" s="14"/>
      <c r="C22" s="15"/>
      <c r="D22" s="15"/>
      <c r="E22" s="16">
        <v>613500</v>
      </c>
      <c r="F22" s="15" t="s">
        <v>9</v>
      </c>
      <c r="G22" s="33">
        <v>0</v>
      </c>
      <c r="H22" s="33"/>
      <c r="I22" s="90">
        <f t="shared" si="0"/>
      </c>
    </row>
    <row r="23" spans="2:9" ht="12.75" customHeight="1">
      <c r="B23" s="14"/>
      <c r="C23" s="15"/>
      <c r="D23" s="15"/>
      <c r="E23" s="16">
        <v>613600</v>
      </c>
      <c r="F23" s="26" t="s">
        <v>110</v>
      </c>
      <c r="G23" s="33">
        <v>0</v>
      </c>
      <c r="H23" s="33"/>
      <c r="I23" s="90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10</v>
      </c>
      <c r="G24" s="33">
        <v>0</v>
      </c>
      <c r="H24" s="33"/>
      <c r="I24" s="90">
        <f t="shared" si="0"/>
      </c>
    </row>
    <row r="25" spans="2:11" ht="12.75" customHeight="1">
      <c r="B25" s="14"/>
      <c r="C25" s="15"/>
      <c r="D25" s="15"/>
      <c r="E25" s="16">
        <v>613800</v>
      </c>
      <c r="F25" s="15" t="s">
        <v>85</v>
      </c>
      <c r="G25" s="33">
        <v>0</v>
      </c>
      <c r="H25" s="33"/>
      <c r="I25" s="90">
        <f t="shared" si="0"/>
      </c>
      <c r="K25" s="51"/>
    </row>
    <row r="26" spans="2:9" ht="12.75" customHeight="1">
      <c r="B26" s="14"/>
      <c r="C26" s="15"/>
      <c r="D26" s="15"/>
      <c r="E26" s="16">
        <v>613900</v>
      </c>
      <c r="F26" s="15" t="s">
        <v>86</v>
      </c>
      <c r="G26" s="33">
        <f>7500+7500</f>
        <v>15000</v>
      </c>
      <c r="H26" s="33"/>
      <c r="I26" s="90">
        <f t="shared" si="0"/>
        <v>0</v>
      </c>
    </row>
    <row r="27" spans="2:9" ht="12.75" customHeight="1">
      <c r="B27" s="14"/>
      <c r="C27" s="15"/>
      <c r="D27" s="15"/>
      <c r="E27" s="16">
        <v>613900</v>
      </c>
      <c r="F27" s="134" t="s">
        <v>149</v>
      </c>
      <c r="G27" s="34">
        <v>0</v>
      </c>
      <c r="H27" s="34"/>
      <c r="I27" s="90">
        <f t="shared" si="0"/>
      </c>
    </row>
    <row r="28" spans="2:9" s="1" customFormat="1" ht="12.75" customHeight="1">
      <c r="B28" s="17"/>
      <c r="C28" s="12"/>
      <c r="D28" s="12"/>
      <c r="E28" s="41"/>
      <c r="F28" s="12"/>
      <c r="G28" s="33"/>
      <c r="H28" s="33"/>
      <c r="I28" s="90">
        <f t="shared" si="0"/>
      </c>
    </row>
    <row r="29" spans="2:9" ht="12.75" customHeight="1">
      <c r="B29" s="14"/>
      <c r="C29" s="15"/>
      <c r="D29" s="29"/>
      <c r="E29" s="43"/>
      <c r="F29" s="40"/>
      <c r="G29" s="33"/>
      <c r="H29" s="33"/>
      <c r="I29" s="90">
        <f t="shared" si="0"/>
      </c>
    </row>
    <row r="30" spans="2:9" ht="12.75" customHeight="1">
      <c r="B30" s="14"/>
      <c r="C30" s="15"/>
      <c r="D30" s="15"/>
      <c r="E30" s="42"/>
      <c r="F30" s="15"/>
      <c r="G30" s="33"/>
      <c r="H30" s="33"/>
      <c r="I30" s="90">
        <f t="shared" si="0"/>
      </c>
    </row>
    <row r="31" spans="2:9" ht="12.75" customHeight="1">
      <c r="B31" s="14"/>
      <c r="C31" s="15"/>
      <c r="D31" s="15"/>
      <c r="E31" s="16"/>
      <c r="F31" s="15"/>
      <c r="G31" s="33"/>
      <c r="H31" s="33"/>
      <c r="I31" s="90">
        <f t="shared" si="0"/>
      </c>
    </row>
    <row r="32" spans="2:9" ht="12.75" customHeight="1">
      <c r="B32" s="14"/>
      <c r="C32" s="15"/>
      <c r="D32" s="15"/>
      <c r="E32" s="16"/>
      <c r="F32" s="15"/>
      <c r="G32" s="33"/>
      <c r="H32" s="33"/>
      <c r="I32" s="90">
        <f t="shared" si="0"/>
      </c>
    </row>
    <row r="33" spans="2:9" ht="12.75" customHeight="1">
      <c r="B33" s="14"/>
      <c r="C33" s="15"/>
      <c r="D33" s="15"/>
      <c r="E33" s="16"/>
      <c r="F33" s="15"/>
      <c r="G33" s="33"/>
      <c r="H33" s="33"/>
      <c r="I33" s="90">
        <f t="shared" si="0"/>
      </c>
    </row>
    <row r="34" spans="2:9" ht="12.75" customHeight="1">
      <c r="B34" s="14"/>
      <c r="C34" s="15"/>
      <c r="D34" s="15"/>
      <c r="E34" s="16"/>
      <c r="F34" s="19"/>
      <c r="G34" s="33"/>
      <c r="H34" s="33"/>
      <c r="I34" s="90">
        <f t="shared" si="0"/>
      </c>
    </row>
    <row r="35" spans="2:9" ht="12.75" customHeight="1">
      <c r="B35" s="14"/>
      <c r="C35" s="15"/>
      <c r="D35" s="15"/>
      <c r="E35" s="16"/>
      <c r="F35" s="15"/>
      <c r="G35" s="20"/>
      <c r="H35" s="20"/>
      <c r="I35" s="90">
        <f t="shared" si="0"/>
      </c>
    </row>
    <row r="36" spans="2:9" s="1" customFormat="1" ht="12.75" customHeight="1">
      <c r="B36" s="17"/>
      <c r="C36" s="12"/>
      <c r="D36" s="12"/>
      <c r="E36" s="9">
        <v>821000</v>
      </c>
      <c r="F36" s="12" t="s">
        <v>13</v>
      </c>
      <c r="G36" s="20">
        <f>SUM(G37:G38)</f>
        <v>1500</v>
      </c>
      <c r="H36" s="20">
        <f>SUM(H37:H38)</f>
        <v>0</v>
      </c>
      <c r="I36" s="127">
        <f t="shared" si="0"/>
        <v>0</v>
      </c>
    </row>
    <row r="37" spans="2:9" ht="12.75" customHeight="1">
      <c r="B37" s="14"/>
      <c r="C37" s="15"/>
      <c r="D37" s="15"/>
      <c r="E37" s="16">
        <v>821200</v>
      </c>
      <c r="F37" s="15" t="s">
        <v>14</v>
      </c>
      <c r="G37" s="52">
        <v>0</v>
      </c>
      <c r="H37" s="52"/>
      <c r="I37" s="90">
        <f t="shared" si="0"/>
      </c>
    </row>
    <row r="38" spans="2:9" ht="12.75" customHeight="1">
      <c r="B38" s="14"/>
      <c r="C38" s="15"/>
      <c r="D38" s="15"/>
      <c r="E38" s="16">
        <v>821300</v>
      </c>
      <c r="F38" s="15" t="s">
        <v>15</v>
      </c>
      <c r="G38" s="33">
        <v>1500</v>
      </c>
      <c r="H38" s="33"/>
      <c r="I38" s="90">
        <f t="shared" si="0"/>
        <v>0</v>
      </c>
    </row>
    <row r="39" spans="2:9" ht="12.75" customHeight="1">
      <c r="B39" s="14"/>
      <c r="C39" s="15"/>
      <c r="D39" s="15"/>
      <c r="E39" s="16"/>
      <c r="F39" s="15"/>
      <c r="G39" s="33"/>
      <c r="H39" s="33"/>
      <c r="I39" s="90">
        <f t="shared" si="0"/>
      </c>
    </row>
    <row r="40" spans="2:9" ht="12.75" customHeight="1">
      <c r="B40" s="14"/>
      <c r="C40" s="15"/>
      <c r="D40" s="15"/>
      <c r="E40" s="16"/>
      <c r="F40" s="15"/>
      <c r="G40" s="20"/>
      <c r="H40" s="20"/>
      <c r="I40" s="90">
        <f t="shared" si="0"/>
      </c>
    </row>
    <row r="41" spans="2:9" s="1" customFormat="1" ht="12.75" customHeight="1">
      <c r="B41" s="17"/>
      <c r="C41" s="12"/>
      <c r="D41" s="12"/>
      <c r="E41" s="9"/>
      <c r="F41" s="12" t="s">
        <v>16</v>
      </c>
      <c r="G41" s="20">
        <v>2</v>
      </c>
      <c r="H41" s="20"/>
      <c r="I41" s="90"/>
    </row>
    <row r="42" spans="2:9" s="1" customFormat="1" ht="12.75" customHeight="1">
      <c r="B42" s="17"/>
      <c r="C42" s="12"/>
      <c r="D42" s="12"/>
      <c r="E42" s="9"/>
      <c r="F42" s="12" t="s">
        <v>32</v>
      </c>
      <c r="G42" s="20">
        <f>G7+G13+G17+G36</f>
        <v>69410</v>
      </c>
      <c r="H42" s="20">
        <f>H7+H13+H17+H36</f>
        <v>0</v>
      </c>
      <c r="I42" s="127">
        <f t="shared" si="0"/>
        <v>0</v>
      </c>
    </row>
    <row r="43" spans="2:9" s="1" customFormat="1" ht="12.75" customHeight="1">
      <c r="B43" s="17"/>
      <c r="C43" s="12"/>
      <c r="D43" s="12"/>
      <c r="E43" s="9"/>
      <c r="F43" s="12" t="s">
        <v>17</v>
      </c>
      <c r="G43" s="20"/>
      <c r="H43" s="20"/>
      <c r="I43" s="92"/>
    </row>
    <row r="44" spans="2:9" s="1" customFormat="1" ht="12.75" customHeight="1">
      <c r="B44" s="17"/>
      <c r="C44" s="12"/>
      <c r="D44" s="12"/>
      <c r="E44" s="9"/>
      <c r="F44" s="12" t="s">
        <v>18</v>
      </c>
      <c r="G44" s="33"/>
      <c r="H44" s="33"/>
      <c r="I44" s="91"/>
    </row>
    <row r="45" spans="2:9" ht="12.75" customHeight="1" thickBot="1">
      <c r="B45" s="21"/>
      <c r="C45" s="22"/>
      <c r="D45" s="22"/>
      <c r="E45" s="23"/>
      <c r="F45" s="22"/>
      <c r="G45" s="22"/>
      <c r="H45" s="22"/>
      <c r="I45" s="93"/>
    </row>
    <row r="47" ht="12.75">
      <c r="B47" s="51"/>
    </row>
  </sheetData>
  <sheetProtection/>
  <mergeCells count="2">
    <mergeCell ref="B2:H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2"/>
  <dimension ref="B2:K50"/>
  <sheetViews>
    <sheetView workbookViewId="0" topLeftCell="A1">
      <selection activeCell="I3" sqref="I3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57421875" style="24" customWidth="1"/>
    <col min="6" max="6" width="43.7109375" style="13" customWidth="1"/>
    <col min="7" max="8" width="15.7109375" style="13" customWidth="1"/>
    <col min="9" max="9" width="8.7109375" style="80" customWidth="1"/>
    <col min="10" max="16384" width="9.140625" style="13" customWidth="1"/>
  </cols>
  <sheetData>
    <row r="2" spans="2:9" s="67" customFormat="1" ht="15" customHeight="1">
      <c r="B2" s="145" t="s">
        <v>79</v>
      </c>
      <c r="C2" s="145"/>
      <c r="D2" s="145"/>
      <c r="E2" s="145"/>
      <c r="F2" s="145"/>
      <c r="G2" s="145"/>
      <c r="H2" s="145"/>
      <c r="I2" s="84"/>
    </row>
    <row r="3" spans="5:9" s="1" customFormat="1" ht="16.5" thickBot="1">
      <c r="E3" s="2"/>
      <c r="F3" s="144" t="s">
        <v>165</v>
      </c>
      <c r="G3" s="144"/>
      <c r="H3" s="108">
        <v>90180</v>
      </c>
      <c r="I3" s="109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31" t="s">
        <v>147</v>
      </c>
      <c r="H4" s="131" t="s">
        <v>164</v>
      </c>
      <c r="I4" s="86" t="s">
        <v>139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2">
        <v>6</v>
      </c>
      <c r="H5" s="9">
        <v>7</v>
      </c>
      <c r="I5" s="87">
        <v>8</v>
      </c>
    </row>
    <row r="6" spans="2:9" s="2" customFormat="1" ht="12.75" customHeight="1">
      <c r="B6" s="10" t="s">
        <v>39</v>
      </c>
      <c r="C6" s="11" t="s">
        <v>4</v>
      </c>
      <c r="D6" s="11" t="s">
        <v>45</v>
      </c>
      <c r="E6" s="9"/>
      <c r="F6" s="9"/>
      <c r="G6" s="32"/>
      <c r="H6" s="9"/>
      <c r="I6" s="88"/>
    </row>
    <row r="7" spans="2:9" s="1" customFormat="1" ht="12.75" customHeight="1">
      <c r="B7" s="17"/>
      <c r="C7" s="12"/>
      <c r="D7" s="12"/>
      <c r="E7" s="9">
        <v>611000</v>
      </c>
      <c r="F7" s="12" t="s">
        <v>82</v>
      </c>
      <c r="G7" s="136">
        <f>SUM(G8:G11)</f>
        <v>76050</v>
      </c>
      <c r="H7" s="136">
        <f>SUM(H8:H11)</f>
        <v>0</v>
      </c>
      <c r="I7" s="127">
        <f aca="true" t="shared" si="0" ref="I7:I42">IF(G7=0,"",H7/G7*100)</f>
        <v>0</v>
      </c>
    </row>
    <row r="8" spans="2:10" ht="12.75" customHeight="1">
      <c r="B8" s="14"/>
      <c r="C8" s="15"/>
      <c r="D8" s="15"/>
      <c r="E8" s="16">
        <v>611100</v>
      </c>
      <c r="F8" s="26" t="s">
        <v>107</v>
      </c>
      <c r="G8" s="135">
        <f>61900+3050</f>
        <v>64950</v>
      </c>
      <c r="H8" s="135"/>
      <c r="I8" s="90">
        <f t="shared" si="0"/>
        <v>0</v>
      </c>
      <c r="J8" s="55"/>
    </row>
    <row r="9" spans="2:10" ht="12.75" customHeight="1">
      <c r="B9" s="14"/>
      <c r="C9" s="15"/>
      <c r="D9" s="15"/>
      <c r="E9" s="16">
        <v>611200</v>
      </c>
      <c r="F9" s="15" t="s">
        <v>108</v>
      </c>
      <c r="G9" s="135">
        <v>11100</v>
      </c>
      <c r="H9" s="135"/>
      <c r="I9" s="90">
        <f t="shared" si="0"/>
        <v>0</v>
      </c>
      <c r="J9" s="57"/>
    </row>
    <row r="10" spans="2:11" ht="12.75" customHeight="1">
      <c r="B10" s="14"/>
      <c r="C10" s="15"/>
      <c r="D10" s="15"/>
      <c r="E10" s="16">
        <v>611200</v>
      </c>
      <c r="F10" s="134" t="s">
        <v>148</v>
      </c>
      <c r="G10" s="135">
        <v>0</v>
      </c>
      <c r="H10" s="135"/>
      <c r="I10" s="90">
        <f t="shared" si="0"/>
      </c>
      <c r="K10" s="54"/>
    </row>
    <row r="11" spans="2:9" ht="12.75" customHeight="1">
      <c r="B11" s="14"/>
      <c r="C11" s="15"/>
      <c r="D11" s="15"/>
      <c r="E11" s="16"/>
      <c r="F11" s="26"/>
      <c r="G11" s="135"/>
      <c r="H11" s="135"/>
      <c r="I11" s="90">
        <f t="shared" si="0"/>
      </c>
    </row>
    <row r="12" spans="2:9" ht="12.75" customHeight="1">
      <c r="B12" s="14"/>
      <c r="C12" s="15"/>
      <c r="D12" s="15"/>
      <c r="E12" s="16"/>
      <c r="F12" s="15"/>
      <c r="G12" s="136"/>
      <c r="H12" s="136"/>
      <c r="I12" s="90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81</v>
      </c>
      <c r="G13" s="136">
        <f>G14</f>
        <v>7330</v>
      </c>
      <c r="H13" s="136">
        <f>H14</f>
        <v>0</v>
      </c>
      <c r="I13" s="127">
        <f t="shared" si="0"/>
        <v>0</v>
      </c>
    </row>
    <row r="14" spans="2:9" ht="12.75" customHeight="1">
      <c r="B14" s="14"/>
      <c r="C14" s="15"/>
      <c r="D14" s="15"/>
      <c r="E14" s="16">
        <v>612100</v>
      </c>
      <c r="F14" s="18" t="s">
        <v>6</v>
      </c>
      <c r="G14" s="135">
        <f>7000+330</f>
        <v>7330</v>
      </c>
      <c r="H14" s="135"/>
      <c r="I14" s="90">
        <f t="shared" si="0"/>
        <v>0</v>
      </c>
    </row>
    <row r="15" spans="2:9" ht="12.75" customHeight="1">
      <c r="B15" s="14"/>
      <c r="C15" s="15"/>
      <c r="D15" s="15"/>
      <c r="E15" s="16"/>
      <c r="F15" s="15"/>
      <c r="G15" s="33"/>
      <c r="H15" s="33"/>
      <c r="I15" s="90">
        <f t="shared" si="0"/>
      </c>
    </row>
    <row r="16" spans="2:9" ht="12.75" customHeight="1">
      <c r="B16" s="14"/>
      <c r="C16" s="15"/>
      <c r="D16" s="15"/>
      <c r="E16" s="16"/>
      <c r="F16" s="15"/>
      <c r="G16" s="37"/>
      <c r="H16" s="37"/>
      <c r="I16" s="90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83</v>
      </c>
      <c r="G17" s="37">
        <f>SUM(G18:G27)</f>
        <v>6700</v>
      </c>
      <c r="H17" s="37">
        <f>SUM(H18:H27)</f>
        <v>0</v>
      </c>
      <c r="I17" s="127">
        <f t="shared" si="0"/>
        <v>0</v>
      </c>
    </row>
    <row r="18" spans="2:9" ht="12.75" customHeight="1">
      <c r="B18" s="14"/>
      <c r="C18" s="15"/>
      <c r="D18" s="15"/>
      <c r="E18" s="16">
        <v>613100</v>
      </c>
      <c r="F18" s="15" t="s">
        <v>7</v>
      </c>
      <c r="G18" s="52">
        <v>1000</v>
      </c>
      <c r="H18" s="52"/>
      <c r="I18" s="90">
        <f t="shared" si="0"/>
        <v>0</v>
      </c>
    </row>
    <row r="19" spans="2:9" ht="12.75" customHeight="1">
      <c r="B19" s="14"/>
      <c r="C19" s="15"/>
      <c r="D19" s="15"/>
      <c r="E19" s="16">
        <v>613200</v>
      </c>
      <c r="F19" s="15" t="s">
        <v>8</v>
      </c>
      <c r="G19" s="33">
        <v>0</v>
      </c>
      <c r="H19" s="33"/>
      <c r="I19" s="90">
        <f t="shared" si="0"/>
      </c>
    </row>
    <row r="20" spans="2:9" ht="12.75" customHeight="1">
      <c r="B20" s="14"/>
      <c r="C20" s="15"/>
      <c r="D20" s="15"/>
      <c r="E20" s="16">
        <v>613300</v>
      </c>
      <c r="F20" s="26" t="s">
        <v>109</v>
      </c>
      <c r="G20" s="33">
        <v>2500</v>
      </c>
      <c r="H20" s="33"/>
      <c r="I20" s="90">
        <f t="shared" si="0"/>
        <v>0</v>
      </c>
    </row>
    <row r="21" spans="2:9" ht="12.75" customHeight="1">
      <c r="B21" s="14"/>
      <c r="C21" s="15"/>
      <c r="D21" s="15"/>
      <c r="E21" s="16">
        <v>613400</v>
      </c>
      <c r="F21" s="15" t="s">
        <v>84</v>
      </c>
      <c r="G21" s="52">
        <v>400</v>
      </c>
      <c r="H21" s="52"/>
      <c r="I21" s="90">
        <f t="shared" si="0"/>
        <v>0</v>
      </c>
    </row>
    <row r="22" spans="2:9" ht="12.75" customHeight="1">
      <c r="B22" s="14"/>
      <c r="C22" s="15"/>
      <c r="D22" s="15"/>
      <c r="E22" s="16">
        <v>613500</v>
      </c>
      <c r="F22" s="15" t="s">
        <v>9</v>
      </c>
      <c r="G22" s="33">
        <v>0</v>
      </c>
      <c r="H22" s="33"/>
      <c r="I22" s="90">
        <f t="shared" si="0"/>
      </c>
    </row>
    <row r="23" spans="2:9" ht="12.75" customHeight="1">
      <c r="B23" s="14"/>
      <c r="C23" s="15"/>
      <c r="D23" s="15"/>
      <c r="E23" s="16">
        <v>613600</v>
      </c>
      <c r="F23" s="26" t="s">
        <v>110</v>
      </c>
      <c r="G23" s="33">
        <v>0</v>
      </c>
      <c r="H23" s="33"/>
      <c r="I23" s="90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10</v>
      </c>
      <c r="G24" s="33">
        <v>400</v>
      </c>
      <c r="H24" s="33"/>
      <c r="I24" s="90">
        <f t="shared" si="0"/>
        <v>0</v>
      </c>
    </row>
    <row r="25" spans="2:9" ht="12.75" customHeight="1">
      <c r="B25" s="14"/>
      <c r="C25" s="15"/>
      <c r="D25" s="15"/>
      <c r="E25" s="16">
        <v>613800</v>
      </c>
      <c r="F25" s="15" t="s">
        <v>85</v>
      </c>
      <c r="G25" s="33">
        <v>0</v>
      </c>
      <c r="H25" s="33"/>
      <c r="I25" s="90">
        <f t="shared" si="0"/>
      </c>
    </row>
    <row r="26" spans="2:9" ht="12.75" customHeight="1">
      <c r="B26" s="14"/>
      <c r="C26" s="15"/>
      <c r="D26" s="15"/>
      <c r="E26" s="16">
        <v>613900</v>
      </c>
      <c r="F26" s="15" t="s">
        <v>86</v>
      </c>
      <c r="G26" s="52">
        <v>2400</v>
      </c>
      <c r="H26" s="52"/>
      <c r="I26" s="90">
        <f t="shared" si="0"/>
        <v>0</v>
      </c>
    </row>
    <row r="27" spans="2:9" ht="12.75" customHeight="1">
      <c r="B27" s="14"/>
      <c r="C27" s="15"/>
      <c r="D27" s="15"/>
      <c r="E27" s="16">
        <v>613900</v>
      </c>
      <c r="F27" s="134" t="s">
        <v>149</v>
      </c>
      <c r="G27" s="71">
        <v>0</v>
      </c>
      <c r="H27" s="71"/>
      <c r="I27" s="90">
        <f t="shared" si="0"/>
      </c>
    </row>
    <row r="28" spans="2:9" s="1" customFormat="1" ht="12.75" customHeight="1">
      <c r="B28" s="17"/>
      <c r="C28" s="12"/>
      <c r="D28" s="12"/>
      <c r="E28" s="41"/>
      <c r="F28" s="12"/>
      <c r="G28" s="52"/>
      <c r="H28" s="52"/>
      <c r="I28" s="90">
        <f t="shared" si="0"/>
      </c>
    </row>
    <row r="29" spans="2:9" ht="12.75" customHeight="1">
      <c r="B29" s="14"/>
      <c r="C29" s="15"/>
      <c r="D29" s="29"/>
      <c r="E29" s="43"/>
      <c r="F29" s="40"/>
      <c r="G29" s="52"/>
      <c r="H29" s="52"/>
      <c r="I29" s="90">
        <f t="shared" si="0"/>
      </c>
    </row>
    <row r="30" spans="2:9" ht="12.75" customHeight="1">
      <c r="B30" s="14"/>
      <c r="C30" s="15"/>
      <c r="D30" s="15"/>
      <c r="E30" s="42"/>
      <c r="F30" s="15"/>
      <c r="G30" s="52"/>
      <c r="H30" s="52"/>
      <c r="I30" s="90">
        <f t="shared" si="0"/>
      </c>
    </row>
    <row r="31" spans="2:9" ht="12.75" customHeight="1">
      <c r="B31" s="14"/>
      <c r="C31" s="15"/>
      <c r="D31" s="15"/>
      <c r="E31" s="16"/>
      <c r="F31" s="15"/>
      <c r="G31" s="52"/>
      <c r="H31" s="52"/>
      <c r="I31" s="90">
        <f t="shared" si="0"/>
      </c>
    </row>
    <row r="32" spans="2:9" ht="12.75" customHeight="1">
      <c r="B32" s="14"/>
      <c r="C32" s="15"/>
      <c r="D32" s="15"/>
      <c r="E32" s="16"/>
      <c r="F32" s="15"/>
      <c r="G32" s="52"/>
      <c r="H32" s="52"/>
      <c r="I32" s="90">
        <f t="shared" si="0"/>
      </c>
    </row>
    <row r="33" spans="2:9" ht="12.75" customHeight="1">
      <c r="B33" s="14"/>
      <c r="C33" s="15"/>
      <c r="D33" s="15"/>
      <c r="E33" s="16"/>
      <c r="F33" s="15"/>
      <c r="G33" s="52"/>
      <c r="H33" s="52"/>
      <c r="I33" s="90">
        <f t="shared" si="0"/>
      </c>
    </row>
    <row r="34" spans="2:9" ht="12.75" customHeight="1">
      <c r="B34" s="14"/>
      <c r="C34" s="15"/>
      <c r="D34" s="15"/>
      <c r="E34" s="16"/>
      <c r="F34" s="19"/>
      <c r="G34" s="52"/>
      <c r="H34" s="52"/>
      <c r="I34" s="90">
        <f t="shared" si="0"/>
      </c>
    </row>
    <row r="35" spans="2:9" ht="12.75" customHeight="1">
      <c r="B35" s="14"/>
      <c r="C35" s="15"/>
      <c r="D35" s="15"/>
      <c r="E35" s="16"/>
      <c r="F35" s="15"/>
      <c r="G35" s="63"/>
      <c r="H35" s="63"/>
      <c r="I35" s="90">
        <f t="shared" si="0"/>
      </c>
    </row>
    <row r="36" spans="2:9" s="1" customFormat="1" ht="12.75" customHeight="1">
      <c r="B36" s="17"/>
      <c r="C36" s="12"/>
      <c r="D36" s="12"/>
      <c r="E36" s="9">
        <v>821000</v>
      </c>
      <c r="F36" s="12" t="s">
        <v>13</v>
      </c>
      <c r="G36" s="63">
        <f>SUM(G37:G38)</f>
        <v>2500</v>
      </c>
      <c r="H36" s="63">
        <f>SUM(H37:H38)</f>
        <v>0</v>
      </c>
      <c r="I36" s="127">
        <f t="shared" si="0"/>
        <v>0</v>
      </c>
    </row>
    <row r="37" spans="2:9" ht="12.75" customHeight="1">
      <c r="B37" s="14"/>
      <c r="C37" s="15"/>
      <c r="D37" s="15"/>
      <c r="E37" s="16">
        <v>821200</v>
      </c>
      <c r="F37" s="15" t="s">
        <v>14</v>
      </c>
      <c r="G37" s="52">
        <v>0</v>
      </c>
      <c r="H37" s="52"/>
      <c r="I37" s="90">
        <f t="shared" si="0"/>
      </c>
    </row>
    <row r="38" spans="2:9" ht="12.75" customHeight="1">
      <c r="B38" s="14"/>
      <c r="C38" s="15"/>
      <c r="D38" s="15"/>
      <c r="E38" s="16">
        <v>821300</v>
      </c>
      <c r="F38" s="15" t="s">
        <v>15</v>
      </c>
      <c r="G38" s="52">
        <v>2500</v>
      </c>
      <c r="H38" s="52"/>
      <c r="I38" s="90">
        <f t="shared" si="0"/>
        <v>0</v>
      </c>
    </row>
    <row r="39" spans="2:9" ht="12.75" customHeight="1">
      <c r="B39" s="14"/>
      <c r="C39" s="15"/>
      <c r="D39" s="15"/>
      <c r="E39" s="16"/>
      <c r="F39" s="15"/>
      <c r="G39" s="33"/>
      <c r="H39" s="33"/>
      <c r="I39" s="90">
        <f t="shared" si="0"/>
      </c>
    </row>
    <row r="40" spans="2:9" ht="12.75" customHeight="1">
      <c r="B40" s="14"/>
      <c r="C40" s="15"/>
      <c r="D40" s="15"/>
      <c r="E40" s="16"/>
      <c r="F40" s="15"/>
      <c r="G40" s="20"/>
      <c r="H40" s="20"/>
      <c r="I40" s="90">
        <f t="shared" si="0"/>
      </c>
    </row>
    <row r="41" spans="2:9" s="1" customFormat="1" ht="12.75" customHeight="1">
      <c r="B41" s="17"/>
      <c r="C41" s="12"/>
      <c r="D41" s="12"/>
      <c r="E41" s="9"/>
      <c r="F41" s="12" t="s">
        <v>16</v>
      </c>
      <c r="G41" s="63">
        <v>3</v>
      </c>
      <c r="H41" s="63"/>
      <c r="I41" s="90"/>
    </row>
    <row r="42" spans="2:9" s="1" customFormat="1" ht="12.75" customHeight="1">
      <c r="B42" s="17"/>
      <c r="C42" s="12"/>
      <c r="D42" s="12"/>
      <c r="E42" s="9"/>
      <c r="F42" s="12" t="s">
        <v>32</v>
      </c>
      <c r="G42" s="20">
        <f>G7+G13+G17+G36</f>
        <v>92580</v>
      </c>
      <c r="H42" s="20">
        <f>H7+H13+H17+H36</f>
        <v>0</v>
      </c>
      <c r="I42" s="127">
        <f t="shared" si="0"/>
        <v>0</v>
      </c>
    </row>
    <row r="43" spans="2:9" s="1" customFormat="1" ht="12.75" customHeight="1">
      <c r="B43" s="17"/>
      <c r="C43" s="12"/>
      <c r="D43" s="12"/>
      <c r="E43" s="9"/>
      <c r="F43" s="12" t="s">
        <v>17</v>
      </c>
      <c r="G43" s="20"/>
      <c r="H43" s="20"/>
      <c r="I43" s="89"/>
    </row>
    <row r="44" spans="2:9" s="1" customFormat="1" ht="12.75" customHeight="1">
      <c r="B44" s="17"/>
      <c r="C44" s="12"/>
      <c r="D44" s="12"/>
      <c r="E44" s="9"/>
      <c r="F44" s="12" t="s">
        <v>18</v>
      </c>
      <c r="G44" s="20"/>
      <c r="H44" s="20"/>
      <c r="I44" s="89"/>
    </row>
    <row r="45" spans="2:9" ht="12.75" customHeight="1" thickBot="1">
      <c r="B45" s="21"/>
      <c r="C45" s="22"/>
      <c r="D45" s="22"/>
      <c r="E45" s="23"/>
      <c r="F45" s="22"/>
      <c r="G45" s="22"/>
      <c r="H45" s="22"/>
      <c r="I45" s="93"/>
    </row>
    <row r="47" ht="12.75">
      <c r="B47" s="51"/>
    </row>
    <row r="48" ht="12.75">
      <c r="B48" s="51"/>
    </row>
    <row r="49" ht="12.75">
      <c r="B49" s="51"/>
    </row>
    <row r="50" ht="12.75">
      <c r="B50" s="51"/>
    </row>
  </sheetData>
  <sheetProtection/>
  <mergeCells count="2">
    <mergeCell ref="B2:H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6"/>
  <dimension ref="B2:K50"/>
  <sheetViews>
    <sheetView workbookViewId="0" topLeftCell="A1">
      <selection activeCell="H4" sqref="H4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57421875" style="24" customWidth="1"/>
    <col min="6" max="6" width="43.7109375" style="13" customWidth="1"/>
    <col min="7" max="8" width="15.7109375" style="13" customWidth="1"/>
    <col min="9" max="9" width="8.7109375" style="80" customWidth="1"/>
    <col min="10" max="16384" width="9.140625" style="13" customWidth="1"/>
  </cols>
  <sheetData>
    <row r="2" spans="2:9" ht="15" customHeight="1">
      <c r="B2" s="146" t="s">
        <v>166</v>
      </c>
      <c r="C2" s="146"/>
      <c r="D2" s="146"/>
      <c r="E2" s="146"/>
      <c r="F2" s="146"/>
      <c r="G2" s="146"/>
      <c r="H2" s="146"/>
      <c r="I2" s="84"/>
    </row>
    <row r="3" spans="5:9" s="1" customFormat="1" ht="16.5" thickBot="1">
      <c r="E3" s="2"/>
      <c r="F3" s="144" t="s">
        <v>165</v>
      </c>
      <c r="G3" s="144"/>
      <c r="H3" s="108">
        <v>189200</v>
      </c>
      <c r="I3" s="109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31" t="s">
        <v>147</v>
      </c>
      <c r="H4" s="131" t="s">
        <v>164</v>
      </c>
      <c r="I4" s="86" t="s">
        <v>139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2">
        <v>6</v>
      </c>
      <c r="H5" s="9">
        <v>7</v>
      </c>
      <c r="I5" s="87">
        <v>8</v>
      </c>
    </row>
    <row r="6" spans="2:9" s="2" customFormat="1" ht="12.75" customHeight="1">
      <c r="B6" s="10" t="s">
        <v>39</v>
      </c>
      <c r="C6" s="11" t="s">
        <v>4</v>
      </c>
      <c r="D6" s="11" t="s">
        <v>66</v>
      </c>
      <c r="E6" s="9"/>
      <c r="F6" s="9"/>
      <c r="G6" s="32"/>
      <c r="H6" s="9"/>
      <c r="I6" s="88"/>
    </row>
    <row r="7" spans="2:9" s="1" customFormat="1" ht="12.75" customHeight="1">
      <c r="B7" s="17"/>
      <c r="C7" s="12"/>
      <c r="D7" s="12"/>
      <c r="E7" s="9">
        <v>611000</v>
      </c>
      <c r="F7" s="12" t="s">
        <v>82</v>
      </c>
      <c r="G7" s="136">
        <f>SUM(G8:G11)</f>
        <v>108460</v>
      </c>
      <c r="H7" s="136">
        <f>SUM(H8:H11)</f>
        <v>0</v>
      </c>
      <c r="I7" s="89">
        <f aca="true" t="shared" si="0" ref="I7:I44">IF(G7=0,"",H7/G7*100)</f>
        <v>0</v>
      </c>
    </row>
    <row r="8" spans="2:10" ht="12.75" customHeight="1">
      <c r="B8" s="14"/>
      <c r="C8" s="15"/>
      <c r="D8" s="15"/>
      <c r="E8" s="16">
        <v>611100</v>
      </c>
      <c r="F8" s="26" t="s">
        <v>107</v>
      </c>
      <c r="G8" s="135">
        <f>72200+3500+12260</f>
        <v>87960</v>
      </c>
      <c r="H8" s="135"/>
      <c r="I8" s="90">
        <f t="shared" si="0"/>
        <v>0</v>
      </c>
      <c r="J8" s="55"/>
    </row>
    <row r="9" spans="2:10" ht="12.75" customHeight="1">
      <c r="B9" s="14"/>
      <c r="C9" s="15"/>
      <c r="D9" s="15"/>
      <c r="E9" s="16">
        <v>611200</v>
      </c>
      <c r="F9" s="15" t="s">
        <v>108</v>
      </c>
      <c r="G9" s="135">
        <f>18200+2300</f>
        <v>20500</v>
      </c>
      <c r="H9" s="135"/>
      <c r="I9" s="90">
        <f t="shared" si="0"/>
        <v>0</v>
      </c>
      <c r="J9" s="57"/>
    </row>
    <row r="10" spans="2:11" ht="12.75" customHeight="1">
      <c r="B10" s="14"/>
      <c r="C10" s="15"/>
      <c r="D10" s="15"/>
      <c r="E10" s="16">
        <v>611200</v>
      </c>
      <c r="F10" s="134" t="s">
        <v>148</v>
      </c>
      <c r="G10" s="135">
        <v>0</v>
      </c>
      <c r="H10" s="135"/>
      <c r="I10" s="90">
        <f t="shared" si="0"/>
      </c>
      <c r="K10" s="54"/>
    </row>
    <row r="11" spans="2:9" ht="12.75" customHeight="1">
      <c r="B11" s="14"/>
      <c r="C11" s="15"/>
      <c r="D11" s="15"/>
      <c r="E11" s="16"/>
      <c r="F11" s="26"/>
      <c r="G11" s="135"/>
      <c r="H11" s="135"/>
      <c r="I11" s="89">
        <f t="shared" si="0"/>
      </c>
    </row>
    <row r="12" spans="2:9" ht="12.75" customHeight="1">
      <c r="B12" s="14"/>
      <c r="C12" s="15"/>
      <c r="D12" s="15"/>
      <c r="E12" s="16"/>
      <c r="F12" s="15"/>
      <c r="G12" s="136"/>
      <c r="H12" s="136"/>
      <c r="I12" s="89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81</v>
      </c>
      <c r="G13" s="136">
        <f>G14</f>
        <v>10030</v>
      </c>
      <c r="H13" s="136">
        <f>H14</f>
        <v>0</v>
      </c>
      <c r="I13" s="89">
        <f t="shared" si="0"/>
        <v>0</v>
      </c>
    </row>
    <row r="14" spans="2:9" ht="12.75" customHeight="1">
      <c r="B14" s="14"/>
      <c r="C14" s="15"/>
      <c r="D14" s="15"/>
      <c r="E14" s="16">
        <v>612100</v>
      </c>
      <c r="F14" s="18" t="s">
        <v>6</v>
      </c>
      <c r="G14" s="135">
        <f>8300+380+1350</f>
        <v>10030</v>
      </c>
      <c r="H14" s="135"/>
      <c r="I14" s="90">
        <f t="shared" si="0"/>
        <v>0</v>
      </c>
    </row>
    <row r="15" spans="2:9" ht="12.75" customHeight="1">
      <c r="B15" s="14"/>
      <c r="C15" s="15"/>
      <c r="D15" s="15"/>
      <c r="E15" s="16"/>
      <c r="F15" s="15"/>
      <c r="G15" s="33"/>
      <c r="H15" s="33"/>
      <c r="I15" s="89">
        <f t="shared" si="0"/>
      </c>
    </row>
    <row r="16" spans="2:9" ht="12.75" customHeight="1">
      <c r="B16" s="14"/>
      <c r="C16" s="15"/>
      <c r="D16" s="15"/>
      <c r="E16" s="16"/>
      <c r="F16" s="15"/>
      <c r="G16" s="37"/>
      <c r="H16" s="37"/>
      <c r="I16" s="89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83</v>
      </c>
      <c r="G17" s="37">
        <f>SUM(G18:G27)</f>
        <v>8000</v>
      </c>
      <c r="H17" s="37">
        <f>SUM(H18:H27)</f>
        <v>0</v>
      </c>
      <c r="I17" s="89">
        <f t="shared" si="0"/>
        <v>0</v>
      </c>
    </row>
    <row r="18" spans="2:9" ht="12.75" customHeight="1">
      <c r="B18" s="14"/>
      <c r="C18" s="15"/>
      <c r="D18" s="15"/>
      <c r="E18" s="16">
        <v>613100</v>
      </c>
      <c r="F18" s="15" t="s">
        <v>7</v>
      </c>
      <c r="G18" s="52">
        <v>5000</v>
      </c>
      <c r="H18" s="52"/>
      <c r="I18" s="90">
        <f t="shared" si="0"/>
        <v>0</v>
      </c>
    </row>
    <row r="19" spans="2:9" ht="12.75" customHeight="1">
      <c r="B19" s="14"/>
      <c r="C19" s="15"/>
      <c r="D19" s="15"/>
      <c r="E19" s="16">
        <v>613200</v>
      </c>
      <c r="F19" s="15" t="s">
        <v>8</v>
      </c>
      <c r="G19" s="33">
        <v>0</v>
      </c>
      <c r="H19" s="33"/>
      <c r="I19" s="90">
        <f t="shared" si="0"/>
      </c>
    </row>
    <row r="20" spans="2:9" ht="12.75" customHeight="1">
      <c r="B20" s="14"/>
      <c r="C20" s="15"/>
      <c r="D20" s="15"/>
      <c r="E20" s="16">
        <v>613300</v>
      </c>
      <c r="F20" s="26" t="s">
        <v>109</v>
      </c>
      <c r="G20" s="33">
        <v>700</v>
      </c>
      <c r="H20" s="33"/>
      <c r="I20" s="90">
        <f t="shared" si="0"/>
        <v>0</v>
      </c>
    </row>
    <row r="21" spans="2:9" ht="12.75" customHeight="1">
      <c r="B21" s="14"/>
      <c r="C21" s="15"/>
      <c r="D21" s="15"/>
      <c r="E21" s="16">
        <v>613400</v>
      </c>
      <c r="F21" s="15" t="s">
        <v>84</v>
      </c>
      <c r="G21" s="52">
        <v>500</v>
      </c>
      <c r="H21" s="52"/>
      <c r="I21" s="90">
        <f t="shared" si="0"/>
        <v>0</v>
      </c>
    </row>
    <row r="22" spans="2:9" ht="12.75" customHeight="1">
      <c r="B22" s="14"/>
      <c r="C22" s="15"/>
      <c r="D22" s="15"/>
      <c r="E22" s="16">
        <v>613500</v>
      </c>
      <c r="F22" s="15" t="s">
        <v>9</v>
      </c>
      <c r="G22" s="33">
        <v>0</v>
      </c>
      <c r="H22" s="33"/>
      <c r="I22" s="90">
        <f t="shared" si="0"/>
      </c>
    </row>
    <row r="23" spans="2:9" ht="12.75" customHeight="1">
      <c r="B23" s="14"/>
      <c r="C23" s="15"/>
      <c r="D23" s="15"/>
      <c r="E23" s="16">
        <v>613600</v>
      </c>
      <c r="F23" s="26" t="s">
        <v>110</v>
      </c>
      <c r="G23" s="33">
        <v>0</v>
      </c>
      <c r="H23" s="33"/>
      <c r="I23" s="90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10</v>
      </c>
      <c r="G24" s="33">
        <v>300</v>
      </c>
      <c r="H24" s="33"/>
      <c r="I24" s="90">
        <f t="shared" si="0"/>
        <v>0</v>
      </c>
    </row>
    <row r="25" spans="2:9" ht="12.75" customHeight="1">
      <c r="B25" s="14"/>
      <c r="C25" s="15"/>
      <c r="D25" s="15"/>
      <c r="E25" s="16">
        <v>613800</v>
      </c>
      <c r="F25" s="15" t="s">
        <v>85</v>
      </c>
      <c r="G25" s="33">
        <v>0</v>
      </c>
      <c r="H25" s="33"/>
      <c r="I25" s="90">
        <f t="shared" si="0"/>
      </c>
    </row>
    <row r="26" spans="2:9" ht="12.75" customHeight="1">
      <c r="B26" s="14"/>
      <c r="C26" s="15"/>
      <c r="D26" s="15"/>
      <c r="E26" s="16">
        <v>613900</v>
      </c>
      <c r="F26" s="15" t="s">
        <v>86</v>
      </c>
      <c r="G26" s="52">
        <v>1500</v>
      </c>
      <c r="H26" s="52"/>
      <c r="I26" s="90">
        <f t="shared" si="0"/>
        <v>0</v>
      </c>
    </row>
    <row r="27" spans="2:9" ht="12.75" customHeight="1">
      <c r="B27" s="14"/>
      <c r="C27" s="15"/>
      <c r="D27" s="15"/>
      <c r="E27" s="16">
        <v>613900</v>
      </c>
      <c r="F27" s="134" t="s">
        <v>149</v>
      </c>
      <c r="G27" s="71">
        <v>0</v>
      </c>
      <c r="H27" s="71"/>
      <c r="I27" s="90">
        <f t="shared" si="0"/>
      </c>
    </row>
    <row r="28" spans="2:9" s="1" customFormat="1" ht="12.75" customHeight="1">
      <c r="B28" s="17"/>
      <c r="C28" s="12"/>
      <c r="D28" s="12"/>
      <c r="E28" s="41"/>
      <c r="F28" s="12"/>
      <c r="G28" s="52"/>
      <c r="H28" s="52"/>
      <c r="I28" s="89">
        <f t="shared" si="0"/>
      </c>
    </row>
    <row r="29" spans="2:9" ht="12.75" customHeight="1">
      <c r="B29" s="14"/>
      <c r="C29" s="15"/>
      <c r="D29" s="29"/>
      <c r="E29" s="43"/>
      <c r="F29" s="40"/>
      <c r="G29" s="52"/>
      <c r="H29" s="52"/>
      <c r="I29" s="89">
        <f t="shared" si="0"/>
      </c>
    </row>
    <row r="30" spans="2:9" ht="12.75" customHeight="1">
      <c r="B30" s="14"/>
      <c r="C30" s="15"/>
      <c r="D30" s="15"/>
      <c r="E30" s="42"/>
      <c r="F30" s="15"/>
      <c r="G30" s="52"/>
      <c r="H30" s="52"/>
      <c r="I30" s="89">
        <f t="shared" si="0"/>
      </c>
    </row>
    <row r="31" spans="2:9" ht="12.75" customHeight="1">
      <c r="B31" s="14"/>
      <c r="C31" s="15"/>
      <c r="D31" s="15"/>
      <c r="E31" s="16"/>
      <c r="F31" s="15"/>
      <c r="G31" s="52"/>
      <c r="H31" s="52"/>
      <c r="I31" s="89">
        <f t="shared" si="0"/>
      </c>
    </row>
    <row r="32" spans="2:9" ht="12.75" customHeight="1">
      <c r="B32" s="14"/>
      <c r="C32" s="15"/>
      <c r="D32" s="15"/>
      <c r="E32" s="16"/>
      <c r="F32" s="15"/>
      <c r="G32" s="52"/>
      <c r="H32" s="52"/>
      <c r="I32" s="89">
        <f t="shared" si="0"/>
      </c>
    </row>
    <row r="33" spans="2:9" ht="12.75" customHeight="1">
      <c r="B33" s="14"/>
      <c r="C33" s="15"/>
      <c r="D33" s="15"/>
      <c r="E33" s="16"/>
      <c r="F33" s="15"/>
      <c r="G33" s="52"/>
      <c r="H33" s="52"/>
      <c r="I33" s="89">
        <f t="shared" si="0"/>
      </c>
    </row>
    <row r="34" spans="2:9" ht="12.75" customHeight="1">
      <c r="B34" s="14"/>
      <c r="C34" s="15"/>
      <c r="D34" s="15"/>
      <c r="E34" s="16"/>
      <c r="F34" s="19"/>
      <c r="G34" s="52"/>
      <c r="H34" s="52"/>
      <c r="I34" s="89">
        <f t="shared" si="0"/>
      </c>
    </row>
    <row r="35" spans="2:9" ht="12.75" customHeight="1">
      <c r="B35" s="14"/>
      <c r="C35" s="15"/>
      <c r="D35" s="15"/>
      <c r="E35" s="16"/>
      <c r="F35" s="15"/>
      <c r="G35" s="63"/>
      <c r="H35" s="63"/>
      <c r="I35" s="89">
        <f t="shared" si="0"/>
      </c>
    </row>
    <row r="36" spans="2:9" s="1" customFormat="1" ht="12.75" customHeight="1">
      <c r="B36" s="17"/>
      <c r="C36" s="12"/>
      <c r="D36" s="12"/>
      <c r="E36" s="9">
        <v>821000</v>
      </c>
      <c r="F36" s="12" t="s">
        <v>13</v>
      </c>
      <c r="G36" s="63">
        <f>SUM(G37:G38)</f>
        <v>2000</v>
      </c>
      <c r="H36" s="63">
        <f>SUM(H37:H38)</f>
        <v>0</v>
      </c>
      <c r="I36" s="89">
        <f t="shared" si="0"/>
        <v>0</v>
      </c>
    </row>
    <row r="37" spans="2:9" ht="12.75" customHeight="1">
      <c r="B37" s="14"/>
      <c r="C37" s="15"/>
      <c r="D37" s="15"/>
      <c r="E37" s="16">
        <v>821200</v>
      </c>
      <c r="F37" s="15" t="s">
        <v>14</v>
      </c>
      <c r="G37" s="52">
        <v>0</v>
      </c>
      <c r="H37" s="52"/>
      <c r="I37" s="90">
        <f t="shared" si="0"/>
      </c>
    </row>
    <row r="38" spans="2:9" ht="12.75" customHeight="1">
      <c r="B38" s="14"/>
      <c r="C38" s="15"/>
      <c r="D38" s="15"/>
      <c r="E38" s="16">
        <v>821300</v>
      </c>
      <c r="F38" s="15" t="s">
        <v>15</v>
      </c>
      <c r="G38" s="52">
        <v>2000</v>
      </c>
      <c r="H38" s="52"/>
      <c r="I38" s="90">
        <f t="shared" si="0"/>
        <v>0</v>
      </c>
    </row>
    <row r="39" spans="2:9" ht="12.75" customHeight="1">
      <c r="B39" s="14"/>
      <c r="C39" s="15"/>
      <c r="D39" s="15"/>
      <c r="E39" s="16"/>
      <c r="F39" s="15"/>
      <c r="G39" s="33"/>
      <c r="H39" s="33"/>
      <c r="I39" s="90">
        <f t="shared" si="0"/>
      </c>
    </row>
    <row r="40" spans="2:9" ht="12.75" customHeight="1">
      <c r="B40" s="14"/>
      <c r="C40" s="15"/>
      <c r="D40" s="15"/>
      <c r="E40" s="16"/>
      <c r="F40" s="15"/>
      <c r="G40" s="20"/>
      <c r="H40" s="20"/>
      <c r="I40" s="90">
        <f t="shared" si="0"/>
      </c>
    </row>
    <row r="41" spans="2:9" s="1" customFormat="1" ht="12.75" customHeight="1">
      <c r="B41" s="17"/>
      <c r="C41" s="12"/>
      <c r="D41" s="12"/>
      <c r="E41" s="9"/>
      <c r="F41" s="12" t="s">
        <v>16</v>
      </c>
      <c r="G41" s="63">
        <v>5</v>
      </c>
      <c r="H41" s="63"/>
      <c r="I41" s="90"/>
    </row>
    <row r="42" spans="2:9" s="1" customFormat="1" ht="12.75" customHeight="1">
      <c r="B42" s="17"/>
      <c r="C42" s="12"/>
      <c r="D42" s="12"/>
      <c r="E42" s="9"/>
      <c r="F42" s="12" t="s">
        <v>32</v>
      </c>
      <c r="G42" s="20">
        <f>G7+G13+G17+G36</f>
        <v>128490</v>
      </c>
      <c r="H42" s="20">
        <f>H7+H13+H17+H36</f>
        <v>0</v>
      </c>
      <c r="I42" s="89">
        <f t="shared" si="0"/>
        <v>0</v>
      </c>
    </row>
    <row r="43" spans="2:9" s="1" customFormat="1" ht="12.75" customHeight="1">
      <c r="B43" s="17"/>
      <c r="C43" s="12"/>
      <c r="D43" s="12"/>
      <c r="E43" s="9"/>
      <c r="F43" s="12" t="s">
        <v>17</v>
      </c>
      <c r="G43" s="20">
        <f>G42+6!G42+5!G42+4!G43+3!G56</f>
        <v>2909330</v>
      </c>
      <c r="H43" s="20">
        <f>H42+6!H42+5!H42+4!H43+3!H56</f>
        <v>0</v>
      </c>
      <c r="I43" s="89">
        <f t="shared" si="0"/>
        <v>0</v>
      </c>
    </row>
    <row r="44" spans="2:9" s="1" customFormat="1" ht="12.75" customHeight="1">
      <c r="B44" s="17"/>
      <c r="C44" s="12"/>
      <c r="D44" s="12"/>
      <c r="E44" s="9"/>
      <c r="F44" s="12" t="s">
        <v>18</v>
      </c>
      <c r="G44" s="20">
        <f>G43</f>
        <v>2909330</v>
      </c>
      <c r="H44" s="20">
        <f>H43</f>
        <v>0</v>
      </c>
      <c r="I44" s="89">
        <f t="shared" si="0"/>
        <v>0</v>
      </c>
    </row>
    <row r="45" spans="2:9" ht="12.75" customHeight="1" thickBot="1">
      <c r="B45" s="21"/>
      <c r="C45" s="22"/>
      <c r="D45" s="22"/>
      <c r="E45" s="23"/>
      <c r="F45" s="22"/>
      <c r="G45" s="22"/>
      <c r="H45" s="22"/>
      <c r="I45" s="93"/>
    </row>
    <row r="47" ht="12.75">
      <c r="B47" s="51"/>
    </row>
    <row r="48" ht="12.75">
      <c r="B48" s="51"/>
    </row>
    <row r="49" ht="12.75">
      <c r="B49" s="51"/>
    </row>
    <row r="50" ht="12.75">
      <c r="B50" s="51"/>
    </row>
  </sheetData>
  <sheetProtection/>
  <mergeCells count="2">
    <mergeCell ref="B2:H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B2:L50"/>
  <sheetViews>
    <sheetView workbookViewId="0" topLeftCell="A1">
      <selection activeCell="H4" sqref="H4"/>
    </sheetView>
  </sheetViews>
  <sheetFormatPr defaultColWidth="9.140625" defaultRowHeight="12.75"/>
  <cols>
    <col min="1" max="1" width="1.57421875" style="13" customWidth="1"/>
    <col min="2" max="2" width="7.00390625" style="13" bestFit="1" customWidth="1"/>
    <col min="3" max="4" width="5.7109375" style="13" bestFit="1" customWidth="1"/>
    <col min="5" max="5" width="10.8515625" style="24" customWidth="1"/>
    <col min="6" max="6" width="43.7109375" style="13" customWidth="1"/>
    <col min="7" max="8" width="15.7109375" style="13" customWidth="1"/>
    <col min="9" max="9" width="8.7109375" style="80" customWidth="1"/>
    <col min="10" max="16384" width="9.140625" style="13" customWidth="1"/>
  </cols>
  <sheetData>
    <row r="2" spans="2:9" s="67" customFormat="1" ht="15" customHeight="1">
      <c r="B2" s="145" t="s">
        <v>46</v>
      </c>
      <c r="C2" s="145"/>
      <c r="D2" s="145"/>
      <c r="E2" s="145"/>
      <c r="F2" s="145"/>
      <c r="G2" s="145"/>
      <c r="H2" s="145"/>
      <c r="I2" s="84"/>
    </row>
    <row r="3" spans="5:9" s="1" customFormat="1" ht="16.5" thickBot="1">
      <c r="E3" s="2"/>
      <c r="F3" s="144" t="s">
        <v>165</v>
      </c>
      <c r="G3" s="144"/>
      <c r="H3" s="108">
        <v>699600</v>
      </c>
      <c r="I3" s="109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31" t="s">
        <v>147</v>
      </c>
      <c r="H4" s="131" t="s">
        <v>164</v>
      </c>
      <c r="I4" s="86" t="s">
        <v>139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2">
        <v>6</v>
      </c>
      <c r="H5" s="9">
        <v>7</v>
      </c>
      <c r="I5" s="87">
        <v>8</v>
      </c>
    </row>
    <row r="6" spans="2:9" s="2" customFormat="1" ht="12.75" customHeight="1">
      <c r="B6" s="10" t="s">
        <v>47</v>
      </c>
      <c r="C6" s="11" t="s">
        <v>4</v>
      </c>
      <c r="D6" s="11" t="s">
        <v>5</v>
      </c>
      <c r="E6" s="9"/>
      <c r="F6" s="9"/>
      <c r="G6" s="32"/>
      <c r="H6" s="9"/>
      <c r="I6" s="88"/>
    </row>
    <row r="7" spans="2:9" s="1" customFormat="1" ht="12.75" customHeight="1">
      <c r="B7" s="17"/>
      <c r="C7" s="12"/>
      <c r="D7" s="12"/>
      <c r="E7" s="9">
        <v>611000</v>
      </c>
      <c r="F7" s="12" t="s">
        <v>82</v>
      </c>
      <c r="G7" s="136">
        <f>SUM(G8:G11)</f>
        <v>229230</v>
      </c>
      <c r="H7" s="136">
        <f>SUM(H8:H11)</f>
        <v>0</v>
      </c>
      <c r="I7" s="89">
        <f aca="true" t="shared" si="0" ref="I7:I44">IF(G7=0,"",H7/G7*100)</f>
        <v>0</v>
      </c>
    </row>
    <row r="8" spans="2:10" ht="12.75" customHeight="1">
      <c r="B8" s="14"/>
      <c r="C8" s="15"/>
      <c r="D8" s="15"/>
      <c r="E8" s="16">
        <v>611100</v>
      </c>
      <c r="F8" s="26" t="s">
        <v>107</v>
      </c>
      <c r="G8" s="135">
        <f>166600+8230</f>
        <v>174830</v>
      </c>
      <c r="H8" s="135"/>
      <c r="I8" s="90">
        <f t="shared" si="0"/>
        <v>0</v>
      </c>
      <c r="J8" s="51"/>
    </row>
    <row r="9" spans="2:9" ht="12.75" customHeight="1">
      <c r="B9" s="14"/>
      <c r="C9" s="15"/>
      <c r="D9" s="15"/>
      <c r="E9" s="16">
        <v>611200</v>
      </c>
      <c r="F9" s="15" t="s">
        <v>108</v>
      </c>
      <c r="G9" s="135">
        <f>51400+3000</f>
        <v>54400</v>
      </c>
      <c r="H9" s="135"/>
      <c r="I9" s="90">
        <f t="shared" si="0"/>
        <v>0</v>
      </c>
    </row>
    <row r="10" spans="2:11" ht="12.75" customHeight="1">
      <c r="B10" s="14"/>
      <c r="C10" s="15"/>
      <c r="D10" s="15"/>
      <c r="E10" s="16">
        <v>611200</v>
      </c>
      <c r="F10" s="134" t="s">
        <v>148</v>
      </c>
      <c r="G10" s="135">
        <v>0</v>
      </c>
      <c r="H10" s="135"/>
      <c r="I10" s="90">
        <f t="shared" si="0"/>
      </c>
      <c r="K10" s="54"/>
    </row>
    <row r="11" spans="2:11" ht="12.75" customHeight="1">
      <c r="B11" s="14"/>
      <c r="C11" s="15"/>
      <c r="D11" s="15"/>
      <c r="E11" s="16"/>
      <c r="F11" s="26"/>
      <c r="G11" s="135"/>
      <c r="H11" s="135"/>
      <c r="I11" s="89">
        <f t="shared" si="0"/>
      </c>
      <c r="K11" s="51"/>
    </row>
    <row r="12" spans="2:11" ht="12.75" customHeight="1">
      <c r="B12" s="14"/>
      <c r="C12" s="15"/>
      <c r="D12" s="15"/>
      <c r="E12" s="16"/>
      <c r="F12" s="15"/>
      <c r="G12" s="136"/>
      <c r="H12" s="136"/>
      <c r="I12" s="89">
        <f t="shared" si="0"/>
      </c>
      <c r="K12" s="51"/>
    </row>
    <row r="13" spans="2:12" s="1" customFormat="1" ht="12.75" customHeight="1">
      <c r="B13" s="17"/>
      <c r="C13" s="12"/>
      <c r="D13" s="12"/>
      <c r="E13" s="9">
        <v>612000</v>
      </c>
      <c r="F13" s="12" t="s">
        <v>81</v>
      </c>
      <c r="G13" s="136">
        <f>G14</f>
        <v>19600</v>
      </c>
      <c r="H13" s="136">
        <f>H14</f>
        <v>0</v>
      </c>
      <c r="I13" s="89">
        <f t="shared" si="0"/>
        <v>0</v>
      </c>
      <c r="K13" s="58"/>
      <c r="L13" s="58"/>
    </row>
    <row r="14" spans="2:9" ht="12.75" customHeight="1">
      <c r="B14" s="14"/>
      <c r="C14" s="15"/>
      <c r="D14" s="15"/>
      <c r="E14" s="16">
        <v>612100</v>
      </c>
      <c r="F14" s="18" t="s">
        <v>6</v>
      </c>
      <c r="G14" s="135">
        <f>18700+900</f>
        <v>19600</v>
      </c>
      <c r="H14" s="135"/>
      <c r="I14" s="90">
        <f t="shared" si="0"/>
        <v>0</v>
      </c>
    </row>
    <row r="15" spans="2:9" ht="12.75" customHeight="1">
      <c r="B15" s="14"/>
      <c r="C15" s="15"/>
      <c r="D15" s="15"/>
      <c r="E15" s="16"/>
      <c r="F15" s="15"/>
      <c r="G15" s="52"/>
      <c r="H15" s="52"/>
      <c r="I15" s="89">
        <f t="shared" si="0"/>
      </c>
    </row>
    <row r="16" spans="2:9" ht="12.75" customHeight="1">
      <c r="B16" s="14"/>
      <c r="C16" s="15"/>
      <c r="D16" s="15"/>
      <c r="E16" s="16"/>
      <c r="F16" s="15"/>
      <c r="G16" s="63"/>
      <c r="H16" s="63"/>
      <c r="I16" s="89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83</v>
      </c>
      <c r="G17" s="37">
        <f>SUM(G18:G27)</f>
        <v>385000</v>
      </c>
      <c r="H17" s="37">
        <f>SUM(H18:H27)</f>
        <v>0</v>
      </c>
      <c r="I17" s="89">
        <f t="shared" si="0"/>
        <v>0</v>
      </c>
    </row>
    <row r="18" spans="2:9" ht="12.75" customHeight="1">
      <c r="B18" s="14"/>
      <c r="C18" s="15"/>
      <c r="D18" s="15"/>
      <c r="E18" s="16">
        <v>613100</v>
      </c>
      <c r="F18" s="15" t="s">
        <v>7</v>
      </c>
      <c r="G18" s="52">
        <v>7000</v>
      </c>
      <c r="H18" s="52"/>
      <c r="I18" s="90">
        <f t="shared" si="0"/>
        <v>0</v>
      </c>
    </row>
    <row r="19" spans="2:9" ht="12.75" customHeight="1">
      <c r="B19" s="14"/>
      <c r="C19" s="15"/>
      <c r="D19" s="15"/>
      <c r="E19" s="16">
        <v>613200</v>
      </c>
      <c r="F19" s="15" t="s">
        <v>8</v>
      </c>
      <c r="G19" s="33">
        <v>105000</v>
      </c>
      <c r="H19" s="33"/>
      <c r="I19" s="90">
        <f t="shared" si="0"/>
        <v>0</v>
      </c>
    </row>
    <row r="20" spans="2:9" ht="12.75" customHeight="1">
      <c r="B20" s="14"/>
      <c r="C20" s="15"/>
      <c r="D20" s="15"/>
      <c r="E20" s="16">
        <v>613300</v>
      </c>
      <c r="F20" s="26" t="s">
        <v>109</v>
      </c>
      <c r="G20" s="33">
        <v>44000</v>
      </c>
      <c r="H20" s="33"/>
      <c r="I20" s="90">
        <f t="shared" si="0"/>
        <v>0</v>
      </c>
    </row>
    <row r="21" spans="2:9" ht="12.75" customHeight="1">
      <c r="B21" s="14"/>
      <c r="C21" s="15"/>
      <c r="D21" s="15"/>
      <c r="E21" s="16">
        <v>613400</v>
      </c>
      <c r="F21" s="15" t="s">
        <v>84</v>
      </c>
      <c r="G21" s="33">
        <v>84000</v>
      </c>
      <c r="H21" s="33"/>
      <c r="I21" s="90">
        <f t="shared" si="0"/>
        <v>0</v>
      </c>
    </row>
    <row r="22" spans="2:9" ht="12.75" customHeight="1">
      <c r="B22" s="14"/>
      <c r="C22" s="15"/>
      <c r="D22" s="15"/>
      <c r="E22" s="16">
        <v>613500</v>
      </c>
      <c r="F22" s="15" t="s">
        <v>9</v>
      </c>
      <c r="G22" s="33">
        <v>39500</v>
      </c>
      <c r="H22" s="33"/>
      <c r="I22" s="90">
        <f t="shared" si="0"/>
        <v>0</v>
      </c>
    </row>
    <row r="23" spans="2:9" ht="12.75" customHeight="1">
      <c r="B23" s="14"/>
      <c r="C23" s="15"/>
      <c r="D23" s="15"/>
      <c r="E23" s="16">
        <v>613600</v>
      </c>
      <c r="F23" s="26" t="s">
        <v>110</v>
      </c>
      <c r="G23" s="33">
        <v>0</v>
      </c>
      <c r="H23" s="33"/>
      <c r="I23" s="90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10</v>
      </c>
      <c r="G24" s="33">
        <v>42000</v>
      </c>
      <c r="H24" s="33"/>
      <c r="I24" s="90">
        <f t="shared" si="0"/>
        <v>0</v>
      </c>
    </row>
    <row r="25" spans="2:10" ht="12.75" customHeight="1">
      <c r="B25" s="14"/>
      <c r="C25" s="15"/>
      <c r="D25" s="15"/>
      <c r="E25" s="16">
        <v>613800</v>
      </c>
      <c r="F25" s="15" t="s">
        <v>85</v>
      </c>
      <c r="G25" s="33">
        <v>8500</v>
      </c>
      <c r="H25" s="33"/>
      <c r="I25" s="90">
        <f t="shared" si="0"/>
        <v>0</v>
      </c>
      <c r="J25" s="51"/>
    </row>
    <row r="26" spans="2:9" ht="12.75" customHeight="1">
      <c r="B26" s="14"/>
      <c r="C26" s="15"/>
      <c r="D26" s="15"/>
      <c r="E26" s="16">
        <v>613900</v>
      </c>
      <c r="F26" s="15" t="s">
        <v>86</v>
      </c>
      <c r="G26" s="52">
        <v>55000</v>
      </c>
      <c r="H26" s="52"/>
      <c r="I26" s="90">
        <f t="shared" si="0"/>
        <v>0</v>
      </c>
    </row>
    <row r="27" spans="2:9" ht="12.75" customHeight="1">
      <c r="B27" s="14"/>
      <c r="C27" s="15"/>
      <c r="D27" s="15"/>
      <c r="E27" s="16">
        <v>613900</v>
      </c>
      <c r="F27" s="134" t="s">
        <v>149</v>
      </c>
      <c r="G27" s="34">
        <v>0</v>
      </c>
      <c r="H27" s="34"/>
      <c r="I27" s="90">
        <f t="shared" si="0"/>
      </c>
    </row>
    <row r="28" spans="2:9" s="1" customFormat="1" ht="12.75" customHeight="1">
      <c r="B28" s="17"/>
      <c r="C28" s="12"/>
      <c r="D28" s="12"/>
      <c r="E28" s="41"/>
      <c r="F28" s="12"/>
      <c r="G28" s="33"/>
      <c r="H28" s="33"/>
      <c r="I28" s="89">
        <f t="shared" si="0"/>
      </c>
    </row>
    <row r="29" spans="2:9" ht="12.75" customHeight="1">
      <c r="B29" s="14"/>
      <c r="C29" s="15"/>
      <c r="D29" s="29"/>
      <c r="E29" s="43"/>
      <c r="F29" s="40"/>
      <c r="G29" s="33"/>
      <c r="H29" s="33"/>
      <c r="I29" s="89">
        <f t="shared" si="0"/>
      </c>
    </row>
    <row r="30" spans="2:9" ht="12.75" customHeight="1">
      <c r="B30" s="14"/>
      <c r="C30" s="15"/>
      <c r="D30" s="15"/>
      <c r="E30" s="42"/>
      <c r="F30" s="15"/>
      <c r="G30" s="33"/>
      <c r="H30" s="33"/>
      <c r="I30" s="89">
        <f t="shared" si="0"/>
      </c>
    </row>
    <row r="31" spans="2:9" ht="12.75" customHeight="1">
      <c r="B31" s="14"/>
      <c r="C31" s="15"/>
      <c r="D31" s="15"/>
      <c r="E31" s="16"/>
      <c r="F31" s="15"/>
      <c r="G31" s="33"/>
      <c r="H31" s="33"/>
      <c r="I31" s="89">
        <f t="shared" si="0"/>
      </c>
    </row>
    <row r="32" spans="2:9" ht="12.75" customHeight="1">
      <c r="B32" s="14"/>
      <c r="C32" s="15"/>
      <c r="D32" s="15"/>
      <c r="E32" s="16"/>
      <c r="F32" s="15"/>
      <c r="G32" s="33"/>
      <c r="H32" s="33"/>
      <c r="I32" s="89">
        <f t="shared" si="0"/>
      </c>
    </row>
    <row r="33" spans="2:9" ht="12.75" customHeight="1">
      <c r="B33" s="14"/>
      <c r="C33" s="15"/>
      <c r="D33" s="15"/>
      <c r="E33" s="16"/>
      <c r="F33" s="15"/>
      <c r="G33" s="33"/>
      <c r="H33" s="33"/>
      <c r="I33" s="89">
        <f t="shared" si="0"/>
      </c>
    </row>
    <row r="34" spans="2:9" ht="12.75" customHeight="1">
      <c r="B34" s="14"/>
      <c r="C34" s="15"/>
      <c r="D34" s="15"/>
      <c r="E34" s="16"/>
      <c r="F34" s="19"/>
      <c r="G34" s="33"/>
      <c r="H34" s="33"/>
      <c r="I34" s="89">
        <f t="shared" si="0"/>
      </c>
    </row>
    <row r="35" spans="2:9" ht="12.75" customHeight="1">
      <c r="B35" s="14"/>
      <c r="C35" s="15"/>
      <c r="D35" s="15"/>
      <c r="E35" s="16"/>
      <c r="F35" s="15"/>
      <c r="G35" s="20"/>
      <c r="H35" s="20"/>
      <c r="I35" s="89">
        <f t="shared" si="0"/>
      </c>
    </row>
    <row r="36" spans="2:9" s="1" customFormat="1" ht="12.75" customHeight="1">
      <c r="B36" s="17"/>
      <c r="C36" s="12"/>
      <c r="D36" s="12"/>
      <c r="E36" s="9">
        <v>821000</v>
      </c>
      <c r="F36" s="12" t="s">
        <v>13</v>
      </c>
      <c r="G36" s="20">
        <f>SUM(G37:G38)</f>
        <v>75000</v>
      </c>
      <c r="H36" s="20">
        <f>SUM(H37:H38)</f>
        <v>0</v>
      </c>
      <c r="I36" s="89">
        <f t="shared" si="0"/>
        <v>0</v>
      </c>
    </row>
    <row r="37" spans="2:9" ht="12.75" customHeight="1">
      <c r="B37" s="14"/>
      <c r="C37" s="15"/>
      <c r="D37" s="15"/>
      <c r="E37" s="16">
        <v>821200</v>
      </c>
      <c r="F37" s="15" t="s">
        <v>14</v>
      </c>
      <c r="G37" s="52">
        <v>0</v>
      </c>
      <c r="H37" s="52"/>
      <c r="I37" s="90">
        <f t="shared" si="0"/>
      </c>
    </row>
    <row r="38" spans="2:9" ht="12.75" customHeight="1">
      <c r="B38" s="14"/>
      <c r="C38" s="15"/>
      <c r="D38" s="15"/>
      <c r="E38" s="16">
        <v>821300</v>
      </c>
      <c r="F38" s="15" t="s">
        <v>15</v>
      </c>
      <c r="G38" s="52">
        <f>55000+20000</f>
        <v>75000</v>
      </c>
      <c r="H38" s="52"/>
      <c r="I38" s="90">
        <f t="shared" si="0"/>
        <v>0</v>
      </c>
    </row>
    <row r="39" spans="2:9" ht="12.75" customHeight="1">
      <c r="B39" s="14"/>
      <c r="C39" s="15"/>
      <c r="D39" s="15"/>
      <c r="E39" s="16"/>
      <c r="F39" s="15"/>
      <c r="G39" s="33"/>
      <c r="H39" s="33"/>
      <c r="I39" s="90">
        <f t="shared" si="0"/>
      </c>
    </row>
    <row r="40" spans="2:9" ht="12.75" customHeight="1">
      <c r="B40" s="14"/>
      <c r="C40" s="15"/>
      <c r="D40" s="15"/>
      <c r="E40" s="16"/>
      <c r="F40" s="15"/>
      <c r="G40" s="20"/>
      <c r="H40" s="20"/>
      <c r="I40" s="90">
        <f t="shared" si="0"/>
      </c>
    </row>
    <row r="41" spans="2:9" s="1" customFormat="1" ht="12.75" customHeight="1">
      <c r="B41" s="17"/>
      <c r="C41" s="12"/>
      <c r="D41" s="12"/>
      <c r="E41" s="9"/>
      <c r="F41" s="12" t="s">
        <v>16</v>
      </c>
      <c r="G41" s="63">
        <v>14</v>
      </c>
      <c r="H41" s="63"/>
      <c r="I41" s="90"/>
    </row>
    <row r="42" spans="2:9" s="1" customFormat="1" ht="12.75" customHeight="1">
      <c r="B42" s="17"/>
      <c r="C42" s="12"/>
      <c r="D42" s="12"/>
      <c r="E42" s="9"/>
      <c r="F42" s="12" t="s">
        <v>32</v>
      </c>
      <c r="G42" s="20">
        <f>G7+G13+G17+G36</f>
        <v>708830</v>
      </c>
      <c r="H42" s="20">
        <f>H7+H13+H17+H36</f>
        <v>0</v>
      </c>
      <c r="I42" s="89">
        <f t="shared" si="0"/>
        <v>0</v>
      </c>
    </row>
    <row r="43" spans="2:9" s="1" customFormat="1" ht="12.75" customHeight="1">
      <c r="B43" s="17"/>
      <c r="C43" s="12"/>
      <c r="D43" s="12"/>
      <c r="E43" s="9"/>
      <c r="F43" s="12" t="s">
        <v>17</v>
      </c>
      <c r="G43" s="20">
        <f>G42</f>
        <v>708830</v>
      </c>
      <c r="H43" s="20">
        <f>H42</f>
        <v>0</v>
      </c>
      <c r="I43" s="89">
        <f t="shared" si="0"/>
        <v>0</v>
      </c>
    </row>
    <row r="44" spans="2:9" s="1" customFormat="1" ht="12.75" customHeight="1">
      <c r="B44" s="17"/>
      <c r="C44" s="12"/>
      <c r="D44" s="12"/>
      <c r="E44" s="9"/>
      <c r="F44" s="12" t="s">
        <v>18</v>
      </c>
      <c r="G44" s="20">
        <f>G43</f>
        <v>708830</v>
      </c>
      <c r="H44" s="20">
        <f>H43</f>
        <v>0</v>
      </c>
      <c r="I44" s="89">
        <f t="shared" si="0"/>
        <v>0</v>
      </c>
    </row>
    <row r="45" spans="2:9" ht="12.75" customHeight="1" thickBot="1">
      <c r="B45" s="21"/>
      <c r="C45" s="22"/>
      <c r="D45" s="22"/>
      <c r="E45" s="23"/>
      <c r="F45" s="22"/>
      <c r="G45" s="22"/>
      <c r="H45" s="22"/>
      <c r="I45" s="93"/>
    </row>
    <row r="47" ht="12.75">
      <c r="B47" s="51"/>
    </row>
    <row r="48" ht="12.75">
      <c r="B48" s="51"/>
    </row>
    <row r="49" ht="12.75">
      <c r="B49" s="51"/>
    </row>
    <row r="50" ht="12.75">
      <c r="B50" s="51"/>
    </row>
  </sheetData>
  <sheetProtection/>
  <mergeCells count="2">
    <mergeCell ref="B2:H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&amp;R15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B2:K52"/>
  <sheetViews>
    <sheetView workbookViewId="0" topLeftCell="C1">
      <selection activeCell="H4" sqref="H4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421875" style="24" customWidth="1"/>
    <col min="6" max="6" width="43.7109375" style="13" customWidth="1"/>
    <col min="7" max="8" width="15.7109375" style="13" customWidth="1"/>
    <col min="9" max="9" width="8.7109375" style="80" customWidth="1"/>
    <col min="10" max="10" width="9.140625" style="13" customWidth="1"/>
    <col min="11" max="11" width="9.57421875" style="13" bestFit="1" customWidth="1"/>
    <col min="12" max="16384" width="9.140625" style="13" customWidth="1"/>
  </cols>
  <sheetData>
    <row r="2" spans="2:9" ht="15" customHeight="1">
      <c r="B2" s="143" t="s">
        <v>48</v>
      </c>
      <c r="C2" s="143"/>
      <c r="D2" s="143"/>
      <c r="E2" s="143"/>
      <c r="F2" s="143"/>
      <c r="G2" s="143"/>
      <c r="H2" s="143"/>
      <c r="I2" s="83"/>
    </row>
    <row r="3" spans="5:9" s="1" customFormat="1" ht="16.5" thickBot="1">
      <c r="E3" s="2"/>
      <c r="F3" s="144" t="s">
        <v>165</v>
      </c>
      <c r="G3" s="144"/>
      <c r="H3" s="108">
        <v>6132110</v>
      </c>
      <c r="I3" s="109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31" t="s">
        <v>147</v>
      </c>
      <c r="H4" s="131" t="s">
        <v>164</v>
      </c>
      <c r="I4" s="86" t="s">
        <v>139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2">
        <v>6</v>
      </c>
      <c r="H5" s="9">
        <v>7</v>
      </c>
      <c r="I5" s="87">
        <v>8</v>
      </c>
    </row>
    <row r="6" spans="2:9" s="2" customFormat="1" ht="12.75" customHeight="1">
      <c r="B6" s="10" t="s">
        <v>49</v>
      </c>
      <c r="C6" s="11" t="s">
        <v>4</v>
      </c>
      <c r="D6" s="11" t="s">
        <v>5</v>
      </c>
      <c r="E6" s="9"/>
      <c r="F6" s="9"/>
      <c r="G6" s="32"/>
      <c r="H6" s="9"/>
      <c r="I6" s="88"/>
    </row>
    <row r="7" spans="2:9" s="1" customFormat="1" ht="12.75" customHeight="1">
      <c r="B7" s="17"/>
      <c r="C7" s="12"/>
      <c r="D7" s="12"/>
      <c r="E7" s="9">
        <v>611000</v>
      </c>
      <c r="F7" s="12" t="s">
        <v>82</v>
      </c>
      <c r="G7" s="136">
        <f>SUM(G8:G11)</f>
        <v>4735810</v>
      </c>
      <c r="H7" s="136">
        <f>SUM(H8:H11)</f>
        <v>0</v>
      </c>
      <c r="I7" s="89">
        <f aca="true" t="shared" si="0" ref="I7:I44">IF(G7=0,"",H7/G7*100)</f>
        <v>0</v>
      </c>
    </row>
    <row r="8" spans="2:10" ht="12.75" customHeight="1">
      <c r="B8" s="14"/>
      <c r="C8" s="15"/>
      <c r="D8" s="15"/>
      <c r="E8" s="16">
        <v>611100</v>
      </c>
      <c r="F8" s="26" t="s">
        <v>107</v>
      </c>
      <c r="G8" s="135">
        <f>3656000+70000+182300+3510</f>
        <v>3911810</v>
      </c>
      <c r="H8" s="135"/>
      <c r="I8" s="90">
        <f t="shared" si="0"/>
        <v>0</v>
      </c>
      <c r="J8" s="66"/>
    </row>
    <row r="9" spans="2:10" ht="12.75" customHeight="1">
      <c r="B9" s="14"/>
      <c r="C9" s="15"/>
      <c r="D9" s="15"/>
      <c r="E9" s="16">
        <v>611200</v>
      </c>
      <c r="F9" s="15" t="s">
        <v>108</v>
      </c>
      <c r="G9" s="135">
        <f>779000+25000+10000+10000</f>
        <v>824000</v>
      </c>
      <c r="H9" s="135"/>
      <c r="I9" s="90">
        <f t="shared" si="0"/>
        <v>0</v>
      </c>
      <c r="J9" s="67"/>
    </row>
    <row r="10" spans="2:11" ht="12.75" customHeight="1">
      <c r="B10" s="14"/>
      <c r="C10" s="15"/>
      <c r="D10" s="15"/>
      <c r="E10" s="16">
        <v>611200</v>
      </c>
      <c r="F10" s="134" t="s">
        <v>148</v>
      </c>
      <c r="G10" s="135">
        <v>0</v>
      </c>
      <c r="H10" s="135"/>
      <c r="I10" s="90">
        <f t="shared" si="0"/>
      </c>
      <c r="K10" s="54"/>
    </row>
    <row r="11" spans="2:10" ht="12.75" customHeight="1">
      <c r="B11" s="14"/>
      <c r="C11" s="15"/>
      <c r="D11" s="15"/>
      <c r="E11" s="16"/>
      <c r="F11" s="26"/>
      <c r="G11" s="135"/>
      <c r="H11" s="135"/>
      <c r="I11" s="90">
        <f t="shared" si="0"/>
      </c>
      <c r="J11" s="67"/>
    </row>
    <row r="12" spans="2:10" ht="12.75" customHeight="1">
      <c r="B12" s="14"/>
      <c r="C12" s="15"/>
      <c r="D12" s="15"/>
      <c r="E12" s="16"/>
      <c r="F12" s="15"/>
      <c r="G12" s="136"/>
      <c r="H12" s="136"/>
      <c r="I12" s="90">
        <f t="shared" si="0"/>
      </c>
      <c r="J12" s="67"/>
    </row>
    <row r="13" spans="2:10" s="1" customFormat="1" ht="12.75" customHeight="1">
      <c r="B13" s="17"/>
      <c r="C13" s="12"/>
      <c r="D13" s="12"/>
      <c r="E13" s="9">
        <v>612000</v>
      </c>
      <c r="F13" s="12" t="s">
        <v>81</v>
      </c>
      <c r="G13" s="136">
        <f>G14</f>
        <v>615250</v>
      </c>
      <c r="H13" s="136">
        <f>H14</f>
        <v>0</v>
      </c>
      <c r="I13" s="89">
        <f t="shared" si="0"/>
        <v>0</v>
      </c>
      <c r="J13" s="68"/>
    </row>
    <row r="14" spans="2:10" ht="12.75" customHeight="1">
      <c r="B14" s="14"/>
      <c r="C14" s="15"/>
      <c r="D14" s="15"/>
      <c r="E14" s="16">
        <v>612100</v>
      </c>
      <c r="F14" s="18" t="s">
        <v>6</v>
      </c>
      <c r="G14" s="135">
        <f>575100+11000+28620+530</f>
        <v>615250</v>
      </c>
      <c r="H14" s="135"/>
      <c r="I14" s="90">
        <f t="shared" si="0"/>
        <v>0</v>
      </c>
      <c r="J14" s="66"/>
    </row>
    <row r="15" spans="2:10" ht="12.75" customHeight="1">
      <c r="B15" s="14"/>
      <c r="C15" s="15"/>
      <c r="D15" s="15"/>
      <c r="E15" s="16"/>
      <c r="F15" s="26"/>
      <c r="G15" s="52"/>
      <c r="H15" s="52"/>
      <c r="I15" s="90">
        <f t="shared" si="0"/>
      </c>
      <c r="J15" s="67"/>
    </row>
    <row r="16" spans="2:9" ht="12.75" customHeight="1">
      <c r="B16" s="14"/>
      <c r="C16" s="15"/>
      <c r="D16" s="15"/>
      <c r="E16" s="16"/>
      <c r="F16" s="15"/>
      <c r="G16" s="63"/>
      <c r="H16" s="63"/>
      <c r="I16" s="90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83</v>
      </c>
      <c r="G17" s="63">
        <f>SUM(G18:G27)</f>
        <v>814500</v>
      </c>
      <c r="H17" s="63">
        <f>SUM(H18:H27)</f>
        <v>0</v>
      </c>
      <c r="I17" s="89">
        <f t="shared" si="0"/>
        <v>0</v>
      </c>
    </row>
    <row r="18" spans="2:9" ht="12.75" customHeight="1">
      <c r="B18" s="14"/>
      <c r="C18" s="15"/>
      <c r="D18" s="15"/>
      <c r="E18" s="16">
        <v>613100</v>
      </c>
      <c r="F18" s="15" t="s">
        <v>7</v>
      </c>
      <c r="G18" s="52">
        <v>14500</v>
      </c>
      <c r="H18" s="52"/>
      <c r="I18" s="90">
        <f t="shared" si="0"/>
        <v>0</v>
      </c>
    </row>
    <row r="19" spans="2:9" ht="12.75" customHeight="1">
      <c r="B19" s="14"/>
      <c r="C19" s="15"/>
      <c r="D19" s="15"/>
      <c r="E19" s="16">
        <v>613200</v>
      </c>
      <c r="F19" s="15" t="s">
        <v>8</v>
      </c>
      <c r="G19" s="52">
        <v>100000</v>
      </c>
      <c r="H19" s="52"/>
      <c r="I19" s="90">
        <f t="shared" si="0"/>
        <v>0</v>
      </c>
    </row>
    <row r="20" spans="2:9" ht="12.75" customHeight="1">
      <c r="B20" s="14"/>
      <c r="C20" s="15"/>
      <c r="D20" s="15"/>
      <c r="E20" s="16">
        <v>613300</v>
      </c>
      <c r="F20" s="26" t="s">
        <v>109</v>
      </c>
      <c r="G20" s="52">
        <v>95000</v>
      </c>
      <c r="H20" s="52"/>
      <c r="I20" s="90">
        <f t="shared" si="0"/>
        <v>0</v>
      </c>
    </row>
    <row r="21" spans="2:9" ht="12.75" customHeight="1">
      <c r="B21" s="14"/>
      <c r="C21" s="15"/>
      <c r="D21" s="15"/>
      <c r="E21" s="16">
        <v>613400</v>
      </c>
      <c r="F21" s="15" t="s">
        <v>84</v>
      </c>
      <c r="G21" s="52">
        <v>220000</v>
      </c>
      <c r="H21" s="52"/>
      <c r="I21" s="90">
        <f t="shared" si="0"/>
        <v>0</v>
      </c>
    </row>
    <row r="22" spans="2:9" ht="12.75" customHeight="1">
      <c r="B22" s="14"/>
      <c r="C22" s="15"/>
      <c r="D22" s="15"/>
      <c r="E22" s="16">
        <v>613500</v>
      </c>
      <c r="F22" s="15" t="s">
        <v>9</v>
      </c>
      <c r="G22" s="52">
        <v>100000</v>
      </c>
      <c r="H22" s="52"/>
      <c r="I22" s="90">
        <f t="shared" si="0"/>
        <v>0</v>
      </c>
    </row>
    <row r="23" spans="2:9" ht="12.75" customHeight="1">
      <c r="B23" s="14"/>
      <c r="C23" s="15"/>
      <c r="D23" s="15"/>
      <c r="E23" s="16">
        <v>613600</v>
      </c>
      <c r="F23" s="26" t="s">
        <v>110</v>
      </c>
      <c r="G23" s="52">
        <v>27000</v>
      </c>
      <c r="H23" s="52"/>
      <c r="I23" s="90">
        <f t="shared" si="0"/>
        <v>0</v>
      </c>
    </row>
    <row r="24" spans="2:9" ht="12.75" customHeight="1">
      <c r="B24" s="14"/>
      <c r="C24" s="15"/>
      <c r="D24" s="15"/>
      <c r="E24" s="16">
        <v>613700</v>
      </c>
      <c r="F24" s="15" t="s">
        <v>10</v>
      </c>
      <c r="G24" s="52">
        <v>92000</v>
      </c>
      <c r="H24" s="52"/>
      <c r="I24" s="90">
        <f t="shared" si="0"/>
        <v>0</v>
      </c>
    </row>
    <row r="25" spans="2:9" ht="12.75" customHeight="1">
      <c r="B25" s="14"/>
      <c r="C25" s="15"/>
      <c r="D25" s="15"/>
      <c r="E25" s="16">
        <v>613800</v>
      </c>
      <c r="F25" s="15" t="s">
        <v>85</v>
      </c>
      <c r="G25" s="52">
        <v>16000</v>
      </c>
      <c r="H25" s="52"/>
      <c r="I25" s="90">
        <f t="shared" si="0"/>
        <v>0</v>
      </c>
    </row>
    <row r="26" spans="2:9" ht="12.75" customHeight="1">
      <c r="B26" s="14"/>
      <c r="C26" s="15"/>
      <c r="D26" s="15"/>
      <c r="E26" s="16">
        <v>613900</v>
      </c>
      <c r="F26" s="15" t="s">
        <v>86</v>
      </c>
      <c r="G26" s="52">
        <v>150000</v>
      </c>
      <c r="H26" s="52"/>
      <c r="I26" s="90">
        <f t="shared" si="0"/>
        <v>0</v>
      </c>
    </row>
    <row r="27" spans="2:10" ht="12.75" customHeight="1">
      <c r="B27" s="14"/>
      <c r="C27" s="15"/>
      <c r="D27" s="15"/>
      <c r="E27" s="16">
        <v>613900</v>
      </c>
      <c r="F27" s="134" t="s">
        <v>149</v>
      </c>
      <c r="G27" s="71">
        <v>0</v>
      </c>
      <c r="H27" s="71"/>
      <c r="I27" s="90">
        <f t="shared" si="0"/>
      </c>
      <c r="J27" s="55"/>
    </row>
    <row r="28" spans="2:9" s="1" customFormat="1" ht="12.75" customHeight="1">
      <c r="B28" s="17"/>
      <c r="C28" s="12"/>
      <c r="D28" s="12"/>
      <c r="E28" s="41"/>
      <c r="F28" s="12"/>
      <c r="G28" s="52"/>
      <c r="H28" s="52"/>
      <c r="I28" s="90">
        <f t="shared" si="0"/>
      </c>
    </row>
    <row r="29" spans="2:9" ht="12.75" customHeight="1">
      <c r="B29" s="14"/>
      <c r="C29" s="15"/>
      <c r="D29" s="29"/>
      <c r="E29" s="43"/>
      <c r="F29" s="40"/>
      <c r="G29" s="52"/>
      <c r="H29" s="52"/>
      <c r="I29" s="90">
        <f t="shared" si="0"/>
      </c>
    </row>
    <row r="30" spans="2:9" ht="12.75" customHeight="1">
      <c r="B30" s="14"/>
      <c r="C30" s="15"/>
      <c r="D30" s="15"/>
      <c r="E30" s="42"/>
      <c r="F30" s="15"/>
      <c r="G30" s="52"/>
      <c r="H30" s="52"/>
      <c r="I30" s="90">
        <f t="shared" si="0"/>
      </c>
    </row>
    <row r="31" spans="2:9" ht="12.75" customHeight="1">
      <c r="B31" s="14"/>
      <c r="C31" s="15"/>
      <c r="D31" s="15"/>
      <c r="E31" s="16"/>
      <c r="F31" s="15"/>
      <c r="G31" s="52"/>
      <c r="H31" s="52"/>
      <c r="I31" s="90">
        <f t="shared" si="0"/>
      </c>
    </row>
    <row r="32" spans="2:9" ht="12.75" customHeight="1">
      <c r="B32" s="14"/>
      <c r="C32" s="15"/>
      <c r="D32" s="15"/>
      <c r="E32" s="16"/>
      <c r="F32" s="15"/>
      <c r="G32" s="52"/>
      <c r="H32" s="52"/>
      <c r="I32" s="90">
        <f t="shared" si="0"/>
      </c>
    </row>
    <row r="33" spans="2:9" ht="12.75" customHeight="1">
      <c r="B33" s="14"/>
      <c r="C33" s="15"/>
      <c r="D33" s="15"/>
      <c r="E33" s="16"/>
      <c r="F33" s="15"/>
      <c r="G33" s="52"/>
      <c r="H33" s="52"/>
      <c r="I33" s="90">
        <f t="shared" si="0"/>
      </c>
    </row>
    <row r="34" spans="2:9" ht="12.75" customHeight="1">
      <c r="B34" s="14"/>
      <c r="C34" s="15"/>
      <c r="D34" s="15"/>
      <c r="E34" s="16"/>
      <c r="F34" s="19"/>
      <c r="G34" s="52"/>
      <c r="H34" s="52"/>
      <c r="I34" s="90">
        <f t="shared" si="0"/>
      </c>
    </row>
    <row r="35" spans="2:9" ht="12.75" customHeight="1">
      <c r="B35" s="14"/>
      <c r="C35" s="15"/>
      <c r="D35" s="15"/>
      <c r="E35" s="16"/>
      <c r="F35" s="15"/>
      <c r="G35" s="63"/>
      <c r="H35" s="63"/>
      <c r="I35" s="90">
        <f t="shared" si="0"/>
      </c>
    </row>
    <row r="36" spans="2:9" s="1" customFormat="1" ht="12.75" customHeight="1">
      <c r="B36" s="17"/>
      <c r="C36" s="12"/>
      <c r="D36" s="12"/>
      <c r="E36" s="9">
        <v>821000</v>
      </c>
      <c r="F36" s="12" t="s">
        <v>13</v>
      </c>
      <c r="G36" s="63">
        <f>SUM(G37:G38)</f>
        <v>150000</v>
      </c>
      <c r="H36" s="63">
        <f>SUM(H37:H38)</f>
        <v>0</v>
      </c>
      <c r="I36" s="89">
        <f t="shared" si="0"/>
        <v>0</v>
      </c>
    </row>
    <row r="37" spans="2:9" ht="12.75" customHeight="1">
      <c r="B37" s="14"/>
      <c r="C37" s="15"/>
      <c r="D37" s="15"/>
      <c r="E37" s="16">
        <v>821200</v>
      </c>
      <c r="F37" s="15" t="s">
        <v>14</v>
      </c>
      <c r="G37" s="52">
        <v>50000</v>
      </c>
      <c r="H37" s="52"/>
      <c r="I37" s="90">
        <f t="shared" si="0"/>
        <v>0</v>
      </c>
    </row>
    <row r="38" spans="2:9" ht="12.75" customHeight="1">
      <c r="B38" s="14"/>
      <c r="C38" s="15"/>
      <c r="D38" s="15"/>
      <c r="E38" s="16">
        <v>821300</v>
      </c>
      <c r="F38" s="15" t="s">
        <v>15</v>
      </c>
      <c r="G38" s="52">
        <v>100000</v>
      </c>
      <c r="H38" s="52"/>
      <c r="I38" s="90">
        <f t="shared" si="0"/>
        <v>0</v>
      </c>
    </row>
    <row r="39" spans="2:9" ht="12.75" customHeight="1">
      <c r="B39" s="14"/>
      <c r="C39" s="15"/>
      <c r="D39" s="15"/>
      <c r="E39" s="16"/>
      <c r="F39" s="15"/>
      <c r="G39" s="33"/>
      <c r="H39" s="33"/>
      <c r="I39" s="90">
        <f t="shared" si="0"/>
      </c>
    </row>
    <row r="40" spans="2:9" ht="12.75" customHeight="1">
      <c r="B40" s="14"/>
      <c r="C40" s="15"/>
      <c r="D40" s="15"/>
      <c r="E40" s="16"/>
      <c r="F40" s="15"/>
      <c r="G40" s="20"/>
      <c r="H40" s="20"/>
      <c r="I40" s="90">
        <f t="shared" si="0"/>
      </c>
    </row>
    <row r="41" spans="2:9" s="1" customFormat="1" ht="12.75" customHeight="1">
      <c r="B41" s="17"/>
      <c r="C41" s="12"/>
      <c r="D41" s="12"/>
      <c r="E41" s="9"/>
      <c r="F41" s="12" t="s">
        <v>16</v>
      </c>
      <c r="G41" s="63">
        <v>213</v>
      </c>
      <c r="H41" s="63"/>
      <c r="I41" s="90"/>
    </row>
    <row r="42" spans="2:9" s="1" customFormat="1" ht="12.75" customHeight="1">
      <c r="B42" s="17"/>
      <c r="C42" s="12"/>
      <c r="D42" s="12"/>
      <c r="E42" s="9"/>
      <c r="F42" s="12" t="s">
        <v>32</v>
      </c>
      <c r="G42" s="20">
        <f>G7+G13+G17+G36</f>
        <v>6315560</v>
      </c>
      <c r="H42" s="20">
        <f>H7+H13+H17+H36</f>
        <v>0</v>
      </c>
      <c r="I42" s="89">
        <f t="shared" si="0"/>
        <v>0</v>
      </c>
    </row>
    <row r="43" spans="2:9" s="1" customFormat="1" ht="12.75" customHeight="1">
      <c r="B43" s="17"/>
      <c r="C43" s="12"/>
      <c r="D43" s="12"/>
      <c r="E43" s="9"/>
      <c r="F43" s="12" t="s">
        <v>17</v>
      </c>
      <c r="G43" s="20">
        <f>G42</f>
        <v>6315560</v>
      </c>
      <c r="H43" s="20">
        <f>H42</f>
        <v>0</v>
      </c>
      <c r="I43" s="89">
        <f t="shared" si="0"/>
        <v>0</v>
      </c>
    </row>
    <row r="44" spans="2:9" s="1" customFormat="1" ht="12.75" customHeight="1">
      <c r="B44" s="17"/>
      <c r="C44" s="12"/>
      <c r="D44" s="12"/>
      <c r="E44" s="9"/>
      <c r="F44" s="12" t="s">
        <v>18</v>
      </c>
      <c r="G44" s="20">
        <f>G43</f>
        <v>6315560</v>
      </c>
      <c r="H44" s="20">
        <f>H43</f>
        <v>0</v>
      </c>
      <c r="I44" s="89">
        <f t="shared" si="0"/>
        <v>0</v>
      </c>
    </row>
    <row r="45" spans="2:9" ht="12.75" customHeight="1" thickBot="1">
      <c r="B45" s="21"/>
      <c r="C45" s="22"/>
      <c r="D45" s="22"/>
      <c r="E45" s="23"/>
      <c r="F45" s="22"/>
      <c r="G45" s="22"/>
      <c r="H45" s="22"/>
      <c r="I45" s="93"/>
    </row>
    <row r="47" ht="12.75">
      <c r="B47" s="51"/>
    </row>
    <row r="48" ht="12.75">
      <c r="B48" s="51"/>
    </row>
    <row r="49" ht="12.75">
      <c r="B49" s="51"/>
    </row>
    <row r="50" ht="12.75">
      <c r="B50" s="51"/>
    </row>
    <row r="51" ht="12.75">
      <c r="B51" s="51"/>
    </row>
    <row r="52" ht="12.75">
      <c r="B52" s="51"/>
    </row>
  </sheetData>
  <sheetProtection/>
  <mergeCells count="2">
    <mergeCell ref="B2:H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&amp;R16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/>
  <dimension ref="B2:K62"/>
  <sheetViews>
    <sheetView workbookViewId="0" topLeftCell="A1">
      <selection activeCell="H4" sqref="H4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7109375" style="24" customWidth="1"/>
    <col min="6" max="6" width="43.7109375" style="13" customWidth="1"/>
    <col min="7" max="7" width="15.7109375" style="13" customWidth="1"/>
    <col min="8" max="8" width="15.7109375" style="55" customWidth="1"/>
    <col min="9" max="9" width="8.7109375" style="80" customWidth="1"/>
    <col min="10" max="16384" width="9.140625" style="13" customWidth="1"/>
  </cols>
  <sheetData>
    <row r="2" spans="2:9" s="67" customFormat="1" ht="15" customHeight="1">
      <c r="B2" s="145" t="s">
        <v>50</v>
      </c>
      <c r="C2" s="145"/>
      <c r="D2" s="145"/>
      <c r="E2" s="145"/>
      <c r="F2" s="145"/>
      <c r="G2" s="145"/>
      <c r="H2" s="129"/>
      <c r="I2" s="130"/>
    </row>
    <row r="3" spans="5:9" s="1" customFormat="1" ht="16.5" thickBot="1">
      <c r="E3" s="2"/>
      <c r="F3" s="144" t="s">
        <v>165</v>
      </c>
      <c r="G3" s="144"/>
      <c r="H3" s="108">
        <v>171650</v>
      </c>
      <c r="I3" s="109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31" t="s">
        <v>147</v>
      </c>
      <c r="H4" s="131" t="s">
        <v>164</v>
      </c>
      <c r="I4" s="86" t="s">
        <v>139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2">
        <v>6</v>
      </c>
      <c r="H5" s="9">
        <v>7</v>
      </c>
      <c r="I5" s="87">
        <v>8</v>
      </c>
    </row>
    <row r="6" spans="2:9" s="2" customFormat="1" ht="12.75" customHeight="1">
      <c r="B6" s="10" t="s">
        <v>51</v>
      </c>
      <c r="C6" s="11" t="s">
        <v>4</v>
      </c>
      <c r="D6" s="11" t="s">
        <v>5</v>
      </c>
      <c r="E6" s="9"/>
      <c r="F6" s="9"/>
      <c r="G6" s="32"/>
      <c r="H6" s="102"/>
      <c r="I6" s="88"/>
    </row>
    <row r="7" spans="2:9" s="1" customFormat="1" ht="12.75" customHeight="1">
      <c r="B7" s="17"/>
      <c r="C7" s="12"/>
      <c r="D7" s="12"/>
      <c r="E7" s="9">
        <v>611000</v>
      </c>
      <c r="F7" s="12" t="s">
        <v>82</v>
      </c>
      <c r="G7" s="136">
        <f>SUM(G8:G11)</f>
        <v>76250</v>
      </c>
      <c r="H7" s="136">
        <f>SUM(H8:H11)</f>
        <v>0</v>
      </c>
      <c r="I7" s="89">
        <f aca="true" t="shared" si="0" ref="I7:I42">IF(G7=0,"",H7/G7*100)</f>
        <v>0</v>
      </c>
    </row>
    <row r="8" spans="2:9" ht="12.75" customHeight="1">
      <c r="B8" s="14"/>
      <c r="C8" s="15"/>
      <c r="D8" s="15"/>
      <c r="E8" s="16">
        <v>611100</v>
      </c>
      <c r="F8" s="26" t="s">
        <v>107</v>
      </c>
      <c r="G8" s="138">
        <f>62400+3050</f>
        <v>65450</v>
      </c>
      <c r="H8" s="138"/>
      <c r="I8" s="90">
        <f t="shared" si="0"/>
        <v>0</v>
      </c>
    </row>
    <row r="9" spans="2:9" ht="12.75" customHeight="1">
      <c r="B9" s="14"/>
      <c r="C9" s="15"/>
      <c r="D9" s="15"/>
      <c r="E9" s="16">
        <v>611200</v>
      </c>
      <c r="F9" s="15" t="s">
        <v>108</v>
      </c>
      <c r="G9" s="138">
        <v>10800</v>
      </c>
      <c r="H9" s="138"/>
      <c r="I9" s="90">
        <f t="shared" si="0"/>
        <v>0</v>
      </c>
    </row>
    <row r="10" spans="2:11" ht="12.75" customHeight="1">
      <c r="B10" s="14"/>
      <c r="C10" s="15"/>
      <c r="D10" s="15"/>
      <c r="E10" s="16">
        <v>611200</v>
      </c>
      <c r="F10" s="134" t="s">
        <v>148</v>
      </c>
      <c r="G10" s="135">
        <v>0</v>
      </c>
      <c r="H10" s="135"/>
      <c r="I10" s="90">
        <f t="shared" si="0"/>
      </c>
      <c r="K10" s="54"/>
    </row>
    <row r="11" spans="2:9" ht="12.75" customHeight="1">
      <c r="B11" s="14"/>
      <c r="C11" s="15"/>
      <c r="D11" s="15"/>
      <c r="E11" s="16"/>
      <c r="F11" s="26"/>
      <c r="G11" s="138"/>
      <c r="H11" s="138"/>
      <c r="I11" s="90">
        <f t="shared" si="0"/>
      </c>
    </row>
    <row r="12" spans="2:9" ht="12.75" customHeight="1">
      <c r="B12" s="14"/>
      <c r="C12" s="15"/>
      <c r="D12" s="15"/>
      <c r="E12" s="16"/>
      <c r="F12" s="15"/>
      <c r="G12" s="136"/>
      <c r="H12" s="136"/>
      <c r="I12" s="90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81</v>
      </c>
      <c r="G13" s="136">
        <f>G14</f>
        <v>7330</v>
      </c>
      <c r="H13" s="136">
        <f>H14</f>
        <v>0</v>
      </c>
      <c r="I13" s="89">
        <f t="shared" si="0"/>
        <v>0</v>
      </c>
    </row>
    <row r="14" spans="2:9" ht="12.75" customHeight="1">
      <c r="B14" s="14"/>
      <c r="C14" s="15"/>
      <c r="D14" s="15"/>
      <c r="E14" s="16">
        <v>612100</v>
      </c>
      <c r="F14" s="18" t="s">
        <v>6</v>
      </c>
      <c r="G14" s="138">
        <f>7000+330</f>
        <v>7330</v>
      </c>
      <c r="H14" s="138"/>
      <c r="I14" s="90">
        <f t="shared" si="0"/>
        <v>0</v>
      </c>
    </row>
    <row r="15" spans="2:9" ht="12.75" customHeight="1">
      <c r="B15" s="14"/>
      <c r="C15" s="15"/>
      <c r="D15" s="15"/>
      <c r="E15" s="16"/>
      <c r="F15" s="15"/>
      <c r="G15" s="34"/>
      <c r="H15" s="34"/>
      <c r="I15" s="90">
        <f t="shared" si="0"/>
      </c>
    </row>
    <row r="16" spans="2:9" ht="12.75" customHeight="1">
      <c r="B16" s="14"/>
      <c r="C16" s="15"/>
      <c r="D16" s="15"/>
      <c r="E16" s="16"/>
      <c r="F16" s="15"/>
      <c r="G16" s="20"/>
      <c r="H16" s="20"/>
      <c r="I16" s="90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83</v>
      </c>
      <c r="G17" s="37">
        <f>SUM(G18:G27)</f>
        <v>45600</v>
      </c>
      <c r="H17" s="37">
        <f>SUM(H18:H27)</f>
        <v>0</v>
      </c>
      <c r="I17" s="89">
        <f t="shared" si="0"/>
        <v>0</v>
      </c>
    </row>
    <row r="18" spans="2:9" ht="12.75" customHeight="1">
      <c r="B18" s="14"/>
      <c r="C18" s="15"/>
      <c r="D18" s="15"/>
      <c r="E18" s="16">
        <v>613100</v>
      </c>
      <c r="F18" s="15" t="s">
        <v>7</v>
      </c>
      <c r="G18" s="52">
        <v>3000</v>
      </c>
      <c r="H18" s="52"/>
      <c r="I18" s="90">
        <f t="shared" si="0"/>
        <v>0</v>
      </c>
    </row>
    <row r="19" spans="2:9" ht="12.75" customHeight="1">
      <c r="B19" s="14"/>
      <c r="C19" s="15"/>
      <c r="D19" s="15"/>
      <c r="E19" s="16">
        <v>613200</v>
      </c>
      <c r="F19" s="15" t="s">
        <v>8</v>
      </c>
      <c r="G19" s="52">
        <v>0</v>
      </c>
      <c r="H19" s="52"/>
      <c r="I19" s="90">
        <f t="shared" si="0"/>
      </c>
    </row>
    <row r="20" spans="2:9" ht="12.75" customHeight="1">
      <c r="B20" s="14"/>
      <c r="C20" s="15"/>
      <c r="D20" s="15"/>
      <c r="E20" s="16">
        <v>613300</v>
      </c>
      <c r="F20" s="26" t="s">
        <v>109</v>
      </c>
      <c r="G20" s="52">
        <v>3000</v>
      </c>
      <c r="H20" s="52"/>
      <c r="I20" s="90">
        <f t="shared" si="0"/>
        <v>0</v>
      </c>
    </row>
    <row r="21" spans="2:9" ht="12.75" customHeight="1">
      <c r="B21" s="14"/>
      <c r="C21" s="15"/>
      <c r="D21" s="15"/>
      <c r="E21" s="16">
        <v>613400</v>
      </c>
      <c r="F21" s="15" t="s">
        <v>84</v>
      </c>
      <c r="G21" s="52">
        <v>800</v>
      </c>
      <c r="H21" s="52"/>
      <c r="I21" s="90">
        <f t="shared" si="0"/>
        <v>0</v>
      </c>
    </row>
    <row r="22" spans="2:9" ht="12.75" customHeight="1">
      <c r="B22" s="14"/>
      <c r="C22" s="15"/>
      <c r="D22" s="15"/>
      <c r="E22" s="16">
        <v>613500</v>
      </c>
      <c r="F22" s="15" t="s">
        <v>9</v>
      </c>
      <c r="G22" s="52">
        <v>0</v>
      </c>
      <c r="H22" s="52"/>
      <c r="I22" s="90">
        <f t="shared" si="0"/>
      </c>
    </row>
    <row r="23" spans="2:9" ht="12.75" customHeight="1">
      <c r="B23" s="14"/>
      <c r="C23" s="15"/>
      <c r="D23" s="15"/>
      <c r="E23" s="16">
        <v>613600</v>
      </c>
      <c r="F23" s="26" t="s">
        <v>110</v>
      </c>
      <c r="G23" s="52">
        <v>0</v>
      </c>
      <c r="H23" s="52"/>
      <c r="I23" s="90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10</v>
      </c>
      <c r="G24" s="52">
        <v>2800</v>
      </c>
      <c r="H24" s="52"/>
      <c r="I24" s="90">
        <f t="shared" si="0"/>
        <v>0</v>
      </c>
    </row>
    <row r="25" spans="2:9" ht="12.75" customHeight="1">
      <c r="B25" s="14"/>
      <c r="C25" s="15"/>
      <c r="D25" s="15"/>
      <c r="E25" s="16">
        <v>613800</v>
      </c>
      <c r="F25" s="15" t="s">
        <v>85</v>
      </c>
      <c r="G25" s="52">
        <v>0</v>
      </c>
      <c r="H25" s="52"/>
      <c r="I25" s="90">
        <f t="shared" si="0"/>
      </c>
    </row>
    <row r="26" spans="2:9" ht="12.75" customHeight="1">
      <c r="B26" s="14"/>
      <c r="C26" s="15"/>
      <c r="D26" s="15"/>
      <c r="E26" s="16">
        <v>613900</v>
      </c>
      <c r="F26" s="15" t="s">
        <v>86</v>
      </c>
      <c r="G26" s="52">
        <v>36000</v>
      </c>
      <c r="H26" s="52"/>
      <c r="I26" s="90">
        <f t="shared" si="0"/>
        <v>0</v>
      </c>
    </row>
    <row r="27" spans="2:9" ht="12.75" customHeight="1">
      <c r="B27" s="14"/>
      <c r="C27" s="15"/>
      <c r="D27" s="15"/>
      <c r="E27" s="16">
        <v>613900</v>
      </c>
      <c r="F27" s="134" t="s">
        <v>149</v>
      </c>
      <c r="G27" s="105">
        <v>0</v>
      </c>
      <c r="H27" s="105"/>
      <c r="I27" s="90">
        <f t="shared" si="0"/>
      </c>
    </row>
    <row r="28" spans="2:9" s="1" customFormat="1" ht="12.75" customHeight="1">
      <c r="B28" s="17"/>
      <c r="C28" s="12"/>
      <c r="D28" s="12"/>
      <c r="E28" s="41"/>
      <c r="F28" s="12"/>
      <c r="G28" s="34"/>
      <c r="H28" s="34"/>
      <c r="I28" s="90">
        <f t="shared" si="0"/>
      </c>
    </row>
    <row r="29" spans="2:9" ht="12.75" customHeight="1">
      <c r="B29" s="14"/>
      <c r="C29" s="15"/>
      <c r="D29" s="29"/>
      <c r="E29" s="43"/>
      <c r="F29" s="40"/>
      <c r="G29" s="34"/>
      <c r="H29" s="34"/>
      <c r="I29" s="90">
        <f t="shared" si="0"/>
      </c>
    </row>
    <row r="30" spans="2:9" ht="12.75" customHeight="1">
      <c r="B30" s="14"/>
      <c r="C30" s="15"/>
      <c r="D30" s="15"/>
      <c r="E30" s="42"/>
      <c r="F30" s="15"/>
      <c r="G30" s="34"/>
      <c r="H30" s="34"/>
      <c r="I30" s="90">
        <f t="shared" si="0"/>
      </c>
    </row>
    <row r="31" spans="2:9" ht="12.75" customHeight="1">
      <c r="B31" s="14"/>
      <c r="C31" s="15"/>
      <c r="D31" s="15"/>
      <c r="E31" s="16"/>
      <c r="F31" s="15"/>
      <c r="G31" s="34"/>
      <c r="H31" s="34"/>
      <c r="I31" s="90">
        <f t="shared" si="0"/>
      </c>
    </row>
    <row r="32" spans="2:9" ht="12.75" customHeight="1">
      <c r="B32" s="14"/>
      <c r="C32" s="15"/>
      <c r="D32" s="15"/>
      <c r="E32" s="16"/>
      <c r="F32" s="15"/>
      <c r="G32" s="34"/>
      <c r="H32" s="34"/>
      <c r="I32" s="90">
        <f t="shared" si="0"/>
      </c>
    </row>
    <row r="33" spans="2:9" ht="12.75" customHeight="1">
      <c r="B33" s="14"/>
      <c r="C33" s="15"/>
      <c r="D33" s="15"/>
      <c r="E33" s="16"/>
      <c r="F33" s="15"/>
      <c r="G33" s="34"/>
      <c r="H33" s="34"/>
      <c r="I33" s="90">
        <f t="shared" si="0"/>
      </c>
    </row>
    <row r="34" spans="2:9" ht="12.75" customHeight="1">
      <c r="B34" s="14"/>
      <c r="C34" s="15"/>
      <c r="D34" s="15"/>
      <c r="E34" s="16"/>
      <c r="F34" s="19"/>
      <c r="G34" s="34"/>
      <c r="H34" s="34"/>
      <c r="I34" s="90">
        <f t="shared" si="0"/>
      </c>
    </row>
    <row r="35" spans="2:9" ht="12.75" customHeight="1">
      <c r="B35" s="14"/>
      <c r="C35" s="15"/>
      <c r="D35" s="15"/>
      <c r="E35" s="16"/>
      <c r="F35" s="15"/>
      <c r="G35" s="20"/>
      <c r="H35" s="20"/>
      <c r="I35" s="90">
        <f t="shared" si="0"/>
      </c>
    </row>
    <row r="36" spans="2:9" s="1" customFormat="1" ht="12.75" customHeight="1">
      <c r="B36" s="17"/>
      <c r="C36" s="12"/>
      <c r="D36" s="12"/>
      <c r="E36" s="9">
        <v>821000</v>
      </c>
      <c r="F36" s="12" t="s">
        <v>13</v>
      </c>
      <c r="G36" s="20">
        <f>SUM(G37:G38)</f>
        <v>3000</v>
      </c>
      <c r="H36" s="20">
        <f>SUM(H37:H38)</f>
        <v>0</v>
      </c>
      <c r="I36" s="89">
        <f t="shared" si="0"/>
        <v>0</v>
      </c>
    </row>
    <row r="37" spans="2:9" ht="12.75" customHeight="1">
      <c r="B37" s="14"/>
      <c r="C37" s="15"/>
      <c r="D37" s="15"/>
      <c r="E37" s="16">
        <v>821200</v>
      </c>
      <c r="F37" s="15" t="s">
        <v>14</v>
      </c>
      <c r="G37" s="34">
        <v>0</v>
      </c>
      <c r="H37" s="34"/>
      <c r="I37" s="90">
        <f t="shared" si="0"/>
      </c>
    </row>
    <row r="38" spans="2:9" ht="12.75" customHeight="1">
      <c r="B38" s="14"/>
      <c r="C38" s="15"/>
      <c r="D38" s="15"/>
      <c r="E38" s="16">
        <v>821300</v>
      </c>
      <c r="F38" s="15" t="s">
        <v>15</v>
      </c>
      <c r="G38" s="34">
        <v>3000</v>
      </c>
      <c r="H38" s="34"/>
      <c r="I38" s="90">
        <f t="shared" si="0"/>
        <v>0</v>
      </c>
    </row>
    <row r="39" spans="2:9" ht="12.75" customHeight="1">
      <c r="B39" s="14"/>
      <c r="C39" s="15"/>
      <c r="D39" s="15"/>
      <c r="E39" s="16"/>
      <c r="F39" s="15"/>
      <c r="G39" s="34"/>
      <c r="H39" s="34"/>
      <c r="I39" s="90">
        <f t="shared" si="0"/>
      </c>
    </row>
    <row r="40" spans="2:9" ht="12.75" customHeight="1">
      <c r="B40" s="14"/>
      <c r="C40" s="15"/>
      <c r="D40" s="15"/>
      <c r="E40" s="16"/>
      <c r="F40" s="15"/>
      <c r="G40" s="34"/>
      <c r="H40" s="34"/>
      <c r="I40" s="90">
        <f t="shared" si="0"/>
      </c>
    </row>
    <row r="41" spans="2:9" s="1" customFormat="1" ht="12.75" customHeight="1">
      <c r="B41" s="17"/>
      <c r="C41" s="12"/>
      <c r="D41" s="12"/>
      <c r="E41" s="9"/>
      <c r="F41" s="12" t="s">
        <v>16</v>
      </c>
      <c r="G41" s="20">
        <v>3</v>
      </c>
      <c r="H41" s="20"/>
      <c r="I41" s="90"/>
    </row>
    <row r="42" spans="2:9" s="1" customFormat="1" ht="12.75" customHeight="1">
      <c r="B42" s="17"/>
      <c r="C42" s="12"/>
      <c r="D42" s="12"/>
      <c r="E42" s="9"/>
      <c r="F42" s="12" t="s">
        <v>32</v>
      </c>
      <c r="G42" s="20">
        <f>G7+G13+G17+G36</f>
        <v>132180</v>
      </c>
      <c r="H42" s="20">
        <f>H7+H13+H17+H36</f>
        <v>0</v>
      </c>
      <c r="I42" s="89">
        <f t="shared" si="0"/>
        <v>0</v>
      </c>
    </row>
    <row r="43" spans="2:9" s="1" customFormat="1" ht="12.75" customHeight="1">
      <c r="B43" s="17"/>
      <c r="C43" s="12"/>
      <c r="D43" s="12"/>
      <c r="E43" s="9"/>
      <c r="F43" s="12" t="s">
        <v>17</v>
      </c>
      <c r="G43" s="20"/>
      <c r="H43" s="20"/>
      <c r="I43" s="92"/>
    </row>
    <row r="44" spans="2:9" s="1" customFormat="1" ht="12.75" customHeight="1">
      <c r="B44" s="17"/>
      <c r="C44" s="12"/>
      <c r="D44" s="12"/>
      <c r="E44" s="9"/>
      <c r="F44" s="12" t="s">
        <v>18</v>
      </c>
      <c r="G44" s="33"/>
      <c r="H44" s="33"/>
      <c r="I44" s="91"/>
    </row>
    <row r="45" spans="2:9" ht="12.75" customHeight="1" thickBot="1">
      <c r="B45" s="21"/>
      <c r="C45" s="22"/>
      <c r="D45" s="22"/>
      <c r="E45" s="23"/>
      <c r="F45" s="22"/>
      <c r="G45" s="35"/>
      <c r="H45" s="35"/>
      <c r="I45" s="93"/>
    </row>
    <row r="46" ht="12.75">
      <c r="G46" s="55"/>
    </row>
    <row r="47" ht="12.75">
      <c r="G47" s="55"/>
    </row>
    <row r="48" ht="12.75">
      <c r="G48" s="55"/>
    </row>
    <row r="49" ht="12.75">
      <c r="G49" s="55"/>
    </row>
    <row r="50" ht="12.75">
      <c r="G50" s="55"/>
    </row>
    <row r="51" ht="12.75">
      <c r="G51" s="55"/>
    </row>
    <row r="52" ht="12.75">
      <c r="G52" s="55"/>
    </row>
    <row r="53" ht="12.75">
      <c r="G53" s="55"/>
    </row>
    <row r="54" ht="12.75">
      <c r="G54" s="55"/>
    </row>
    <row r="55" ht="12.75">
      <c r="G55" s="55"/>
    </row>
    <row r="56" ht="12.75">
      <c r="G56" s="55"/>
    </row>
    <row r="57" ht="12.75">
      <c r="G57" s="55"/>
    </row>
    <row r="58" ht="12.75">
      <c r="G58" s="55"/>
    </row>
    <row r="59" ht="12.75">
      <c r="G59" s="55"/>
    </row>
    <row r="60" ht="12.75">
      <c r="G60" s="55"/>
    </row>
    <row r="61" ht="12.75">
      <c r="G61" s="55"/>
    </row>
    <row r="62" ht="12.75">
      <c r="G62" s="55"/>
    </row>
  </sheetData>
  <sheetProtection/>
  <mergeCells count="2">
    <mergeCell ref="B2:G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operater</dc:creator>
  <cp:keywords/>
  <dc:description/>
  <cp:lastModifiedBy>RUZICA</cp:lastModifiedBy>
  <cp:lastPrinted>2017-08-27T08:56:16Z</cp:lastPrinted>
  <dcterms:created xsi:type="dcterms:W3CDTF">2004-07-23T11:14:23Z</dcterms:created>
  <dcterms:modified xsi:type="dcterms:W3CDTF">2017-08-27T09:14:19Z</dcterms:modified>
  <cp:category/>
  <cp:version/>
  <cp:contentType/>
  <cp:contentStatus/>
</cp:coreProperties>
</file>