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4785" tabRatio="964" activeTab="45"/>
  </bookViews>
  <sheets>
    <sheet name="Naslovnica" sheetId="1" r:id="rId1"/>
    <sheet name="Sadrzaj" sheetId="2" r:id="rId2"/>
    <sheet name="Uvod" sheetId="3" r:id="rId3"/>
    <sheet name="Prihodi" sheetId="4" r:id="rId4"/>
    <sheet name="Rashodi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  <sheet name="36" sheetId="41" r:id="rId41"/>
    <sheet name="37" sheetId="42" r:id="rId42"/>
    <sheet name="Sumarno" sheetId="43" r:id="rId43"/>
    <sheet name="Funkcijska" sheetId="44" r:id="rId44"/>
    <sheet name="Kap.pror." sheetId="45" r:id="rId45"/>
    <sheet name="Kraj" sheetId="46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'Funkcijska'!$1:$6</definedName>
    <definedName name="_xlnm.Print_Titles" localSheetId="3">'Prihodi'!$2:$4</definedName>
    <definedName name="_xlnm.Print_Titles" localSheetId="4">'Rashodi'!$1:$5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9">'15'!$B$1:$J$42</definedName>
    <definedName name="_xlnm.Print_Area" localSheetId="20">'16'!$A$1:$J$54</definedName>
    <definedName name="_xlnm.Print_Area" localSheetId="21">'17'!$A$1:$J$43</definedName>
    <definedName name="_xlnm.Print_Area" localSheetId="25">'21'!$A$1:$J$45</definedName>
    <definedName name="_xlnm.Print_Area" localSheetId="37">'33'!$A$1:$J$43</definedName>
    <definedName name="_xlnm.Print_Area" localSheetId="43">'Funkcijska'!$A$7:$F$114</definedName>
    <definedName name="_xlnm.Print_Area" localSheetId="3">'Prihodi'!$B$4:$F$231</definedName>
    <definedName name="_xlnm.Print_Area" localSheetId="4">'Rashodi'!$C$6:$H$128</definedName>
    <definedName name="_xlnm.Print_Area" localSheetId="1">'Sadrzaj'!$A$1:$J$47</definedName>
    <definedName name="_xlnm.Print_Area" localSheetId="2">'Uvod'!$A$1:$D$56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<sst xmlns="http://schemas.openxmlformats.org/spreadsheetml/2006/main" count="2230" uniqueCount="767">
  <si>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</si>
  <si>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</si>
  <si>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</si>
  <si>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</si>
  <si>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</si>
  <si>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</si>
  <si>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</si>
  <si>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</si>
  <si>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</si>
  <si>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</si>
  <si>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</si>
  <si>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</si>
  <si>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</si>
  <si>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</si>
  <si>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</si>
  <si>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</si>
  <si>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</si>
  <si>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</si>
  <si>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</si>
  <si>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</si>
  <si>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</si>
  <si>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</si>
  <si>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</si>
  <si>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</si>
  <si>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</si>
  <si>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</si>
  <si>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</si>
  <si>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</si>
  <si>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</si>
  <si>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</si>
  <si>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</si>
  <si>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</si>
  <si>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</si>
  <si>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</si>
  <si>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</si>
  <si>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</si>
  <si>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</si>
  <si>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</si>
  <si>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</si>
  <si>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</si>
  <si>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</si>
  <si>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</si>
  <si>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</si>
  <si>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</si>
  <si>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</si>
  <si>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</si>
  <si>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</si>
  <si>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</si>
  <si>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</si>
  <si>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</si>
  <si>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</si>
  <si>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</si>
  <si>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</si>
  <si>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</si>
  <si>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</si>
  <si>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</si>
  <si>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</si>
  <si>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</si>
  <si>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</si>
  <si>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</si>
  <si>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</si>
  <si>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</si>
  <si>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</si>
  <si>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</si>
  <si>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</si>
  <si>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</si>
  <si>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</si>
  <si>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 xml:space="preserve">Usluge prouvpožarne zaštite 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</si>
  <si>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</si>
  <si>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</si>
  <si>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</si>
  <si>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</si>
  <si>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</si>
  <si>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</si>
  <si>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</si>
  <si>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</si>
  <si>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</si>
  <si>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</si>
  <si>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</si>
  <si>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</si>
  <si>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</si>
  <si>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</si>
  <si>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</si>
  <si>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</si>
  <si>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</si>
  <si>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</si>
  <si>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</si>
  <si>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</si>
  <si>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</si>
  <si>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</si>
  <si>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</si>
  <si>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</si>
  <si>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</si>
  <si>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</si>
  <si>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</si>
  <si>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</si>
  <si>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</si>
  <si>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</si>
  <si>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</si>
  <si>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</si>
  <si>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</si>
  <si>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</si>
  <si>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</si>
  <si>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</si>
  <si>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</si>
  <si>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</si>
  <si>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</si>
  <si>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</si>
  <si>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</si>
  <si>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</si>
  <si>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</si>
  <si>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Grantovi neprofitnim org. i udruženjima građana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</si>
  <si>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</si>
  <si>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</si>
  <si>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</si>
  <si>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</si>
  <si>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</si>
  <si>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</si>
  <si>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</si>
  <si>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</si>
  <si>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</si>
  <si>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</si>
  <si>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</si>
  <si>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</si>
  <si>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</si>
  <si>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</si>
  <si>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</si>
  <si>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</si>
  <si>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</si>
  <si>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</si>
  <si>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</si>
  <si>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</si>
  <si>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</si>
  <si>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</si>
  <si>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</si>
  <si>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</si>
  <si>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</si>
  <si>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</si>
  <si>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</si>
  <si>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</si>
  <si>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</si>
  <si>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</si>
  <si>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</si>
  <si>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</si>
  <si>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</si>
  <si>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</si>
  <si>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</si>
  <si>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</si>
  <si>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</si>
  <si>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</si>
  <si>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</si>
  <si>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</si>
  <si>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</si>
  <si>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</si>
  <si>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</si>
  <si>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</si>
  <si>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</si>
  <si>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</si>
  <si>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</si>
  <si>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</si>
  <si>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</si>
  <si>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</si>
  <si>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</si>
  <si>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</si>
  <si>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</si>
  <si>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</si>
  <si>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</si>
  <si>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</si>
  <si>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</si>
  <si>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</si>
  <si>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</si>
  <si>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</si>
  <si>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</si>
  <si>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</si>
  <si>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</si>
  <si>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</si>
  <si>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</si>
  <si>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</si>
  <si>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</si>
  <si>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</si>
  <si>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</si>
  <si>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</si>
  <si>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</si>
  <si>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</si>
  <si>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</si>
  <si>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</si>
  <si>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</si>
  <si>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</si>
  <si>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</si>
  <si>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</si>
  <si>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</si>
  <si>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</si>
  <si>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</si>
  <si>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</si>
  <si>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</si>
  <si>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</si>
  <si>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</si>
  <si>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</si>
  <si>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</si>
  <si>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</si>
  <si>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</si>
  <si>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</si>
  <si>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</si>
  <si>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</si>
  <si>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</si>
  <si>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</si>
  <si>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</si>
  <si>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</si>
  <si>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</si>
  <si>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</si>
  <si>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</si>
  <si>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</si>
  <si>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</si>
  <si>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 xml:space="preserve"> Agencija za državnu službu</t>
  </si>
  <si>
    <t>615100</t>
  </si>
  <si>
    <t>1.Prihodi od poduzetničkih aktivnosti i imovine i prihodi od pozitivnih tečajnih razlika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</si>
  <si>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</si>
  <si>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</si>
  <si>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</si>
  <si>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</si>
  <si>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</si>
  <si>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</si>
  <si>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</si>
  <si>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</si>
  <si>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</si>
  <si>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</si>
  <si>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</si>
  <si>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</si>
  <si>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</si>
  <si>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</si>
  <si>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Bosna i Hercegovina
Federacija Bosne i Hercegovine
Županija Posavska
V L A D A</t>
  </si>
  <si>
    <t>Bosnia and Herzegovina
Federation of Bosnia and Herzegovina
Posavina County
G O V E R N M E N T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</si>
  <si>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</si>
  <si>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</si>
  <si>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</si>
  <si>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</si>
  <si>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</si>
  <si>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</si>
  <si>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</si>
  <si>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</si>
  <si>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</si>
  <si>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</si>
  <si>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</si>
  <si>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</si>
  <si>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Stručna služba Skupštine Županije Posavske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</si>
  <si>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</si>
  <si>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</si>
  <si>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</si>
  <si>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</si>
  <si>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</si>
  <si>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</si>
  <si>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</si>
  <si>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</si>
  <si>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</si>
  <si>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</si>
  <si>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</si>
  <si>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</si>
  <si>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</si>
  <si>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</si>
  <si>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</si>
  <si>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</si>
  <si>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</si>
  <si>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</si>
  <si>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</si>
  <si>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</si>
  <si>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</si>
  <si>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</si>
  <si>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</si>
  <si>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</si>
  <si>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</si>
  <si>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</si>
  <si>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</si>
  <si>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</si>
  <si>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</si>
  <si>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</si>
  <si>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</si>
  <si>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</si>
  <si>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</si>
  <si>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</si>
  <si>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</si>
  <si>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</si>
  <si>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</si>
  <si>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</si>
  <si>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</si>
  <si>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</si>
  <si>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</si>
  <si>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</si>
  <si>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</si>
  <si>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</si>
  <si>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</si>
  <si>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</si>
  <si>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</si>
  <si>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</si>
  <si>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</si>
  <si>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</si>
  <si>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</si>
  <si>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</si>
  <si>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</si>
  <si>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</si>
  <si>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</si>
  <si>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</si>
  <si>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</si>
  <si>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</si>
  <si>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</si>
  <si>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</si>
  <si>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</si>
  <si>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</si>
  <si>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</si>
  <si>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</si>
  <si>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</si>
  <si>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</si>
  <si>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</si>
  <si>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</si>
  <si>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</si>
  <si>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</si>
  <si>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</si>
  <si>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41.</t>
  </si>
  <si>
    <t>Ministarstvo prosvjete - Školski centar Fra Martina Nedića Orašje</t>
  </si>
  <si>
    <t>Ministarstvo prosvjete - Srednja strukovna škola Orašje</t>
  </si>
  <si>
    <t>Otplate domaćeg pozajmljivanja-MMF</t>
  </si>
  <si>
    <t>INDEKS
4/3</t>
  </si>
  <si>
    <t xml:space="preserve"> Grant za sufinanciranje osn.i srednjeg obrazovanja
 djece s posebnim potrebama</t>
  </si>
  <si>
    <t xml:space="preserve"> Grant za sufinanciranje osn.i srednjeg obrazovanja djece s 
 posebnim potrebama</t>
  </si>
  <si>
    <t xml:space="preserve"> Grant za Udrugu roditelja djece s posebnim potrebama Orašje</t>
  </si>
  <si>
    <t xml:space="preserve"> Grant za Udr.roditelja djece s pos.potrebama Orašje</t>
  </si>
  <si>
    <t xml:space="preserve"> Otplate domaćeg pozajmljivanja - MMF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</si>
  <si>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</si>
  <si>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</si>
  <si>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</si>
  <si>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</si>
  <si>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</si>
  <si>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 xml:space="preserve"> Grant za sufinanciranje nabavke udžbenika učenicima </t>
  </si>
  <si>
    <t>42.</t>
  </si>
  <si>
    <t xml:space="preserve"> Grantovi nižim razinama vlast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</si>
  <si>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</si>
  <si>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</si>
  <si>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</si>
  <si>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</si>
  <si>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</si>
  <si>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</si>
  <si>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</si>
  <si>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</si>
  <si>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</si>
  <si>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</si>
  <si>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</si>
  <si>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</si>
  <si>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</si>
  <si>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</si>
  <si>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</si>
  <si>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</si>
  <si>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</si>
  <si>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</si>
  <si>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</si>
  <si>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</si>
  <si>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</si>
  <si>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</si>
  <si>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</si>
  <si>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</si>
  <si>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</si>
  <si>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</si>
  <si>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</si>
  <si>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</si>
  <si>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</si>
  <si>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</si>
  <si>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</si>
  <si>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</si>
  <si>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</si>
  <si>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</si>
  <si>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</si>
  <si>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</si>
  <si>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</si>
  <si>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</si>
  <si>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</si>
  <si>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</si>
  <si>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</si>
  <si>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</si>
  <si>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</si>
  <si>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</si>
  <si>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</si>
  <si>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</si>
  <si>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</si>
  <si>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</si>
  <si>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</si>
  <si>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</si>
  <si>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</si>
  <si>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</si>
  <si>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</si>
  <si>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</si>
  <si>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</si>
  <si>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</si>
  <si>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</si>
  <si>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</si>
  <si>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</si>
  <si>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</si>
  <si>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</si>
  <si>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</si>
  <si>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</si>
  <si>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</si>
  <si>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</si>
  <si>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</si>
  <si>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</si>
  <si>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</si>
  <si>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</si>
  <si>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</si>
  <si>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</si>
  <si>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</si>
  <si>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</si>
  <si>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</si>
  <si>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</si>
  <si>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</si>
  <si>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Posebna vodna naknada za korištenje površ.i podzem.voda za
   flaš.vode i min.vode za uzgoj ribe u ribnj.za navod.i dr.namj.</t>
  </si>
  <si>
    <t xml:space="preserve">   Posebna vodna naknada za korištenje površinskih i podzemnih 
   voda za industrijske procese, uključujući i termoelektrane</t>
  </si>
  <si>
    <t xml:space="preserve">   Posebne naknade za zaštitu od prirodnih i dr.nesreća</t>
  </si>
  <si>
    <t xml:space="preserve">   Posebna naknada za zaštitu od prirodnih i drugih nesreća gdje 
   je osnovica sumarni iznos neto plaće za isplatu</t>
  </si>
  <si>
    <t xml:space="preserve">   Posebna naknada za zaštitu od prirodnih i drugih nesreća gdje 
   je osnovica sumarni iznos neto prim.po osnovi dr.samostalne 
   djelatnosti i povremenog samostalnog rada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</si>
  <si>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</si>
  <si>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</si>
  <si>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</si>
  <si>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</si>
  <si>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</si>
  <si>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</si>
  <si>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</si>
  <si>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</si>
  <si>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</si>
  <si>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</si>
  <si>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</si>
  <si>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</si>
  <si>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</si>
  <si>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</si>
  <si>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</si>
  <si>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</si>
  <si>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</si>
  <si>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</si>
  <si>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</si>
  <si>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</si>
  <si>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</si>
  <si>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</si>
  <si>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</si>
  <si>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</si>
  <si>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</si>
  <si>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</si>
  <si>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</si>
  <si>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INDEKS
(3/2)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</si>
  <si>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</si>
  <si>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</si>
  <si>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</si>
  <si>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</si>
  <si>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</si>
  <si>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</si>
  <si>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</si>
  <si>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</si>
  <si>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</si>
  <si>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</si>
  <si>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</si>
  <si>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</si>
  <si>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</si>
  <si>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</si>
  <si>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</si>
  <si>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</si>
  <si>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</si>
  <si>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</si>
  <si>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</si>
  <si>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</si>
  <si>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</si>
  <si>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</si>
  <si>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 xml:space="preserve">      99999999 Riznica ŽP - Proračunska potpora</t>
  </si>
  <si>
    <t xml:space="preserve">      20030002 Osnovna škola Vladimira Nazora Odžak</t>
  </si>
  <si>
    <t>7. UKUPAN SUFICIT/DEFICIT (3+6)</t>
  </si>
  <si>
    <t xml:space="preserve">      99999999 Riznica ŽP - Sanacija šteta od poplava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</si>
  <si>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</si>
  <si>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</si>
  <si>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</si>
  <si>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</si>
  <si>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</si>
  <si>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</si>
  <si>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</si>
  <si>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</si>
  <si>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</si>
  <si>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Stručna služba Skupštine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</si>
  <si>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</si>
  <si>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</si>
  <si>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</si>
  <si>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</si>
  <si>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</si>
  <si>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</si>
  <si>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</si>
  <si>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</si>
  <si>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</si>
  <si>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</si>
  <si>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</si>
  <si>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</si>
  <si>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</si>
  <si>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</si>
  <si>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</si>
  <si>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</si>
  <si>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</si>
  <si>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</si>
  <si>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</si>
  <si>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</si>
  <si>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</si>
  <si>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</si>
  <si>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</si>
  <si>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43.</t>
  </si>
  <si>
    <t>44.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</si>
  <si>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</si>
  <si>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</si>
  <si>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</si>
  <si>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</si>
  <si>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</si>
  <si>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</si>
  <si>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</si>
  <si>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</si>
  <si>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</si>
  <si>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</si>
  <si>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</si>
  <si>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</si>
  <si>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</si>
  <si>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</si>
  <si>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</si>
  <si>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</si>
  <si>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</si>
  <si>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</si>
  <si>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</si>
  <si>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</si>
  <si>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</si>
  <si>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</si>
  <si>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</si>
  <si>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</si>
  <si>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>PRORAČUN za 2016.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</si>
  <si>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</si>
  <si>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</si>
  <si>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</si>
  <si>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</si>
  <si>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</si>
  <si>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</si>
  <si>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</si>
  <si>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</si>
  <si>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</si>
  <si>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</si>
  <si>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</si>
  <si>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</si>
  <si>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</si>
  <si>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</si>
  <si>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</si>
  <si>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</si>
  <si>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</si>
  <si>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</si>
  <si>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</si>
  <si>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</si>
  <si>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</si>
  <si>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Javni red i sigurnost       (18+….+23)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</si>
  <si>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</si>
  <si>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</si>
  <si>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</si>
  <si>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</si>
  <si>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</si>
  <si>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</si>
  <si>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</si>
  <si>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</si>
  <si>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</si>
  <si>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</si>
  <si>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</si>
  <si>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</si>
  <si>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</si>
  <si>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</si>
  <si>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</si>
  <si>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</si>
  <si>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</si>
  <si>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</si>
  <si>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</si>
  <si>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</si>
  <si>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</si>
  <si>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</si>
  <si>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</si>
  <si>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</si>
  <si>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</si>
  <si>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</si>
  <si>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</si>
  <si>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</si>
  <si>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</si>
  <si>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</si>
  <si>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</si>
  <si>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</si>
  <si>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</si>
  <si>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</si>
  <si>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</si>
  <si>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</si>
  <si>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</si>
  <si>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</si>
  <si>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</si>
  <si>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</si>
  <si>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</si>
  <si>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</si>
  <si>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</si>
  <si>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</si>
  <si>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</si>
  <si>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</si>
  <si>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</si>
  <si>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</si>
  <si>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</si>
  <si>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</si>
  <si>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</si>
  <si>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</si>
  <si>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</si>
  <si>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</si>
  <si>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</si>
  <si>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</si>
  <si>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</si>
  <si>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</si>
  <si>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Grant za Udr.roditelja djece s pos.potrebama 
 Angelus Domaljevac</t>
  </si>
  <si>
    <t xml:space="preserve"> Ostali grantovi-izvršenje sudskih presuda i rješenja o izvršenju</t>
  </si>
  <si>
    <t xml:space="preserve"> Grant za Udrugu roditelja djece s posebnim potrebama Angelus Domaljevac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</si>
  <si>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</si>
  <si>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</si>
  <si>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</si>
  <si>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Ostali prihodi za korištenje, zaštitu i unapređenje šuma po 
   županijskim propisima</t>
  </si>
  <si>
    <t xml:space="preserve">   Posebna vodna naknada za vađenje materijala iz vodotoka</t>
  </si>
  <si>
    <t xml:space="preserve">   Ostali povrati</t>
  </si>
  <si>
    <t xml:space="preserve">     19010001 Min.poljoprivrede, vodoprivrede i šumarstva - DR.SHARE</t>
  </si>
  <si>
    <t xml:space="preserve">      27010001 Kant.tužiteljstvo - IPA</t>
  </si>
  <si>
    <t xml:space="preserve">      20030001 Osnovna škola Orašje</t>
  </si>
  <si>
    <t xml:space="preserve">      11010001 Vlada ŽP - Fed.minist.prostornog uređenja</t>
  </si>
  <si>
    <t xml:space="preserve">      18010001 Ministarstvo prometa, veza, turizma i zašt.okoliša
      - Federalno ministarstvo raseljenih osoba i izbjeglica</t>
  </si>
  <si>
    <t xml:space="preserve">      20030005 Osnovna škola Stjepana Radića O.Luka-Bok</t>
  </si>
  <si>
    <t xml:space="preserve">      20030006 Osnovna škola A.G.Matoša Vidovice</t>
  </si>
  <si>
    <t xml:space="preserve">      20030007 Osnovna škola Braće Radića Domaljevac</t>
  </si>
  <si>
    <t>2.1.  Rashodi - Tekuća pričuva</t>
  </si>
  <si>
    <t>2.2.  Plaće i naknade troškova zaposlenih</t>
  </si>
  <si>
    <t>2.3.  Doprinosi poslodavca i ostali doprinosi</t>
  </si>
  <si>
    <t>2.4.  Izdaci za materijal, sitan inventar i usluge</t>
  </si>
  <si>
    <t>2.5.  Tekući grantovi i drugi tekući rashodi</t>
  </si>
  <si>
    <t>2.6.  Kapitalni grantovi</t>
  </si>
  <si>
    <t>2.7.  Izdaci za kamate</t>
  </si>
  <si>
    <t xml:space="preserve">       5.1.  Izdaci za nabavku stalnih sredstava</t>
  </si>
  <si>
    <t>UKUPNO POKRIĆE DEFICITA</t>
  </si>
  <si>
    <t>UKUPNO RASHODI I IZDACI</t>
  </si>
  <si>
    <t xml:space="preserve"> Ugovorene i druge posebne usluge-volonteri (0) (0)</t>
  </si>
  <si>
    <t xml:space="preserve">   Prihodi od zakupa javnog vodnog dobra na površinskim vodama I kategorije</t>
  </si>
  <si>
    <t xml:space="preserve">   Prihodi od prodaje stanova koji su u vlasništvu nadležne razine vlasti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</si>
  <si>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</si>
  <si>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</si>
  <si>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</si>
  <si>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99999999 Riznica ŽP - Federalni stožer civilne zaštite</t>
  </si>
  <si>
    <t xml:space="preserve">   Primljeni kapitalni grantovi od općina</t>
  </si>
  <si>
    <t xml:space="preserve">      11010001 Vlada ŽP - Ured za Hrvate izvan RH</t>
  </si>
  <si>
    <t xml:space="preserve">   Primljeni kapitalni grantovi od Države</t>
  </si>
  <si>
    <t>Minist.prosv., znanosti, kulture i športa - Osnovna škola fra Ilije Starčevića Tolisa</t>
  </si>
  <si>
    <t>44 (44)</t>
  </si>
  <si>
    <t>21 (21)</t>
  </si>
  <si>
    <t xml:space="preserve">   Primici od prodaje zemljišta</t>
  </si>
  <si>
    <t xml:space="preserve">   Primici od prodaje prometnih vozila</t>
  </si>
  <si>
    <t xml:space="preserve">      11010001 Vlada Županije Posavske</t>
  </si>
  <si>
    <t xml:space="preserve"> Ostali grantovi-izvrš.sud.presuda i rješenja o izvršenju</t>
  </si>
  <si>
    <t>Grantovi i donacije</t>
  </si>
  <si>
    <t>Minist.prosv., znan., kult.i šp.- Osnovna škola Stjepana Radića Oštra Luka-Bok</t>
  </si>
  <si>
    <t xml:space="preserve">      23010001 Uprava za civilnu zaštitu -  Ambasada Švicarske u Sarajevu</t>
  </si>
  <si>
    <t>Namjenski prihodi</t>
  </si>
  <si>
    <t xml:space="preserve">   Primljeni tekući grantovi od inozemnih vlada</t>
  </si>
  <si>
    <t>INDEKS 8/7</t>
  </si>
  <si>
    <t>INDEKS 5/4</t>
  </si>
  <si>
    <t>TABLIČNI PREGLED</t>
  </si>
  <si>
    <t>Izvješće o izvršenju Proračuna</t>
  </si>
  <si>
    <t xml:space="preserve">   Prihodi od korištenja sportsko-gospodarskih lovišta</t>
  </si>
  <si>
    <t>IZVRŠENJE PRORAČUNA za 2016.</t>
  </si>
  <si>
    <t>32 (33)</t>
  </si>
  <si>
    <t>2. PRORAČUNSKI RASHODI (2.1.+2.2….+2.7.)</t>
  </si>
  <si>
    <r>
      <t>IZVJEŠĆE O IZVRŠENJU PRORAČUNA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2017. godinu</t>
    </r>
  </si>
  <si>
    <t>Ured za razvoj i europske integracije Županije Posavske</t>
  </si>
  <si>
    <t>Izvršenje Proračuna ŽP za 2017. godinu (po korisnicima i ekonom.klasifikacijama 
izdataka)</t>
  </si>
  <si>
    <t>Funkcijska klasifikacija rashoda i izdataka Proračuna Županije Posavske za 2017. godinu</t>
  </si>
  <si>
    <t>Izdaci za nabavku stalnih sredstava za 2017.g.(po pror.korisn.i izv.financiranja)</t>
  </si>
  <si>
    <t xml:space="preserve"> Županije Posavske za 2017. godinu</t>
  </si>
  <si>
    <t>PRORAČUN za 
2017.godinu</t>
  </si>
  <si>
    <t>IZVRŠENJE PRORAČUNA za 
2017.godinu</t>
  </si>
  <si>
    <t>PRORAČUN za
2017.</t>
  </si>
  <si>
    <t>IZVRŠENJE PRORAČUNA za
2017.</t>
  </si>
  <si>
    <t>PRORAČUN za 2017. (NNŽP 10/16)</t>
  </si>
  <si>
    <t>PRORAČUN za 2017. (NNŽP 9/17)</t>
  </si>
  <si>
    <t>PRORAČUN za 2017. (nakon preraspodjela)</t>
  </si>
  <si>
    <t>Izvršenje PRORAČUNA za 2017.</t>
  </si>
  <si>
    <t>IZVRŠENJE PRORAČUNA ŽUPANIJE POSAVSKE ZA 2017. GODINU (po korisnicima i ekonomskim klasifikacijama izdataka)</t>
  </si>
  <si>
    <t>FUNKCIJSKA KLASIFIKACIJA RASHODA I IZDATAKA PRORAČUNA ŽUPANIJE POSAVSKE ZA 2017.GODINU</t>
  </si>
  <si>
    <t>IZDACI ZA NABAVKU STALNIH SREDSTAVA ŽUPANIJE POSAVSKE ZA 2017. GODINU (po proračunskim korisnicima i izvorima financiranja)</t>
  </si>
  <si>
    <t xml:space="preserve">      23010001 Uprava za civilnu zaštitu -  Ambasada Češke Republike</t>
  </si>
  <si>
    <t xml:space="preserve">    Primljeni namjenski grantovi za obrazovanje - SSŠ Orašje - Udruga Nerda</t>
  </si>
  <si>
    <t xml:space="preserve">      20030005 Osnovna škola Stjepana Radića Oštra Luka-Bok</t>
  </si>
  <si>
    <t xml:space="preserve">      10010001 Skupština Županije Posavske</t>
  </si>
  <si>
    <t xml:space="preserve">      13010001 Ministarstvo unutarnjih poslova</t>
  </si>
  <si>
    <t xml:space="preserve">      19010001 Ministarstvo poljoprivrede, vodoprivrede i šumarstva</t>
  </si>
  <si>
    <t xml:space="preserve"> Naknade troškova zaposlenih - volonteri ()</t>
  </si>
  <si>
    <t xml:space="preserve"> Ugovorene i druge posebne usluge-volonteri ()</t>
  </si>
  <si>
    <t>17 (15)</t>
  </si>
  <si>
    <t>0 (2)</t>
  </si>
  <si>
    <t xml:space="preserve"> Naknade troškova zaposlenih - volonteri (60)</t>
  </si>
  <si>
    <t xml:space="preserve"> Ugovorene i druge posebne usluge-volonteri (60)</t>
  </si>
  <si>
    <t>URED ZA RAZVOJ I EUROPSKE INTEGRACIJE ŽUPANIJE POSAVSKE</t>
  </si>
  <si>
    <t xml:space="preserve"> Naknade troškova zaposlenih - volonteri (1)</t>
  </si>
  <si>
    <t xml:space="preserve"> Ugovorene i druge posebne usluge-volonteri (1)</t>
  </si>
  <si>
    <t xml:space="preserve"> Ugovorene i druge posebne usluge-prostorni plan</t>
  </si>
  <si>
    <t xml:space="preserve"> Potpora riznici</t>
  </si>
  <si>
    <t>55 (62)</t>
  </si>
  <si>
    <t>50 (52)</t>
  </si>
  <si>
    <t xml:space="preserve"> Ugovorene i druge posebne usluge-Nerda</t>
  </si>
  <si>
    <t>43 (45)</t>
  </si>
  <si>
    <t>51 (51)</t>
  </si>
  <si>
    <t>106 (110)</t>
  </si>
  <si>
    <t>42 (42)</t>
  </si>
  <si>
    <t>29 (29)</t>
  </si>
  <si>
    <t xml:space="preserve"> Naknade troškova zaposlenih - volonteri (2)</t>
  </si>
  <si>
    <t xml:space="preserve"> Ugovorene i druge posebne usluge-volonteri (2)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</si>
  <si>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</si>
  <si>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</si>
  <si>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</si>
  <si>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</si>
  <si>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</si>
  <si>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910 (926)</t>
  </si>
  <si>
    <t xml:space="preserve"> Ugovorene i druge posebne usluge-volonterski rad (64)</t>
  </si>
  <si>
    <t xml:space="preserve"> Naknade troškova zaposlenih - volonteri (64)</t>
  </si>
  <si>
    <t xml:space="preserve"> Grantovi za financiranje višeg i visokog obrazovanja i Zavoda 
 za školstvo</t>
  </si>
  <si>
    <t xml:space="preserve">   Porez na temelju autorskih prava, patenata i tehničkih unapređenja</t>
  </si>
  <si>
    <t xml:space="preserve">      20020002 Srednja škola Pere Zečevića Odžak - Fed.minist.obraz.i nauke</t>
  </si>
  <si>
    <t xml:space="preserve">      12010001 Zajednička služba Vlade</t>
  </si>
  <si>
    <t xml:space="preserve">      21010001 Ministarstvo branitelja</t>
  </si>
  <si>
    <t xml:space="preserve">   Naknade i pristojbe po Federalnim zakonima i drugim propisima</t>
  </si>
  <si>
    <t xml:space="preserve">      17010001 Minist.zdravstva, rada i socijalne politike - Civilne žrtve rata</t>
  </si>
  <si>
    <t xml:space="preserve">   Naknada za vatrog.jed.iz premije osig.imovine od požara i prirodnih sila</t>
  </si>
  <si>
    <t xml:space="preserve">   Naknada iz funkc.premije osiguranja od autoodgovornosti za vatrog.jed.</t>
  </si>
  <si>
    <t xml:space="preserve">   Naknada za zajedn.prof.vatrog.jed.iz premije osig.imov.od požara i prir.sila</t>
  </si>
  <si>
    <t xml:space="preserve">   Posebne naknade za okoliš koje plaćaju fiz.osobe pri registr.mot.vozila</t>
  </si>
  <si>
    <t xml:space="preserve">   Posebne naknade za okoliš koje plaćaju prav.osobe pri registr.mot.vozila</t>
  </si>
  <si>
    <t xml:space="preserve">   Pos.vodna naknada za korišt.vode za proizv.el.energije u hidroelektranama</t>
  </si>
  <si>
    <r>
      <t xml:space="preserve">   Prihodi od iznajmljivanja zemljišta </t>
    </r>
    <r>
      <rPr>
        <b/>
        <sz val="10"/>
        <color indexed="8"/>
        <rFont val="Arial"/>
        <family val="2"/>
      </rPr>
      <t>(razgraničenja)</t>
    </r>
  </si>
  <si>
    <r>
      <t xml:space="preserve">      19010001 Ministarstvo poljopr., vodoprivrede i šumarstva </t>
    </r>
    <r>
      <rPr>
        <b/>
        <sz val="10"/>
        <color indexed="8"/>
        <rFont val="Arial"/>
        <family val="2"/>
      </rPr>
      <t>(razgr.)</t>
    </r>
  </si>
  <si>
    <r>
      <t xml:space="preserve">      99999999 Riznica </t>
    </r>
    <r>
      <rPr>
        <b/>
        <sz val="10"/>
        <color indexed="8"/>
        <rFont val="Arial"/>
        <family val="2"/>
      </rPr>
      <t>(razgraničenja)</t>
    </r>
  </si>
  <si>
    <r>
      <t xml:space="preserve">      23010001 Uprava za civilnu zaštitu </t>
    </r>
    <r>
      <rPr>
        <b/>
        <sz val="10"/>
        <color indexed="8"/>
        <rFont val="Arial"/>
        <family val="2"/>
      </rPr>
      <t>(razgraničenja)</t>
    </r>
  </si>
  <si>
    <r>
      <t xml:space="preserve">      99999999 Riznica ŽP - Sanacija šteta od poplava </t>
    </r>
    <r>
      <rPr>
        <b/>
        <sz val="10"/>
        <color indexed="8"/>
        <rFont val="Arial"/>
        <family val="2"/>
      </rPr>
      <t>(razgraničenja)</t>
    </r>
  </si>
  <si>
    <r>
      <t xml:space="preserve">      20030007 Osnovna škola Braće Radića Domaljevac </t>
    </r>
    <r>
      <rPr>
        <b/>
        <sz val="10"/>
        <color indexed="8"/>
        <rFont val="Arial"/>
        <family val="2"/>
      </rPr>
      <t>(razgr.)</t>
    </r>
  </si>
  <si>
    <r>
      <t xml:space="preserve">      20030006 Osnovna škola A.G.Matoša Vidovice </t>
    </r>
    <r>
      <rPr>
        <b/>
        <sz val="10"/>
        <color indexed="8"/>
        <rFont val="Arial"/>
        <family val="2"/>
      </rPr>
      <t>(razgraničenja)</t>
    </r>
  </si>
  <si>
    <r>
      <t xml:space="preserve">   Nakn.u postupku promj.namjene šumskog zemljišta (krčenje) </t>
    </r>
    <r>
      <rPr>
        <b/>
        <sz val="10"/>
        <color indexed="8"/>
        <rFont val="Arial"/>
        <family val="2"/>
      </rPr>
      <t>(razgr.)</t>
    </r>
  </si>
  <si>
    <t xml:space="preserve">      20010001 Minis.prosv.,znanosti, kulture i športa - Nabavka udžbenika</t>
  </si>
  <si>
    <t xml:space="preserve">      20010001 Minist.prosv.,znanosti, kulture i športa- Nabavka sigurn.golova</t>
  </si>
  <si>
    <t xml:space="preserve">      20030002 Osn.škola Vladimira Nazora Odžak - Fed.minist.obraz.i nauke</t>
  </si>
  <si>
    <t xml:space="preserve">      20030002 Osn.škola Vladimira Nazora Odžak - Podravka d.o.o. Sarajevo</t>
  </si>
  <si>
    <t xml:space="preserve">      20030007 Osn.škola Braće Radića Domalj.- Fed.minist.obraz.i nauke</t>
  </si>
  <si>
    <r>
      <t xml:space="preserve">      20030005 Osn.škola Stjepana Radića O.Luka-Bok </t>
    </r>
    <r>
      <rPr>
        <b/>
        <sz val="10"/>
        <color indexed="8"/>
        <rFont val="Arial"/>
        <family val="2"/>
      </rPr>
      <t>(razgraničenja)</t>
    </r>
  </si>
  <si>
    <t xml:space="preserve">      20020002 Sred.škola Pere Zečevića Odžak - Ured za Hrvate izvan RH</t>
  </si>
  <si>
    <t xml:space="preserve">      20030002 Osn.škola Vladimira Nazora Odžak - Ured za Hrvate izvan RH</t>
  </si>
  <si>
    <t xml:space="preserve">      18010001 Minist.prometa, veza, turizma i zašt.okoliša - GSM licence</t>
  </si>
  <si>
    <t xml:space="preserve">      20020002 Sred.škola Pere Zečevića Odžak - Fed.minist.prostor.uređenja</t>
  </si>
  <si>
    <t xml:space="preserve">      20030002 Osn.škola Vladimira Nazora Odžak - Fed.minist.obrazovanja</t>
  </si>
  <si>
    <t xml:space="preserve">   Uplate zaost.obveza od nakn.za puteve iz cijene naft.derivata</t>
  </si>
  <si>
    <t>54 (62)</t>
  </si>
  <si>
    <t>50 (55)</t>
  </si>
  <si>
    <t>44 (61)</t>
  </si>
  <si>
    <t>108 (113)</t>
  </si>
  <si>
    <t>53 (53)</t>
  </si>
  <si>
    <t>43 (43)</t>
  </si>
  <si>
    <t>45 (45)</t>
  </si>
  <si>
    <t>23 (23)</t>
  </si>
  <si>
    <t>28 (28)</t>
  </si>
  <si>
    <t>914 (950)</t>
  </si>
  <si>
    <t>IZVRŠENJE PRORAČUNA za 2017. godinu</t>
  </si>
  <si>
    <t>Minist.prosvj., znanosti, kulture i športa - Osnovna škola A.G.Matoša Vidovice</t>
  </si>
  <si>
    <t>Minist.prosv., znan., kulture i športa - Osnovna škola Braće Radića Domaljevac</t>
  </si>
  <si>
    <t>PRILOG 1.</t>
  </si>
  <si>
    <t>Orašje, ožujak 2018.godine</t>
  </si>
  <si>
    <t>Orašje, ožujak 2018. godine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</si>
</sst>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  <numFmt numFmtId="211" formatCode="0.0%"/>
    <numFmt numFmtId="212" formatCode="0.000%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1" fillId="0" borderId="11" xfId="53" applyFont="1" applyBorder="1" applyAlignment="1">
      <alignment horizontal="center" vertical="center" textRotation="90" wrapText="1"/>
      <protection/>
    </xf>
    <xf numFmtId="0" fontId="1" fillId="0" borderId="11" xfId="53" applyFont="1" applyFill="1" applyBorder="1" applyAlignment="1">
      <alignment horizontal="center" vertical="center" textRotation="90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0" fontId="1" fillId="0" borderId="13" xfId="53" applyFont="1" applyBorder="1">
      <alignment/>
      <protection/>
    </xf>
    <xf numFmtId="0" fontId="0" fillId="0" borderId="0" xfId="53">
      <alignment/>
      <protection/>
    </xf>
    <xf numFmtId="0" fontId="0" fillId="0" borderId="12" xfId="53" applyBorder="1">
      <alignment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1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3" applyFill="1" applyBorder="1">
      <alignment/>
      <protection/>
    </xf>
    <xf numFmtId="3" fontId="1" fillId="0" borderId="13" xfId="53" applyNumberFormat="1" applyFont="1" applyBorder="1">
      <alignment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5" xfId="53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3" fontId="1" fillId="0" borderId="13" xfId="53" applyNumberFormat="1" applyFont="1" applyBorder="1" applyAlignment="1">
      <alignment horizontal="right"/>
      <protection/>
    </xf>
    <xf numFmtId="0" fontId="0" fillId="0" borderId="13" xfId="53" applyFont="1" applyBorder="1">
      <alignment/>
      <protection/>
    </xf>
    <xf numFmtId="0" fontId="1" fillId="0" borderId="13" xfId="53" applyFont="1" applyBorder="1" applyAlignment="1">
      <alignment horizontal="left"/>
      <protection/>
    </xf>
    <xf numFmtId="0" fontId="1" fillId="0" borderId="16" xfId="53" applyFont="1" applyBorder="1">
      <alignment/>
      <protection/>
    </xf>
    <xf numFmtId="0" fontId="0" fillId="33" borderId="13" xfId="53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7" xfId="53" applyBorder="1">
      <alignment/>
      <protection/>
    </xf>
    <xf numFmtId="0" fontId="1" fillId="0" borderId="17" xfId="53" applyFont="1" applyBorder="1">
      <alignment/>
      <protection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53" applyFon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2" xfId="53" applyBorder="1" applyAlignment="1">
      <alignment horizontal="center"/>
      <protection/>
    </xf>
    <xf numFmtId="49" fontId="0" fillId="0" borderId="12" xfId="53" applyNumberFormat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49" fontId="1" fillId="0" borderId="12" xfId="0" applyNumberFormat="1" applyFont="1" applyBorder="1" applyAlignment="1">
      <alignment horizontal="center"/>
    </xf>
    <xf numFmtId="0" fontId="0" fillId="0" borderId="14" xfId="53" applyBorder="1" applyAlignment="1">
      <alignment horizont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center" vertical="center"/>
      <protection/>
    </xf>
    <xf numFmtId="3" fontId="0" fillId="0" borderId="13" xfId="53" applyNumberFormat="1" applyBorder="1">
      <alignment/>
      <protection/>
    </xf>
    <xf numFmtId="3" fontId="0" fillId="0" borderId="13" xfId="53" applyNumberFormat="1" applyFont="1" applyBorder="1">
      <alignment/>
      <protection/>
    </xf>
    <xf numFmtId="3" fontId="0" fillId="0" borderId="15" xfId="53" applyNumberFormat="1" applyBorder="1">
      <alignment/>
      <protection/>
    </xf>
    <xf numFmtId="0" fontId="0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3" fontId="0" fillId="0" borderId="18" xfId="53" applyNumberFormat="1" applyBorder="1">
      <alignment/>
      <protection/>
    </xf>
    <xf numFmtId="3" fontId="1" fillId="33" borderId="13" xfId="53" applyNumberFormat="1" applyFont="1" applyFill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 horizontal="left"/>
      <protection/>
    </xf>
    <xf numFmtId="0" fontId="0" fillId="0" borderId="19" xfId="0" applyBorder="1" applyAlignment="1">
      <alignment/>
    </xf>
    <xf numFmtId="0" fontId="1" fillId="0" borderId="20" xfId="53" applyFont="1" applyBorder="1" applyAlignment="1">
      <alignment horizontal="center"/>
      <protection/>
    </xf>
    <xf numFmtId="0" fontId="0" fillId="0" borderId="21" xfId="53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19" xfId="53" applyFill="1" applyBorder="1">
      <alignment/>
      <protection/>
    </xf>
    <xf numFmtId="0" fontId="0" fillId="0" borderId="20" xfId="53" applyBorder="1" applyAlignment="1">
      <alignment horizontal="center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2" xfId="53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21" xfId="53" applyFont="1" applyBorder="1">
      <alignment/>
      <protection/>
    </xf>
    <xf numFmtId="0" fontId="0" fillId="0" borderId="0" xfId="0" applyFont="1" applyAlignment="1">
      <alignment/>
    </xf>
    <xf numFmtId="0" fontId="1" fillId="0" borderId="21" xfId="53" applyFont="1" applyBorder="1">
      <alignment/>
      <protection/>
    </xf>
    <xf numFmtId="0" fontId="0" fillId="0" borderId="19" xfId="53" applyBorder="1" applyAlignment="1">
      <alignment horizontal="center"/>
      <protection/>
    </xf>
    <xf numFmtId="0" fontId="0" fillId="0" borderId="22" xfId="53" applyBorder="1" applyAlignment="1">
      <alignment horizontal="center"/>
      <protection/>
    </xf>
    <xf numFmtId="0" fontId="0" fillId="0" borderId="23" xfId="53" applyBorder="1">
      <alignment/>
      <protection/>
    </xf>
    <xf numFmtId="0" fontId="0" fillId="0" borderId="0" xfId="53" applyBorder="1">
      <alignment/>
      <protection/>
    </xf>
    <xf numFmtId="49" fontId="0" fillId="0" borderId="12" xfId="0" applyNumberFormat="1" applyFont="1" applyBorder="1" applyAlignment="1">
      <alignment horizontal="center"/>
    </xf>
    <xf numFmtId="0" fontId="0" fillId="0" borderId="0" xfId="53" applyFont="1">
      <alignment/>
      <protection/>
    </xf>
    <xf numFmtId="3" fontId="0" fillId="0" borderId="13" xfId="53" applyNumberForma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24" xfId="53" applyNumberFormat="1" applyBorder="1">
      <alignment/>
      <protection/>
    </xf>
    <xf numFmtId="2" fontId="1" fillId="0" borderId="0" xfId="53" applyNumberFormat="1" applyFont="1">
      <alignment/>
      <protection/>
    </xf>
    <xf numFmtId="3" fontId="0" fillId="0" borderId="0" xfId="53" applyNumberFormat="1">
      <alignment/>
      <protection/>
    </xf>
    <xf numFmtId="3" fontId="1" fillId="0" borderId="0" xfId="53" applyNumberFormat="1" applyFont="1">
      <alignment/>
      <protection/>
    </xf>
    <xf numFmtId="3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12" xfId="53" applyFont="1" applyBorder="1">
      <alignment/>
      <protection/>
    </xf>
    <xf numFmtId="0" fontId="1" fillId="0" borderId="25" xfId="53" applyFont="1" applyBorder="1" applyAlignment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0" fillId="0" borderId="21" xfId="0" applyNumberFormat="1" applyBorder="1" applyAlignment="1">
      <alignment horizontal="center"/>
    </xf>
    <xf numFmtId="0" fontId="1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3" fontId="1" fillId="0" borderId="13" xfId="53" applyNumberFormat="1" applyFont="1" applyFill="1" applyBorder="1">
      <alignment/>
      <protection/>
    </xf>
    <xf numFmtId="3" fontId="0" fillId="0" borderId="13" xfId="53" applyNumberFormat="1" applyFont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0" xfId="53" applyFont="1" applyFill="1">
      <alignment/>
      <protection/>
    </xf>
    <xf numFmtId="0" fontId="0" fillId="0" borderId="0" xfId="53" applyFill="1">
      <alignment/>
      <protection/>
    </xf>
    <xf numFmtId="0" fontId="1" fillId="0" borderId="0" xfId="53" applyFont="1" applyFill="1">
      <alignment/>
      <protection/>
    </xf>
    <xf numFmtId="0" fontId="0" fillId="0" borderId="13" xfId="0" applyFill="1" applyBorder="1" applyAlignment="1">
      <alignment/>
    </xf>
    <xf numFmtId="0" fontId="0" fillId="0" borderId="13" xfId="53" applyFont="1" applyFill="1" applyBorder="1">
      <alignment/>
      <protection/>
    </xf>
    <xf numFmtId="3" fontId="0" fillId="0" borderId="13" xfId="53" applyNumberFormat="1" applyFont="1" applyFill="1" applyBorder="1">
      <alignment/>
      <protection/>
    </xf>
    <xf numFmtId="0" fontId="0" fillId="0" borderId="21" xfId="53" applyFill="1" applyBorder="1" applyAlignment="1">
      <alignment horizontal="center"/>
      <protection/>
    </xf>
    <xf numFmtId="0" fontId="0" fillId="0" borderId="13" xfId="53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3" fontId="0" fillId="0" borderId="13" xfId="53" applyNumberFormat="1" applyFont="1" applyFill="1" applyBorder="1" applyProtection="1">
      <alignment/>
      <protection locked="0"/>
    </xf>
    <xf numFmtId="49" fontId="0" fillId="0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21" xfId="53" applyFont="1" applyFill="1" applyBorder="1" applyAlignment="1">
      <alignment horizontal="center"/>
      <protection/>
    </xf>
    <xf numFmtId="1" fontId="0" fillId="0" borderId="0" xfId="53" applyNumberFormat="1" applyFont="1">
      <alignment/>
      <protection/>
    </xf>
    <xf numFmtId="2" fontId="0" fillId="0" borderId="0" xfId="53" applyNumberFormat="1" applyFont="1">
      <alignment/>
      <protection/>
    </xf>
    <xf numFmtId="3" fontId="1" fillId="0" borderId="13" xfId="53" applyNumberFormat="1" applyFont="1" applyFill="1" applyBorder="1" applyAlignment="1">
      <alignment horizontal="right"/>
      <protection/>
    </xf>
    <xf numFmtId="49" fontId="1" fillId="0" borderId="12" xfId="53" applyNumberFormat="1" applyFont="1" applyFill="1" applyBorder="1" applyAlignment="1">
      <alignment horizontal="center"/>
      <protection/>
    </xf>
    <xf numFmtId="49" fontId="1" fillId="0" borderId="13" xfId="53" applyNumberFormat="1" applyFont="1" applyFill="1" applyBorder="1" applyAlignment="1">
      <alignment horizontal="center"/>
      <protection/>
    </xf>
    <xf numFmtId="3" fontId="1" fillId="0" borderId="0" xfId="53" applyNumberFormat="1" applyFont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" fillId="34" borderId="11" xfId="0" applyFont="1" applyFill="1" applyBorder="1" applyAlignment="1">
      <alignment horizontal="center" vertical="center" wrapText="1"/>
    </xf>
    <xf numFmtId="4" fontId="0" fillId="0" borderId="0" xfId="53" applyNumberFormat="1">
      <alignment/>
      <protection/>
    </xf>
    <xf numFmtId="4" fontId="1" fillId="34" borderId="28" xfId="53" applyNumberFormat="1" applyFont="1" applyFill="1" applyBorder="1" applyAlignment="1">
      <alignment horizontal="center" vertical="center" wrapText="1"/>
      <protection/>
    </xf>
    <xf numFmtId="4" fontId="0" fillId="0" borderId="29" xfId="53" applyNumberFormat="1" applyBorder="1">
      <alignment/>
      <protection/>
    </xf>
    <xf numFmtId="4" fontId="1" fillId="0" borderId="29" xfId="53" applyNumberFormat="1" applyFont="1" applyBorder="1">
      <alignment/>
      <protection/>
    </xf>
    <xf numFmtId="4" fontId="0" fillId="0" borderId="30" xfId="53" applyNumberFormat="1" applyBorder="1">
      <alignment/>
      <protection/>
    </xf>
    <xf numFmtId="4" fontId="6" fillId="0" borderId="0" xfId="53" applyNumberFormat="1" applyFont="1" applyAlignment="1">
      <alignment horizontal="left"/>
      <protection/>
    </xf>
    <xf numFmtId="4" fontId="1" fillId="0" borderId="0" xfId="53" applyNumberFormat="1" applyFont="1" applyAlignment="1">
      <alignment horizontal="left"/>
      <protection/>
    </xf>
    <xf numFmtId="4" fontId="1" fillId="0" borderId="0" xfId="53" applyNumberFormat="1" applyFont="1" applyFill="1" applyAlignment="1">
      <alignment horizontal="left"/>
      <protection/>
    </xf>
    <xf numFmtId="4" fontId="0" fillId="0" borderId="24" xfId="53" applyNumberFormat="1" applyBorder="1">
      <alignment/>
      <protection/>
    </xf>
    <xf numFmtId="4" fontId="1" fillId="0" borderId="31" xfId="53" applyNumberFormat="1" applyFont="1" applyFill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/>
      <protection/>
    </xf>
    <xf numFmtId="4" fontId="1" fillId="0" borderId="32" xfId="53" applyNumberFormat="1" applyFont="1" applyBorder="1" applyAlignment="1">
      <alignment horizontal="center"/>
      <protection/>
    </xf>
    <xf numFmtId="4" fontId="1" fillId="0" borderId="32" xfId="53" applyNumberFormat="1" applyFont="1" applyFill="1" applyBorder="1">
      <alignment/>
      <protection/>
    </xf>
    <xf numFmtId="4" fontId="0" fillId="0" borderId="32" xfId="53" applyNumberFormat="1" applyFont="1" applyFill="1" applyBorder="1">
      <alignment/>
      <protection/>
    </xf>
    <xf numFmtId="4" fontId="0" fillId="0" borderId="32" xfId="53" applyNumberFormat="1" applyBorder="1">
      <alignment/>
      <protection/>
    </xf>
    <xf numFmtId="4" fontId="1" fillId="0" borderId="32" xfId="53" applyNumberFormat="1" applyFont="1" applyBorder="1">
      <alignment/>
      <protection/>
    </xf>
    <xf numFmtId="4" fontId="0" fillId="0" borderId="33" xfId="53" applyNumberFormat="1" applyBorder="1">
      <alignment/>
      <protection/>
    </xf>
    <xf numFmtId="3" fontId="0" fillId="0" borderId="19" xfId="53" applyNumberFormat="1" applyBorder="1">
      <alignment/>
      <protection/>
    </xf>
    <xf numFmtId="3" fontId="1" fillId="33" borderId="19" xfId="53" applyNumberFormat="1" applyFont="1" applyFill="1" applyBorder="1">
      <alignment/>
      <protection/>
    </xf>
    <xf numFmtId="3" fontId="0" fillId="0" borderId="19" xfId="53" applyNumberFormat="1" applyFont="1" applyBorder="1">
      <alignment/>
      <protection/>
    </xf>
    <xf numFmtId="3" fontId="0" fillId="0" borderId="19" xfId="53" applyNumberFormat="1" applyFill="1" applyBorder="1">
      <alignment/>
      <protection/>
    </xf>
    <xf numFmtId="0" fontId="1" fillId="0" borderId="19" xfId="53" applyFont="1" applyBorder="1" applyAlignment="1">
      <alignment horizontal="center"/>
      <protection/>
    </xf>
    <xf numFmtId="3" fontId="1" fillId="0" borderId="19" xfId="53" applyNumberFormat="1" applyFont="1" applyFill="1" applyBorder="1" applyAlignment="1">
      <alignment horizontal="right"/>
      <protection/>
    </xf>
    <xf numFmtId="3" fontId="1" fillId="0" borderId="19" xfId="53" applyNumberFormat="1" applyFont="1" applyBorder="1">
      <alignment/>
      <protection/>
    </xf>
    <xf numFmtId="3" fontId="0" fillId="0" borderId="19" xfId="53" applyNumberFormat="1" applyFont="1" applyFill="1" applyBorder="1">
      <alignment/>
      <protection/>
    </xf>
    <xf numFmtId="3" fontId="1" fillId="0" borderId="13" xfId="53" applyNumberFormat="1" applyFont="1" applyBorder="1" applyAlignment="1">
      <alignment horizontal="center"/>
      <protection/>
    </xf>
    <xf numFmtId="3" fontId="0" fillId="0" borderId="13" xfId="53" applyNumberFormat="1" applyFont="1" applyFill="1" applyBorder="1">
      <alignment/>
      <protection/>
    </xf>
    <xf numFmtId="3" fontId="1" fillId="0" borderId="13" xfId="53" applyNumberFormat="1" applyFont="1" applyFill="1" applyBorder="1">
      <alignment/>
      <protection/>
    </xf>
    <xf numFmtId="4" fontId="1" fillId="0" borderId="32" xfId="53" applyNumberFormat="1" applyFont="1" applyBorder="1" applyAlignment="1">
      <alignment horizontal="right"/>
      <protection/>
    </xf>
    <xf numFmtId="3" fontId="0" fillId="0" borderId="13" xfId="53" applyNumberFormat="1" applyFont="1" applyFill="1" applyBorder="1">
      <alignment/>
      <protection/>
    </xf>
    <xf numFmtId="4" fontId="1" fillId="0" borderId="32" xfId="53" applyNumberFormat="1" applyFont="1" applyFill="1" applyBorder="1" applyAlignment="1">
      <alignment horizontal="right"/>
      <protection/>
    </xf>
    <xf numFmtId="4" fontId="1" fillId="0" borderId="33" xfId="53" applyNumberFormat="1" applyFont="1" applyBorder="1">
      <alignment/>
      <protection/>
    </xf>
    <xf numFmtId="3" fontId="1" fillId="0" borderId="15" xfId="53" applyNumberFormat="1" applyFont="1" applyBorder="1">
      <alignment/>
      <protection/>
    </xf>
    <xf numFmtId="4" fontId="0" fillId="0" borderId="32" xfId="53" applyNumberFormat="1" applyFont="1" applyBorder="1" applyAlignment="1">
      <alignment horizontal="right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3" fontId="0" fillId="0" borderId="0" xfId="53" applyNumberFormat="1" applyFont="1">
      <alignment/>
      <protection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7" fillId="0" borderId="23" xfId="53" applyNumberFormat="1" applyFont="1" applyBorder="1" applyAlignment="1">
      <alignment/>
      <protection/>
    </xf>
    <xf numFmtId="164" fontId="11" fillId="0" borderId="23" xfId="0" applyNumberFormat="1" applyFont="1" applyBorder="1" applyAlignment="1">
      <alignment/>
    </xf>
    <xf numFmtId="0" fontId="0" fillId="0" borderId="12" xfId="53" applyBorder="1" applyAlignment="1">
      <alignment vertical="center"/>
      <protection/>
    </xf>
    <xf numFmtId="0" fontId="0" fillId="0" borderId="13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0" fillId="0" borderId="13" xfId="53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3" applyNumberFormat="1" applyFont="1" applyFill="1" applyBorder="1" applyAlignment="1">
      <alignment vertical="center"/>
      <protection/>
    </xf>
    <xf numFmtId="4" fontId="0" fillId="0" borderId="32" xfId="53" applyNumberFormat="1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Font="1" applyFill="1" applyBorder="1" applyAlignment="1">
      <alignment vertical="center" wrapText="1"/>
      <protection/>
    </xf>
    <xf numFmtId="3" fontId="0" fillId="0" borderId="19" xfId="53" applyNumberFormat="1" applyFont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3" fontId="0" fillId="0" borderId="0" xfId="53" applyNumberFormat="1" applyFont="1" applyAlignment="1">
      <alignment vertical="center"/>
      <protection/>
    </xf>
    <xf numFmtId="4" fontId="1" fillId="0" borderId="32" xfId="53" applyNumberFormat="1" applyFont="1" applyFill="1" applyBorder="1">
      <alignment/>
      <protection/>
    </xf>
    <xf numFmtId="3" fontId="1" fillId="0" borderId="1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/>
    </xf>
    <xf numFmtId="3" fontId="12" fillId="0" borderId="17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0" fontId="12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35" borderId="13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left" vertical="center"/>
    </xf>
    <xf numFmtId="3" fontId="1" fillId="35" borderId="34" xfId="0" applyNumberFormat="1" applyFont="1" applyFill="1" applyBorder="1" applyAlignment="1">
      <alignment/>
    </xf>
    <xf numFmtId="0" fontId="1" fillId="35" borderId="35" xfId="0" applyFont="1" applyFill="1" applyBorder="1" applyAlignment="1">
      <alignment/>
    </xf>
    <xf numFmtId="3" fontId="1" fillId="35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4" fontId="0" fillId="0" borderId="36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2" fontId="1" fillId="35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/>
    </xf>
    <xf numFmtId="2" fontId="1" fillId="35" borderId="13" xfId="0" applyNumberFormat="1" applyFont="1" applyFill="1" applyBorder="1" applyAlignment="1">
      <alignment horizontal="right"/>
    </xf>
    <xf numFmtId="2" fontId="1" fillId="35" borderId="34" xfId="0" applyNumberFormat="1" applyFont="1" applyFill="1" applyBorder="1" applyAlignment="1">
      <alignment horizontal="right"/>
    </xf>
    <xf numFmtId="2" fontId="1" fillId="35" borderId="35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9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/>
    </xf>
    <xf numFmtId="4" fontId="1" fillId="0" borderId="0" xfId="53" applyNumberFormat="1" applyFont="1" applyAlignment="1">
      <alignment horizontal="center"/>
      <protection/>
    </xf>
    <xf numFmtId="0" fontId="1" fillId="35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4" fontId="0" fillId="0" borderId="0" xfId="53" applyNumberFormat="1" applyFont="1">
      <alignment/>
      <protection/>
    </xf>
    <xf numFmtId="3" fontId="0" fillId="0" borderId="0" xfId="53" applyNumberFormat="1" applyFill="1">
      <alignment/>
      <protection/>
    </xf>
    <xf numFmtId="4" fontId="0" fillId="0" borderId="0" xfId="53" applyNumberFormat="1" applyFill="1">
      <alignment/>
      <protection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209" fontId="1" fillId="34" borderId="13" xfId="0" applyNumberFormat="1" applyFont="1" applyFill="1" applyBorder="1" applyAlignment="1">
      <alignment horizontal="left" vertical="center" wrapText="1"/>
    </xf>
    <xf numFmtId="3" fontId="1" fillId="34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9" fontId="0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4" fontId="1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1" fillId="34" borderId="13" xfId="0" applyNumberFormat="1" applyFont="1" applyFill="1" applyBorder="1" applyAlignment="1">
      <alignment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>
      <alignment/>
      <protection/>
    </xf>
    <xf numFmtId="0" fontId="0" fillId="0" borderId="13" xfId="53" applyFont="1" applyFill="1" applyBorder="1" applyAlignment="1">
      <alignment wrapText="1"/>
      <protection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43" fontId="1" fillId="0" borderId="0" xfId="67" applyFont="1" applyFill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43" fontId="1" fillId="0" borderId="0" xfId="67" applyFont="1" applyAlignment="1">
      <alignment/>
    </xf>
    <xf numFmtId="4" fontId="8" fillId="36" borderId="29" xfId="0" applyNumberFormat="1" applyFont="1" applyFill="1" applyBorder="1" applyAlignment="1">
      <alignment/>
    </xf>
    <xf numFmtId="4" fontId="1" fillId="36" borderId="29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36" borderId="38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0" fontId="0" fillId="0" borderId="13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4" fontId="13" fillId="0" borderId="29" xfId="0" applyNumberFormat="1" applyFont="1" applyBorder="1" applyAlignment="1">
      <alignment/>
    </xf>
    <xf numFmtId="4" fontId="13" fillId="0" borderId="29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wrapText="1"/>
    </xf>
    <xf numFmtId="3" fontId="1" fillId="36" borderId="17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3" xfId="35" applyNumberFormat="1" applyFont="1" applyFill="1" applyBorder="1" applyAlignment="1">
      <alignment wrapText="1"/>
    </xf>
    <xf numFmtId="3" fontId="1" fillId="36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53" applyNumberFormat="1" applyFont="1" applyFill="1">
      <alignment/>
      <protection/>
    </xf>
    <xf numFmtId="2" fontId="1" fillId="0" borderId="0" xfId="53" applyNumberFormat="1" applyFont="1" applyFill="1">
      <alignment/>
      <protection/>
    </xf>
    <xf numFmtId="3" fontId="0" fillId="0" borderId="13" xfId="53" applyNumberFormat="1" applyFont="1" applyBorder="1">
      <alignment/>
      <protection/>
    </xf>
    <xf numFmtId="3" fontId="0" fillId="0" borderId="19" xfId="0" applyNumberFormat="1" applyBorder="1" applyAlignment="1">
      <alignment/>
    </xf>
    <xf numFmtId="3" fontId="0" fillId="0" borderId="19" xfId="53" applyNumberFormat="1" applyFont="1" applyBorder="1" applyAlignment="1">
      <alignment horizontal="right"/>
      <protection/>
    </xf>
    <xf numFmtId="3" fontId="1" fillId="0" borderId="19" xfId="53" applyNumberFormat="1" applyFont="1" applyBorder="1" applyAlignment="1">
      <alignment horizontal="right"/>
      <protection/>
    </xf>
    <xf numFmtId="3" fontId="0" fillId="0" borderId="19" xfId="53" applyNumberFormat="1" applyFont="1" applyBorder="1" applyAlignment="1">
      <alignment horizontal="right"/>
      <protection/>
    </xf>
    <xf numFmtId="3" fontId="0" fillId="0" borderId="19" xfId="53" applyNumberFormat="1" applyBorder="1" applyAlignment="1">
      <alignment horizontal="right"/>
      <protection/>
    </xf>
    <xf numFmtId="3" fontId="0" fillId="0" borderId="19" xfId="53" applyNumberFormat="1" applyFont="1" applyBorder="1" applyAlignment="1">
      <alignment horizontal="right"/>
      <protection/>
    </xf>
    <xf numFmtId="3" fontId="0" fillId="0" borderId="19" xfId="53" applyNumberFormat="1" applyFill="1" applyBorder="1" applyAlignment="1">
      <alignment horizontal="right"/>
      <protection/>
    </xf>
    <xf numFmtId="3" fontId="0" fillId="0" borderId="19" xfId="53" applyNumberFormat="1" applyFont="1" applyFill="1" applyBorder="1" applyAlignment="1">
      <alignment horizontal="right"/>
      <protection/>
    </xf>
    <xf numFmtId="3" fontId="0" fillId="0" borderId="19" xfId="53" applyNumberFormat="1" applyFont="1" applyFill="1" applyBorder="1" applyAlignment="1">
      <alignment horizontal="right"/>
      <protection/>
    </xf>
    <xf numFmtId="3" fontId="0" fillId="0" borderId="19" xfId="53" applyNumberFormat="1" applyFont="1" applyFill="1" applyBorder="1" applyAlignment="1">
      <alignment horizontal="right" vertical="center" wrapText="1"/>
      <protection/>
    </xf>
    <xf numFmtId="3" fontId="0" fillId="33" borderId="19" xfId="53" applyNumberFormat="1" applyFont="1" applyFill="1" applyBorder="1" applyAlignment="1">
      <alignment horizontal="right"/>
      <protection/>
    </xf>
    <xf numFmtId="3" fontId="0" fillId="0" borderId="19" xfId="53" applyNumberFormat="1" applyFont="1" applyFill="1" applyBorder="1" applyAlignment="1">
      <alignment horizontal="right"/>
      <protection/>
    </xf>
    <xf numFmtId="0" fontId="0" fillId="0" borderId="19" xfId="53" applyFont="1" applyFill="1" applyBorder="1" applyAlignment="1">
      <alignment horizontal="right"/>
      <protection/>
    </xf>
    <xf numFmtId="3" fontId="0" fillId="0" borderId="13" xfId="53" applyNumberFormat="1" applyBorder="1" applyAlignment="1">
      <alignment horizontal="right"/>
      <protection/>
    </xf>
    <xf numFmtId="4" fontId="1" fillId="0" borderId="3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19" xfId="53" applyNumberFormat="1" applyFont="1" applyFill="1" applyBorder="1" applyAlignment="1">
      <alignment horizontal="right" wrapText="1"/>
      <protection/>
    </xf>
    <xf numFmtId="3" fontId="1" fillId="0" borderId="13" xfId="54" applyNumberFormat="1" applyFont="1" applyFill="1" applyBorder="1">
      <alignment/>
      <protection/>
    </xf>
    <xf numFmtId="3" fontId="0" fillId="0" borderId="13" xfId="54" applyNumberFormat="1" applyFont="1" applyFill="1" applyBorder="1">
      <alignment/>
      <protection/>
    </xf>
    <xf numFmtId="3" fontId="0" fillId="0" borderId="13" xfId="54" applyNumberFormat="1" applyFont="1" applyFill="1" applyBorder="1">
      <alignment/>
      <protection/>
    </xf>
    <xf numFmtId="3" fontId="1" fillId="37" borderId="13" xfId="54" applyNumberFormat="1" applyFont="1" applyFill="1" applyBorder="1">
      <alignment/>
      <protection/>
    </xf>
    <xf numFmtId="3" fontId="0" fillId="37" borderId="13" xfId="54" applyNumberFormat="1" applyFont="1" applyFill="1" applyBorder="1">
      <alignment/>
      <protection/>
    </xf>
    <xf numFmtId="3" fontId="0" fillId="37" borderId="13" xfId="54" applyNumberFormat="1" applyFont="1" applyFill="1" applyBorder="1">
      <alignment/>
      <protection/>
    </xf>
    <xf numFmtId="0" fontId="1" fillId="0" borderId="13" xfId="53" applyFont="1" applyFill="1" applyBorder="1">
      <alignment/>
      <protection/>
    </xf>
    <xf numFmtId="3" fontId="0" fillId="37" borderId="13" xfId="53" applyNumberFormat="1" applyFont="1" applyFill="1" applyBorder="1">
      <alignment/>
      <protection/>
    </xf>
    <xf numFmtId="0" fontId="6" fillId="0" borderId="12" xfId="53" applyFont="1" applyBorder="1" applyAlignment="1">
      <alignment horizontal="right" vertical="top"/>
      <protection/>
    </xf>
    <xf numFmtId="0" fontId="6" fillId="0" borderId="13" xfId="53" applyFont="1" applyBorder="1">
      <alignment/>
      <protection/>
    </xf>
    <xf numFmtId="3" fontId="6" fillId="0" borderId="13" xfId="53" applyNumberFormat="1" applyFont="1" applyBorder="1">
      <alignment/>
      <protection/>
    </xf>
    <xf numFmtId="4" fontId="6" fillId="0" borderId="32" xfId="53" applyNumberFormat="1" applyFont="1" applyBorder="1" applyAlignment="1">
      <alignment horizontal="right"/>
      <protection/>
    </xf>
    <xf numFmtId="0" fontId="6" fillId="0" borderId="13" xfId="53" applyFont="1" applyFill="1" applyBorder="1">
      <alignment/>
      <protection/>
    </xf>
    <xf numFmtId="3" fontId="6" fillId="0" borderId="13" xfId="53" applyNumberFormat="1" applyFont="1" applyFill="1" applyBorder="1">
      <alignment/>
      <protection/>
    </xf>
    <xf numFmtId="3" fontId="6" fillId="0" borderId="13" xfId="53" applyNumberFormat="1" applyFont="1" applyFill="1" applyBorder="1" applyProtection="1">
      <alignment/>
      <protection locked="0"/>
    </xf>
    <xf numFmtId="0" fontId="0" fillId="0" borderId="12" xfId="53" applyFont="1" applyBorder="1" applyAlignment="1">
      <alignment horizontal="center" vertical="top"/>
      <protection/>
    </xf>
    <xf numFmtId="0" fontId="6" fillId="0" borderId="13" xfId="0" applyFont="1" applyBorder="1" applyAlignment="1">
      <alignment/>
    </xf>
    <xf numFmtId="0" fontId="6" fillId="0" borderId="21" xfId="53" applyFont="1" applyBorder="1">
      <alignment/>
      <protection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0" fillId="0" borderId="13" xfId="53" applyFont="1" applyFill="1" applyBorder="1" applyAlignment="1">
      <alignment wrapText="1"/>
      <protection/>
    </xf>
    <xf numFmtId="0" fontId="6" fillId="0" borderId="13" xfId="53" applyFont="1" applyFill="1" applyBorder="1" applyAlignment="1">
      <alignment wrapText="1"/>
      <protection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2" xfId="53" applyFont="1" applyBorder="1" applyAlignment="1">
      <alignment horizontal="right"/>
      <protection/>
    </xf>
    <xf numFmtId="0" fontId="6" fillId="0" borderId="12" xfId="53" applyFont="1" applyFill="1" applyBorder="1" applyAlignment="1">
      <alignment horizontal="right"/>
      <protection/>
    </xf>
    <xf numFmtId="49" fontId="6" fillId="0" borderId="12" xfId="0" applyNumberFormat="1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8" fillId="36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21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8" xfId="53" applyFont="1" applyFill="1" applyBorder="1" applyAlignment="1">
      <alignment horizontal="center" vertical="center" wrapText="1"/>
      <protection/>
    </xf>
    <xf numFmtId="0" fontId="17" fillId="0" borderId="3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40" xfId="54" applyFont="1" applyFill="1" applyBorder="1" applyAlignment="1">
      <alignment horizontal="center" vertical="center" wrapText="1"/>
      <protection/>
    </xf>
    <xf numFmtId="0" fontId="17" fillId="0" borderId="29" xfId="54" applyFont="1" applyFill="1" applyBorder="1" applyAlignment="1">
      <alignment horizontal="center" vertical="center" wrapText="1"/>
      <protection/>
    </xf>
    <xf numFmtId="0" fontId="8" fillId="36" borderId="12" xfId="0" applyFont="1" applyFill="1" applyBorder="1" applyAlignment="1">
      <alignment horizontal="center"/>
    </xf>
    <xf numFmtId="3" fontId="8" fillId="36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39" xfId="0" applyFont="1" applyBorder="1" applyAlignment="1">
      <alignment horizontal="right"/>
    </xf>
    <xf numFmtId="3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3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8" fillId="36" borderId="13" xfId="0" applyFont="1" applyFill="1" applyBorder="1" applyAlignment="1">
      <alignment wrapText="1"/>
    </xf>
    <xf numFmtId="0" fontId="12" fillId="36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8" fillId="36" borderId="1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42" xfId="0" applyNumberFormat="1" applyFont="1" applyBorder="1" applyAlignment="1">
      <alignment/>
    </xf>
    <xf numFmtId="3" fontId="8" fillId="36" borderId="4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37" borderId="13" xfId="0" applyNumberFormat="1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9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196" fontId="4" fillId="0" borderId="23" xfId="35" applyNumberFormat="1" applyFont="1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8" fillId="0" borderId="44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8" fillId="36" borderId="22" xfId="0" applyFont="1" applyFill="1" applyBorder="1" applyAlignment="1">
      <alignment horizontal="right" wrapText="1"/>
    </xf>
    <xf numFmtId="0" fontId="8" fillId="36" borderId="45" xfId="0" applyFont="1" applyFill="1" applyBorder="1" applyAlignment="1">
      <alignment horizontal="right" wrapText="1"/>
    </xf>
    <xf numFmtId="3" fontId="4" fillId="0" borderId="23" xfId="53" applyNumberFormat="1" applyFont="1" applyBorder="1" applyAlignment="1">
      <alignment horizontal="left"/>
      <protection/>
    </xf>
    <xf numFmtId="0" fontId="4" fillId="0" borderId="23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0" fillId="0" borderId="0" xfId="54" applyFont="1" applyFill="1" applyAlignment="1">
      <alignment horizontal="justify" vertical="top" wrapText="1"/>
      <protection/>
    </xf>
    <xf numFmtId="0" fontId="0" fillId="0" borderId="0" xfId="0" applyFill="1" applyAlignment="1">
      <alignment horizontal="justify" vertical="top"/>
    </xf>
    <xf numFmtId="0" fontId="1" fillId="0" borderId="0" xfId="53" applyFont="1" applyAlignment="1">
      <alignment horizontal="left"/>
      <protection/>
    </xf>
    <xf numFmtId="0" fontId="1" fillId="0" borderId="23" xfId="53" applyFont="1" applyBorder="1" applyAlignment="1">
      <alignment horizontal="right"/>
      <protection/>
    </xf>
    <xf numFmtId="0" fontId="1" fillId="0" borderId="0" xfId="53" applyFont="1" applyFill="1" applyAlignment="1">
      <alignment horizontal="left"/>
      <protection/>
    </xf>
    <xf numFmtId="0" fontId="1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senje300903-s planom" xfId="34"/>
    <cellStyle name="Comma_izvrsenje300903-s planom 2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sablon1-230704" xfId="53"/>
    <cellStyle name="Normal_sablon1-230704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161925</xdr:rowOff>
    </xdr:from>
    <xdr:to>
      <xdr:col>6</xdr:col>
      <xdr:colOff>295275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61925"/>
          <a:ext cx="13811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161925</xdr:rowOff>
    </xdr:from>
    <xdr:to>
      <xdr:col>6</xdr:col>
      <xdr:colOff>295275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61925"/>
          <a:ext cx="13811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3">
      <selection activeCell="H45" sqref="H45"/>
    </sheetView>
  </sheetViews>
  <sheetFormatPr defaultColWidth="9.140625" defaultRowHeight="12.75"/>
  <cols>
    <col min="3" max="3" width="12.57421875" style="0" customWidth="1"/>
    <col min="4" max="4" width="4.57421875" style="0" customWidth="1"/>
    <col min="6" max="6" width="4.421875" style="0" customWidth="1"/>
    <col min="9" max="9" width="20.00390625" style="0" customWidth="1"/>
  </cols>
  <sheetData>
    <row r="1" spans="1:9" ht="12.75">
      <c r="A1" s="428"/>
      <c r="B1" s="428"/>
      <c r="C1" s="428"/>
      <c r="D1" s="428"/>
      <c r="E1" s="428"/>
      <c r="F1" s="428"/>
      <c r="G1" s="428"/>
      <c r="H1" s="428"/>
      <c r="I1" s="428"/>
    </row>
    <row r="2" spans="1:9" ht="12.75">
      <c r="A2" s="429" t="s">
        <v>230</v>
      </c>
      <c r="B2" s="430"/>
      <c r="C2" s="430"/>
      <c r="G2" s="429" t="s">
        <v>231</v>
      </c>
      <c r="H2" s="430"/>
      <c r="I2" s="430"/>
    </row>
    <row r="3" spans="1:9" ht="12.75">
      <c r="A3" s="430"/>
      <c r="B3" s="430"/>
      <c r="C3" s="430"/>
      <c r="G3" s="430"/>
      <c r="H3" s="430"/>
      <c r="I3" s="430"/>
    </row>
    <row r="4" spans="1:9" ht="12.75">
      <c r="A4" s="430"/>
      <c r="B4" s="430"/>
      <c r="C4" s="430"/>
      <c r="G4" s="430"/>
      <c r="H4" s="430"/>
      <c r="I4" s="430"/>
    </row>
    <row r="5" spans="1:9" ht="12.75">
      <c r="A5" s="430"/>
      <c r="B5" s="430"/>
      <c r="C5" s="430"/>
      <c r="G5" s="430"/>
      <c r="H5" s="430"/>
      <c r="I5" s="430"/>
    </row>
    <row r="6" spans="1:9" ht="12.75">
      <c r="A6" s="430"/>
      <c r="B6" s="430"/>
      <c r="C6" s="430"/>
      <c r="G6" s="430"/>
      <c r="H6" s="430"/>
      <c r="I6" s="430"/>
    </row>
    <row r="7" spans="1:9" ht="12.75">
      <c r="A7" s="430"/>
      <c r="B7" s="430"/>
      <c r="C7" s="430"/>
      <c r="G7" s="430"/>
      <c r="H7" s="430"/>
      <c r="I7" s="430"/>
    </row>
    <row r="8" spans="1:9" ht="12.75">
      <c r="A8" s="110"/>
      <c r="B8" s="110"/>
      <c r="C8" s="110"/>
      <c r="D8" s="110"/>
      <c r="E8" s="110"/>
      <c r="F8" s="110"/>
      <c r="G8" s="110"/>
      <c r="H8" s="110"/>
      <c r="I8" s="110"/>
    </row>
    <row r="12" spans="7:9" ht="18.75">
      <c r="G12" s="425" t="s">
        <v>764</v>
      </c>
      <c r="H12" s="426"/>
      <c r="I12" s="426"/>
    </row>
    <row r="20" spans="1:9" ht="12.75" customHeight="1">
      <c r="A20" s="431" t="s">
        <v>666</v>
      </c>
      <c r="B20" s="432"/>
      <c r="C20" s="432"/>
      <c r="D20" s="432"/>
      <c r="E20" s="432"/>
      <c r="F20" s="432"/>
      <c r="G20" s="432"/>
      <c r="H20" s="432"/>
      <c r="I20" s="432"/>
    </row>
    <row r="21" spans="1:9" ht="12.75">
      <c r="A21" s="432"/>
      <c r="B21" s="432"/>
      <c r="C21" s="432"/>
      <c r="D21" s="432"/>
      <c r="E21" s="432"/>
      <c r="F21" s="432"/>
      <c r="G21" s="432"/>
      <c r="H21" s="432"/>
      <c r="I21" s="432"/>
    </row>
    <row r="22" spans="1:9" ht="12.75">
      <c r="A22" s="428"/>
      <c r="B22" s="428"/>
      <c r="C22" s="428"/>
      <c r="D22" s="428"/>
      <c r="E22" s="428"/>
      <c r="F22" s="428"/>
      <c r="G22" s="428"/>
      <c r="H22" s="428"/>
      <c r="I22" s="428"/>
    </row>
    <row r="23" spans="1:9" ht="12.75">
      <c r="A23" s="428"/>
      <c r="B23" s="428"/>
      <c r="C23" s="428"/>
      <c r="D23" s="428"/>
      <c r="E23" s="428"/>
      <c r="F23" s="428"/>
      <c r="G23" s="428"/>
      <c r="H23" s="428"/>
      <c r="I23" s="428"/>
    </row>
    <row r="24" spans="1:9" ht="12.75">
      <c r="A24" s="428"/>
      <c r="B24" s="428"/>
      <c r="C24" s="428"/>
      <c r="D24" s="428"/>
      <c r="E24" s="428"/>
      <c r="F24" s="428"/>
      <c r="G24" s="428"/>
      <c r="H24" s="428"/>
      <c r="I24" s="428"/>
    </row>
    <row r="25" spans="1:9" ht="12.75">
      <c r="A25" s="428"/>
      <c r="B25" s="428"/>
      <c r="C25" s="428"/>
      <c r="D25" s="428"/>
      <c r="E25" s="428"/>
      <c r="F25" s="428"/>
      <c r="G25" s="428"/>
      <c r="H25" s="428"/>
      <c r="I25" s="428"/>
    </row>
    <row r="26" spans="1:9" ht="12.75">
      <c r="A26" s="428"/>
      <c r="B26" s="428"/>
      <c r="C26" s="428"/>
      <c r="D26" s="428"/>
      <c r="E26" s="428"/>
      <c r="F26" s="428"/>
      <c r="G26" s="428"/>
      <c r="H26" s="428"/>
      <c r="I26" s="428"/>
    </row>
    <row r="31" spans="1:9" ht="15">
      <c r="A31" s="433" t="s">
        <v>660</v>
      </c>
      <c r="B31" s="433"/>
      <c r="C31" s="433"/>
      <c r="D31" s="433"/>
      <c r="E31" s="433"/>
      <c r="F31" s="433"/>
      <c r="G31" s="433"/>
      <c r="H31" s="433"/>
      <c r="I31" s="433"/>
    </row>
    <row r="54" spans="1:9" ht="12.75">
      <c r="A54" s="427" t="s">
        <v>765</v>
      </c>
      <c r="B54" s="428"/>
      <c r="C54" s="428"/>
      <c r="D54" s="428"/>
      <c r="E54" s="428"/>
      <c r="F54" s="428"/>
      <c r="G54" s="428"/>
      <c r="H54" s="428"/>
      <c r="I54" s="428"/>
    </row>
    <row r="55" spans="1:9" ht="12.75">
      <c r="A55" s="428"/>
      <c r="B55" s="428"/>
      <c r="C55" s="428"/>
      <c r="D55" s="428"/>
      <c r="E55" s="428"/>
      <c r="F55" s="428"/>
      <c r="G55" s="428"/>
      <c r="H55" s="428"/>
      <c r="I55" s="428"/>
    </row>
    <row r="56" spans="1:9" ht="15.75">
      <c r="A56" s="111"/>
      <c r="B56" s="111"/>
      <c r="C56" s="111"/>
      <c r="D56" s="111"/>
      <c r="E56" s="111"/>
      <c r="F56" s="111"/>
      <c r="G56" s="111"/>
      <c r="H56" s="111"/>
      <c r="I56" s="111"/>
    </row>
  </sheetData>
  <sheetProtection/>
  <mergeCells count="7">
    <mergeCell ref="G12:I12"/>
    <mergeCell ref="A54:I55"/>
    <mergeCell ref="A1:I1"/>
    <mergeCell ref="A2:C7"/>
    <mergeCell ref="G2:I7"/>
    <mergeCell ref="A20:I26"/>
    <mergeCell ref="A31:I31"/>
  </mergeCells>
  <printOptions/>
  <pageMargins left="0.66" right="0.4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L47"/>
  <sheetViews>
    <sheetView workbookViewId="0" topLeftCell="A7">
      <selection activeCell="L44" sqref="L4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128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129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31320</v>
      </c>
      <c r="H7" s="20">
        <f>SUM(H8:H10)</f>
        <v>31320</v>
      </c>
      <c r="I7" s="20">
        <f>SUM(I8:I11)</f>
        <v>30954</v>
      </c>
      <c r="J7" s="185">
        <f aca="true" t="shared" si="0" ref="J7:J42">IF(H7=0,"",I7/H7*100)</f>
        <v>98.83141762452107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24">
        <v>28300</v>
      </c>
      <c r="H8" s="324">
        <v>28300</v>
      </c>
      <c r="I8" s="78">
        <v>28183</v>
      </c>
      <c r="J8" s="140">
        <f t="shared" si="0"/>
        <v>99.58657243816255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44">
        <v>3020</v>
      </c>
      <c r="H9" s="44">
        <v>3020</v>
      </c>
      <c r="I9" s="78">
        <v>2771</v>
      </c>
      <c r="J9" s="140">
        <f t="shared" si="0"/>
        <v>91.75496688741723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24"/>
      <c r="H11" s="32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44"/>
      <c r="H12" s="44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3040</v>
      </c>
      <c r="H13" s="20">
        <f>H14</f>
        <v>3040</v>
      </c>
      <c r="I13" s="20">
        <f>I14</f>
        <v>2991</v>
      </c>
      <c r="J13" s="185">
        <f t="shared" si="0"/>
        <v>98.38815789473684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5">
        <v>3040</v>
      </c>
      <c r="H14" s="45">
        <v>3040</v>
      </c>
      <c r="I14" s="44">
        <v>2991</v>
      </c>
      <c r="J14" s="140">
        <f t="shared" si="0"/>
        <v>98.38815789473684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44"/>
      <c r="H16" s="44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15300</v>
      </c>
      <c r="H17" s="20">
        <f>SUM(H18:H27)</f>
        <v>15800</v>
      </c>
      <c r="I17" s="50">
        <f>SUM(I18:I27)</f>
        <v>15472</v>
      </c>
      <c r="J17" s="185">
        <f t="shared" si="0"/>
        <v>97.9240506329114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300</v>
      </c>
      <c r="H18" s="44">
        <v>300</v>
      </c>
      <c r="I18" s="44">
        <v>0</v>
      </c>
      <c r="J18" s="140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324">
        <v>0</v>
      </c>
      <c r="H20" s="324">
        <v>0</v>
      </c>
      <c r="I20" s="44">
        <v>0</v>
      </c>
      <c r="J20" s="140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0</v>
      </c>
      <c r="H21" s="44">
        <v>0</v>
      </c>
      <c r="I21" s="44">
        <v>0</v>
      </c>
      <c r="J21" s="140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324">
        <v>0</v>
      </c>
      <c r="H23" s="32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0</v>
      </c>
      <c r="H24" s="44">
        <v>0</v>
      </c>
      <c r="I24" s="44">
        <v>0</v>
      </c>
      <c r="J24" s="140">
        <f t="shared" si="0"/>
      </c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44">
        <v>0</v>
      </c>
      <c r="H25" s="44">
        <v>0</v>
      </c>
      <c r="I25" s="44">
        <v>0</v>
      </c>
      <c r="J25" s="140">
        <f t="shared" si="0"/>
      </c>
      <c r="L25" s="77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44">
        <v>15000</v>
      </c>
      <c r="H26" s="44">
        <v>15500</v>
      </c>
      <c r="I26" s="44">
        <v>15472</v>
      </c>
      <c r="J26" s="140">
        <f t="shared" si="0"/>
        <v>99.81935483870967</v>
      </c>
      <c r="L26" s="83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97">
        <v>0</v>
      </c>
      <c r="H27" s="97">
        <v>0</v>
      </c>
      <c r="I27" s="45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20"/>
      <c r="H28" s="20"/>
      <c r="I28" s="44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325"/>
      <c r="H29" s="325"/>
      <c r="I29" s="44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4"/>
      <c r="H30" s="44"/>
      <c r="I30" s="4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4"/>
      <c r="H31" s="44"/>
      <c r="I31" s="4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44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44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78"/>
      <c r="H34" s="78"/>
      <c r="I34" s="4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44"/>
      <c r="H35" s="44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0</v>
      </c>
      <c r="H36" s="20">
        <f>SUM(H37:H38)</f>
        <v>0</v>
      </c>
      <c r="I36" s="20">
        <f>SUM(I37:I38)</f>
        <v>0</v>
      </c>
      <c r="J36" s="185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4">
        <v>0</v>
      </c>
      <c r="H37" s="44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4">
        <v>0</v>
      </c>
      <c r="H38" s="44">
        <v>0</v>
      </c>
      <c r="I38" s="44">
        <v>0</v>
      </c>
      <c r="J38" s="140">
        <f t="shared" si="0"/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4"/>
      <c r="H40" s="44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</v>
      </c>
      <c r="H41" s="20">
        <v>1</v>
      </c>
      <c r="I41" s="20">
        <v>1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49660</v>
      </c>
      <c r="H42" s="20">
        <f>H7+H13+H17+H36</f>
        <v>50160</v>
      </c>
      <c r="I42" s="20">
        <f>I7+I13+I17+I36</f>
        <v>49417</v>
      </c>
      <c r="J42" s="185">
        <f t="shared" si="0"/>
        <v>98.51874003189792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B2:L50"/>
  <sheetViews>
    <sheetView workbookViewId="0" topLeftCell="A4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165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130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70440</v>
      </c>
      <c r="H7" s="20">
        <f>SUM(H8:H10)</f>
        <v>70440</v>
      </c>
      <c r="I7" s="20">
        <f>SUM(I8:I11)</f>
        <v>69729</v>
      </c>
      <c r="J7" s="185">
        <f aca="true" t="shared" si="0" ref="J7:J42">IF(H7=0,"",I7/H7*100)</f>
        <v>98.99063032367972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24">
        <v>60120</v>
      </c>
      <c r="H8" s="324">
        <v>60120</v>
      </c>
      <c r="I8" s="78">
        <v>59715</v>
      </c>
      <c r="J8" s="140">
        <f t="shared" si="0"/>
        <v>99.32634730538922</v>
      </c>
      <c r="K8" s="83"/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44">
        <v>10320</v>
      </c>
      <c r="H9" s="44">
        <v>10320</v>
      </c>
      <c r="I9" s="78">
        <v>10014</v>
      </c>
      <c r="J9" s="140">
        <f t="shared" si="0"/>
        <v>97.03488372093022</v>
      </c>
      <c r="K9" s="85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24"/>
      <c r="H11" s="32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44"/>
      <c r="H12" s="44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6430</v>
      </c>
      <c r="H13" s="20">
        <f>H14</f>
        <v>6430</v>
      </c>
      <c r="I13" s="20">
        <f>I14</f>
        <v>6365</v>
      </c>
      <c r="J13" s="185">
        <f t="shared" si="0"/>
        <v>98.98911353032659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5">
        <v>6430</v>
      </c>
      <c r="H14" s="45">
        <v>6430</v>
      </c>
      <c r="I14" s="78">
        <v>6365</v>
      </c>
      <c r="J14" s="140">
        <f t="shared" si="0"/>
        <v>98.98911353032659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44"/>
      <c r="H16" s="44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6700</v>
      </c>
      <c r="H17" s="20">
        <f>SUM(H18:H27)</f>
        <v>6700</v>
      </c>
      <c r="I17" s="50">
        <f>SUM(I18:I27)</f>
        <v>5646</v>
      </c>
      <c r="J17" s="185">
        <f t="shared" si="0"/>
        <v>84.26865671641791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1000</v>
      </c>
      <c r="H18" s="44">
        <v>700</v>
      </c>
      <c r="I18" s="78">
        <v>693</v>
      </c>
      <c r="J18" s="140">
        <f t="shared" si="0"/>
        <v>99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324">
        <v>2500</v>
      </c>
      <c r="H20" s="324">
        <v>2500</v>
      </c>
      <c r="I20" s="44">
        <v>1552</v>
      </c>
      <c r="J20" s="140">
        <f t="shared" si="0"/>
        <v>62.08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550</v>
      </c>
      <c r="H21" s="44">
        <v>550</v>
      </c>
      <c r="I21" s="78">
        <v>550</v>
      </c>
      <c r="J21" s="140">
        <f t="shared" si="0"/>
        <v>100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324">
        <v>0</v>
      </c>
      <c r="H23" s="32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250</v>
      </c>
      <c r="H24" s="44">
        <v>250</v>
      </c>
      <c r="I24" s="44">
        <v>250</v>
      </c>
      <c r="J24" s="140">
        <f t="shared" si="0"/>
        <v>100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4">
        <v>0</v>
      </c>
      <c r="H25" s="44">
        <v>0</v>
      </c>
      <c r="I25" s="4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4">
        <v>2400</v>
      </c>
      <c r="H26" s="44">
        <v>2700</v>
      </c>
      <c r="I26" s="78">
        <v>2601</v>
      </c>
      <c r="J26" s="140">
        <f t="shared" si="0"/>
        <v>96.33333333333334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97">
        <v>0</v>
      </c>
      <c r="H27" s="97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20"/>
      <c r="H28" s="20"/>
      <c r="I28" s="78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325"/>
      <c r="H29" s="325"/>
      <c r="I29" s="78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4"/>
      <c r="H30" s="44"/>
      <c r="I30" s="78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4"/>
      <c r="H31" s="44"/>
      <c r="I31" s="78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78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78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78"/>
      <c r="H34" s="78"/>
      <c r="I34" s="78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44"/>
      <c r="H35" s="44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2500</v>
      </c>
      <c r="H36" s="20">
        <f>SUM(H37:H38)</f>
        <v>2500</v>
      </c>
      <c r="I36" s="96">
        <f>SUM(I37:I38)</f>
        <v>2416</v>
      </c>
      <c r="J36" s="185">
        <f t="shared" si="0"/>
        <v>96.64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4">
        <v>0</v>
      </c>
      <c r="H37" s="44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4">
        <v>2500</v>
      </c>
      <c r="H38" s="44">
        <v>2500</v>
      </c>
      <c r="I38" s="78">
        <v>2416</v>
      </c>
      <c r="J38" s="140">
        <f t="shared" si="0"/>
        <v>96.64</v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4"/>
      <c r="H40" s="44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96">
        <v>3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86070</v>
      </c>
      <c r="H42" s="20">
        <f>H7+H13+H17+H36</f>
        <v>86070</v>
      </c>
      <c r="I42" s="20">
        <f>I7+I13+I17+I36</f>
        <v>84156</v>
      </c>
      <c r="J42" s="185">
        <f t="shared" si="0"/>
        <v>97.77622865109794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39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20"/>
      <c r="J44" s="139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B2:L50"/>
  <sheetViews>
    <sheetView workbookViewId="0" topLeftCell="A1">
      <selection activeCell="O22" sqref="O2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695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151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92450</v>
      </c>
      <c r="H7" s="20">
        <f>SUM(H8:H10)</f>
        <v>92450</v>
      </c>
      <c r="I7" s="20">
        <f>SUM(I8:I11)</f>
        <v>91273</v>
      </c>
      <c r="J7" s="139">
        <f aca="true" t="shared" si="0" ref="J7:J44">IF(H7=0,"",I7/H7*100)</f>
        <v>98.72687939426717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24">
        <v>75010</v>
      </c>
      <c r="H8" s="324">
        <v>75010</v>
      </c>
      <c r="I8" s="78">
        <v>74479</v>
      </c>
      <c r="J8" s="140">
        <f t="shared" si="0"/>
        <v>99.292094387415</v>
      </c>
      <c r="K8" s="83"/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44">
        <v>17440</v>
      </c>
      <c r="H9" s="44">
        <v>17440</v>
      </c>
      <c r="I9" s="78">
        <v>16794</v>
      </c>
      <c r="J9" s="140">
        <f t="shared" si="0"/>
        <v>96.29587155963303</v>
      </c>
      <c r="K9" s="85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24"/>
      <c r="H11" s="324"/>
      <c r="I11" s="44"/>
      <c r="J11" s="139">
        <f t="shared" si="0"/>
      </c>
    </row>
    <row r="12" spans="2:10" ht="12.75" customHeight="1">
      <c r="B12" s="14"/>
      <c r="C12" s="15"/>
      <c r="D12" s="15"/>
      <c r="E12" s="16"/>
      <c r="F12" s="15"/>
      <c r="G12" s="44"/>
      <c r="H12" s="44"/>
      <c r="I12" s="20"/>
      <c r="J12" s="139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8030</v>
      </c>
      <c r="H13" s="20">
        <f>H14</f>
        <v>8030</v>
      </c>
      <c r="I13" s="20">
        <f>I14</f>
        <v>7946</v>
      </c>
      <c r="J13" s="139">
        <f t="shared" si="0"/>
        <v>98.95392278953923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5">
        <v>8030</v>
      </c>
      <c r="H14" s="45">
        <v>8030</v>
      </c>
      <c r="I14" s="78">
        <v>7946</v>
      </c>
      <c r="J14" s="140">
        <f t="shared" si="0"/>
        <v>98.95392278953923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39">
        <f t="shared" si="0"/>
      </c>
    </row>
    <row r="16" spans="2:10" ht="12.75" customHeight="1">
      <c r="B16" s="14"/>
      <c r="C16" s="15"/>
      <c r="D16" s="15"/>
      <c r="E16" s="16"/>
      <c r="F16" s="15"/>
      <c r="G16" s="44"/>
      <c r="H16" s="44"/>
      <c r="I16" s="50"/>
      <c r="J16" s="139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6300</v>
      </c>
      <c r="H17" s="20">
        <f>SUM(H18:H27)</f>
        <v>6300</v>
      </c>
      <c r="I17" s="50">
        <f>SUM(I18:I27)</f>
        <v>4430</v>
      </c>
      <c r="J17" s="139">
        <f t="shared" si="0"/>
        <v>70.31746031746032</v>
      </c>
    </row>
    <row r="18" spans="2:11" ht="12.75" customHeight="1">
      <c r="B18" s="14"/>
      <c r="C18" s="15"/>
      <c r="D18" s="15"/>
      <c r="E18" s="16">
        <v>613100</v>
      </c>
      <c r="F18" s="15" t="s">
        <v>86</v>
      </c>
      <c r="G18" s="44">
        <v>4000</v>
      </c>
      <c r="H18" s="44">
        <v>3000</v>
      </c>
      <c r="I18" s="78">
        <v>1876</v>
      </c>
      <c r="J18" s="140">
        <f t="shared" si="0"/>
        <v>62.53333333333333</v>
      </c>
      <c r="K18" s="83"/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324">
        <v>700</v>
      </c>
      <c r="H20" s="324">
        <v>700</v>
      </c>
      <c r="I20" s="44">
        <v>555</v>
      </c>
      <c r="J20" s="140">
        <f t="shared" si="0"/>
        <v>79.28571428571428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400</v>
      </c>
      <c r="H21" s="44">
        <v>400</v>
      </c>
      <c r="I21" s="78">
        <v>398</v>
      </c>
      <c r="J21" s="140">
        <f t="shared" si="0"/>
        <v>99.5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324">
        <v>0</v>
      </c>
      <c r="H23" s="32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200</v>
      </c>
      <c r="H24" s="44">
        <v>1200</v>
      </c>
      <c r="I24" s="44">
        <v>1059</v>
      </c>
      <c r="J24" s="140">
        <f t="shared" si="0"/>
        <v>88.25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4">
        <v>0</v>
      </c>
      <c r="H25" s="44">
        <v>0</v>
      </c>
      <c r="I25" s="4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4">
        <v>1000</v>
      </c>
      <c r="H26" s="44">
        <v>1000</v>
      </c>
      <c r="I26" s="78">
        <v>542</v>
      </c>
      <c r="J26" s="140">
        <f t="shared" si="0"/>
        <v>54.2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97">
        <v>0</v>
      </c>
      <c r="H27" s="97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20"/>
      <c r="H28" s="20"/>
      <c r="I28" s="78"/>
      <c r="J28" s="139">
        <f t="shared" si="0"/>
      </c>
    </row>
    <row r="29" spans="2:10" ht="12.75" customHeight="1">
      <c r="B29" s="14"/>
      <c r="C29" s="15"/>
      <c r="D29" s="31"/>
      <c r="E29" s="61"/>
      <c r="F29" s="58"/>
      <c r="G29" s="325"/>
      <c r="H29" s="325"/>
      <c r="I29" s="78"/>
      <c r="J29" s="139">
        <f t="shared" si="0"/>
      </c>
    </row>
    <row r="30" spans="2:10" ht="12.75" customHeight="1">
      <c r="B30" s="14"/>
      <c r="C30" s="15"/>
      <c r="D30" s="15"/>
      <c r="E30" s="60"/>
      <c r="F30" s="15"/>
      <c r="G30" s="44"/>
      <c r="H30" s="44"/>
      <c r="I30" s="78"/>
      <c r="J30" s="139">
        <f t="shared" si="0"/>
      </c>
    </row>
    <row r="31" spans="2:10" ht="12.75" customHeight="1">
      <c r="B31" s="14"/>
      <c r="C31" s="15"/>
      <c r="D31" s="15"/>
      <c r="E31" s="16"/>
      <c r="F31" s="15"/>
      <c r="G31" s="44"/>
      <c r="H31" s="44"/>
      <c r="I31" s="78"/>
      <c r="J31" s="139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78"/>
      <c r="J32" s="139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78"/>
      <c r="J33" s="139">
        <f t="shared" si="0"/>
      </c>
    </row>
    <row r="34" spans="2:10" ht="12.75" customHeight="1">
      <c r="B34" s="14"/>
      <c r="C34" s="15"/>
      <c r="D34" s="15"/>
      <c r="E34" s="16"/>
      <c r="F34" s="19"/>
      <c r="G34" s="78"/>
      <c r="H34" s="78"/>
      <c r="I34" s="78"/>
      <c r="J34" s="139">
        <f t="shared" si="0"/>
      </c>
    </row>
    <row r="35" spans="2:10" ht="12.75" customHeight="1">
      <c r="B35" s="14"/>
      <c r="C35" s="15"/>
      <c r="D35" s="15"/>
      <c r="E35" s="16"/>
      <c r="F35" s="15"/>
      <c r="G35" s="44"/>
      <c r="H35" s="44"/>
      <c r="I35" s="96"/>
      <c r="J35" s="139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3200</v>
      </c>
      <c r="H36" s="20">
        <f>SUM(H37:H38)</f>
        <v>3200</v>
      </c>
      <c r="I36" s="96">
        <f>SUM(I37:I38)</f>
        <v>3200</v>
      </c>
      <c r="J36" s="139">
        <f t="shared" si="0"/>
        <v>100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4">
        <v>0</v>
      </c>
      <c r="H37" s="44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4">
        <v>3200</v>
      </c>
      <c r="H38" s="44">
        <v>3200</v>
      </c>
      <c r="I38" s="78">
        <v>3200</v>
      </c>
      <c r="J38" s="140">
        <f t="shared" si="0"/>
        <v>100</v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4"/>
      <c r="H40" s="44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4</v>
      </c>
      <c r="H41" s="20">
        <v>4</v>
      </c>
      <c r="I41" s="96">
        <v>4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109980</v>
      </c>
      <c r="H42" s="20">
        <f>H7+H13+H17+H36</f>
        <v>109980</v>
      </c>
      <c r="I42" s="20">
        <f>I7+I13+I17+I36</f>
        <v>106849</v>
      </c>
      <c r="J42" s="139">
        <f t="shared" si="0"/>
        <v>97.15311874886343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G42+6!G42+5!G42+4!G43+3!G56</f>
        <v>3386120</v>
      </c>
      <c r="H43" s="20">
        <f>H42+6!H42+5!H42+4!H43+3!H56</f>
        <v>3407740</v>
      </c>
      <c r="I43" s="20">
        <f>I42+6!I42+5!I42+4!I43+3!I56</f>
        <v>3384701</v>
      </c>
      <c r="J43" s="139">
        <f t="shared" si="0"/>
        <v>99.32392142593038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</f>
        <v>3386120</v>
      </c>
      <c r="H44" s="20">
        <f>H43</f>
        <v>3407740</v>
      </c>
      <c r="I44" s="20">
        <f>I43</f>
        <v>3384701</v>
      </c>
      <c r="J44" s="139">
        <f t="shared" si="0"/>
        <v>99.32392142593038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O50"/>
  <sheetViews>
    <sheetView workbookViewId="0" topLeftCell="A6">
      <selection activeCell="I42" sqref="I42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131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132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235950</v>
      </c>
      <c r="H7" s="343">
        <f>SUM(H8:H11)</f>
        <v>235890</v>
      </c>
      <c r="I7" s="96">
        <f>SUM(I8:I11)</f>
        <v>228962</v>
      </c>
      <c r="J7" s="139">
        <f aca="true" t="shared" si="0" ref="J7:J44">IF(H7=0,"",I7/H7*100)</f>
        <v>97.06303785662809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44">
        <f>177900+0</f>
        <v>177900</v>
      </c>
      <c r="H8" s="344">
        <v>177840</v>
      </c>
      <c r="I8" s="78">
        <v>173830</v>
      </c>
      <c r="J8" s="140">
        <f t="shared" si="0"/>
        <v>97.74516419253261</v>
      </c>
      <c r="K8" s="77"/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4">
        <f>53550+600+15*260</f>
        <v>58050</v>
      </c>
      <c r="H9" s="344">
        <f>53550+600+15*260</f>
        <v>58050</v>
      </c>
      <c r="I9" s="78">
        <v>55132</v>
      </c>
      <c r="J9" s="140">
        <f t="shared" si="0"/>
        <v>94.97329888027562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2" ht="12.75" customHeight="1">
      <c r="B11" s="14"/>
      <c r="C11" s="15"/>
      <c r="D11" s="15"/>
      <c r="E11" s="16"/>
      <c r="F11" s="26"/>
      <c r="G11" s="344"/>
      <c r="H11" s="344"/>
      <c r="I11" s="78"/>
      <c r="J11" s="139">
        <f t="shared" si="0"/>
      </c>
      <c r="L11" s="77"/>
    </row>
    <row r="12" spans="2:12" ht="12.75" customHeight="1">
      <c r="B12" s="14"/>
      <c r="C12" s="15"/>
      <c r="D12" s="15"/>
      <c r="E12" s="16"/>
      <c r="F12" s="15"/>
      <c r="G12" s="343"/>
      <c r="H12" s="343"/>
      <c r="I12" s="96"/>
      <c r="J12" s="139">
        <f t="shared" si="0"/>
      </c>
      <c r="L12" s="77"/>
    </row>
    <row r="13" spans="2:13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19320</v>
      </c>
      <c r="H13" s="343">
        <f>H14</f>
        <v>19380</v>
      </c>
      <c r="I13" s="96">
        <f>I14</f>
        <v>19376</v>
      </c>
      <c r="J13" s="139">
        <f t="shared" si="0"/>
        <v>99.97936016511868</v>
      </c>
      <c r="L13" s="86"/>
      <c r="M13" s="86"/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4">
        <f>19320+0</f>
        <v>19320</v>
      </c>
      <c r="H14" s="344">
        <v>19380</v>
      </c>
      <c r="I14" s="78">
        <v>19376</v>
      </c>
      <c r="J14" s="140">
        <f t="shared" si="0"/>
        <v>99.97936016511868</v>
      </c>
    </row>
    <row r="15" spans="2:10" ht="12.75" customHeight="1">
      <c r="B15" s="14"/>
      <c r="C15" s="15"/>
      <c r="D15" s="15"/>
      <c r="E15" s="16"/>
      <c r="F15" s="15"/>
      <c r="G15" s="78"/>
      <c r="H15" s="78"/>
      <c r="I15" s="78"/>
      <c r="J15" s="139">
        <f t="shared" si="0"/>
      </c>
    </row>
    <row r="16" spans="2:10" ht="12.75" customHeight="1">
      <c r="B16" s="14"/>
      <c r="C16" s="15"/>
      <c r="D16" s="15"/>
      <c r="E16" s="16"/>
      <c r="F16" s="15"/>
      <c r="G16" s="96"/>
      <c r="H16" s="96"/>
      <c r="I16" s="96"/>
      <c r="J16" s="139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393000</v>
      </c>
      <c r="H17" s="50">
        <f>SUM(H18:H27)</f>
        <v>383000</v>
      </c>
      <c r="I17" s="50">
        <f>SUM(I18:I27)</f>
        <v>359949</v>
      </c>
      <c r="J17" s="139">
        <f t="shared" si="0"/>
        <v>93.98146214099216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78">
        <v>7000</v>
      </c>
      <c r="H18" s="78">
        <v>7000</v>
      </c>
      <c r="I18" s="78">
        <v>4385</v>
      </c>
      <c r="J18" s="140">
        <f t="shared" si="0"/>
        <v>62.642857142857146</v>
      </c>
    </row>
    <row r="19" spans="2:15" ht="12.75" customHeight="1">
      <c r="B19" s="14"/>
      <c r="C19" s="15"/>
      <c r="D19" s="15"/>
      <c r="E19" s="16">
        <v>613200</v>
      </c>
      <c r="F19" s="15" t="s">
        <v>87</v>
      </c>
      <c r="G19" s="44">
        <v>93000</v>
      </c>
      <c r="H19" s="44">
        <v>73000</v>
      </c>
      <c r="I19" s="44">
        <v>72901</v>
      </c>
      <c r="J19" s="140">
        <f t="shared" si="0"/>
        <v>99.86438356164383</v>
      </c>
      <c r="O19" s="83"/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4">
        <v>44000</v>
      </c>
      <c r="H20" s="44">
        <v>44000</v>
      </c>
      <c r="I20" s="44">
        <v>40673</v>
      </c>
      <c r="J20" s="140">
        <f t="shared" si="0"/>
        <v>92.43863636363636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74000</v>
      </c>
      <c r="H21" s="44">
        <v>74000</v>
      </c>
      <c r="I21" s="44">
        <v>70443</v>
      </c>
      <c r="J21" s="140">
        <f t="shared" si="0"/>
        <v>95.19324324324324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54500</v>
      </c>
      <c r="H22" s="44">
        <v>54500</v>
      </c>
      <c r="I22" s="44">
        <v>49222</v>
      </c>
      <c r="J22" s="140">
        <f t="shared" si="0"/>
        <v>90.31559633027523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4">
        <v>0</v>
      </c>
      <c r="H23" s="4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42000</v>
      </c>
      <c r="H24" s="44">
        <v>42000</v>
      </c>
      <c r="I24" s="44">
        <v>40559</v>
      </c>
      <c r="J24" s="140">
        <f t="shared" si="0"/>
        <v>96.56904761904762</v>
      </c>
    </row>
    <row r="25" spans="2:11" ht="12.75" customHeight="1">
      <c r="B25" s="14"/>
      <c r="C25" s="15"/>
      <c r="D25" s="15"/>
      <c r="E25" s="16">
        <v>613800</v>
      </c>
      <c r="F25" s="15" t="s">
        <v>171</v>
      </c>
      <c r="G25" s="44">
        <v>8500</v>
      </c>
      <c r="H25" s="44">
        <v>8500</v>
      </c>
      <c r="I25" s="44">
        <v>5590</v>
      </c>
      <c r="J25" s="140">
        <f t="shared" si="0"/>
        <v>65.76470588235294</v>
      </c>
      <c r="K25" s="77"/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78">
        <v>70000</v>
      </c>
      <c r="H26" s="78">
        <v>80000</v>
      </c>
      <c r="I26" s="78">
        <v>76176</v>
      </c>
      <c r="J26" s="140">
        <f t="shared" si="0"/>
        <v>95.22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45">
        <v>0</v>
      </c>
      <c r="H27" s="45">
        <v>0</v>
      </c>
      <c r="I27" s="45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44"/>
      <c r="H28" s="44"/>
      <c r="I28" s="44"/>
      <c r="J28" s="139">
        <f t="shared" si="0"/>
      </c>
    </row>
    <row r="29" spans="2:10" ht="12.75" customHeight="1">
      <c r="B29" s="14"/>
      <c r="C29" s="15"/>
      <c r="D29" s="31"/>
      <c r="E29" s="61"/>
      <c r="F29" s="58"/>
      <c r="G29" s="44"/>
      <c r="H29" s="44"/>
      <c r="I29" s="44"/>
      <c r="J29" s="139">
        <f t="shared" si="0"/>
      </c>
    </row>
    <row r="30" spans="2:10" ht="12.75" customHeight="1">
      <c r="B30" s="14"/>
      <c r="C30" s="15"/>
      <c r="D30" s="15"/>
      <c r="E30" s="60"/>
      <c r="F30" s="15"/>
      <c r="G30" s="44"/>
      <c r="H30" s="44"/>
      <c r="I30" s="44"/>
      <c r="J30" s="139">
        <f t="shared" si="0"/>
      </c>
    </row>
    <row r="31" spans="2:10" ht="12.75" customHeight="1">
      <c r="B31" s="14"/>
      <c r="C31" s="15"/>
      <c r="D31" s="15"/>
      <c r="E31" s="16"/>
      <c r="F31" s="15"/>
      <c r="G31" s="44"/>
      <c r="H31" s="44"/>
      <c r="I31" s="44"/>
      <c r="J31" s="139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44"/>
      <c r="J32" s="139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44"/>
      <c r="J33" s="139">
        <f t="shared" si="0"/>
      </c>
    </row>
    <row r="34" spans="2:10" ht="12.75" customHeight="1">
      <c r="B34" s="14"/>
      <c r="C34" s="15"/>
      <c r="D34" s="15"/>
      <c r="E34" s="16"/>
      <c r="F34" s="19"/>
      <c r="G34" s="44"/>
      <c r="H34" s="44"/>
      <c r="I34" s="44"/>
      <c r="J34" s="139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39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67000</v>
      </c>
      <c r="H36" s="20">
        <f>SUM(H37:H38)</f>
        <v>67000</v>
      </c>
      <c r="I36" s="20">
        <f>SUM(I37:I38)</f>
        <v>66072</v>
      </c>
      <c r="J36" s="139">
        <f t="shared" si="0"/>
        <v>98.61492537313433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78">
        <v>0</v>
      </c>
      <c r="H37" s="78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78">
        <v>67000</v>
      </c>
      <c r="H38" s="78">
        <v>67000</v>
      </c>
      <c r="I38" s="78">
        <v>66072</v>
      </c>
      <c r="J38" s="140">
        <f t="shared" si="0"/>
        <v>98.61492537313433</v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96">
        <v>15</v>
      </c>
      <c r="H41" s="96">
        <v>15</v>
      </c>
      <c r="I41" s="96">
        <v>15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715270</v>
      </c>
      <c r="H42" s="20">
        <f>H7+H13+H17+H36</f>
        <v>705270</v>
      </c>
      <c r="I42" s="20">
        <f>I7+I13+I17+I36</f>
        <v>674359</v>
      </c>
      <c r="J42" s="139">
        <f t="shared" si="0"/>
        <v>95.61713953521347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715270</v>
      </c>
      <c r="H43" s="20">
        <f t="shared" si="1"/>
        <v>705270</v>
      </c>
      <c r="I43" s="20">
        <f t="shared" si="1"/>
        <v>674359</v>
      </c>
      <c r="J43" s="139">
        <f t="shared" si="0"/>
        <v>95.61713953521347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715270</v>
      </c>
      <c r="H44" s="20">
        <f t="shared" si="1"/>
        <v>705270</v>
      </c>
      <c r="I44" s="20">
        <f t="shared" si="1"/>
        <v>674359</v>
      </c>
      <c r="J44" s="139">
        <f t="shared" si="0"/>
        <v>95.61713953521347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B2:L52"/>
  <sheetViews>
    <sheetView workbookViewId="0" topLeftCell="C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59" t="s">
        <v>133</v>
      </c>
      <c r="C2" s="459"/>
      <c r="D2" s="459"/>
      <c r="E2" s="459"/>
      <c r="F2" s="459"/>
      <c r="G2" s="459"/>
      <c r="H2" s="459"/>
      <c r="I2" s="459"/>
      <c r="J2" s="13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134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4466450</v>
      </c>
      <c r="H7" s="343">
        <f>SUM(H8:H11)</f>
        <v>4466450</v>
      </c>
      <c r="I7" s="96">
        <f>SUM(I8:I11)</f>
        <v>4452242</v>
      </c>
      <c r="J7" s="139">
        <f aca="true" t="shared" si="0" ref="J7:J44">IF(H7=0,"",I7/H7*100)</f>
        <v>99.68189501729562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44">
        <f>3620510+15000+3640</f>
        <v>3639150</v>
      </c>
      <c r="H8" s="344">
        <v>3632640</v>
      </c>
      <c r="I8" s="78">
        <v>3618435</v>
      </c>
      <c r="J8" s="140">
        <f t="shared" si="0"/>
        <v>99.60896207716702</v>
      </c>
      <c r="K8" s="99"/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344">
        <f>774980+840+198*260</f>
        <v>827300</v>
      </c>
      <c r="H9" s="344">
        <v>833810</v>
      </c>
      <c r="I9" s="78">
        <v>833807</v>
      </c>
      <c r="J9" s="140">
        <f t="shared" si="0"/>
        <v>99.99964020580228</v>
      </c>
      <c r="K9" s="100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1" ht="12.75" customHeight="1">
      <c r="B11" s="14"/>
      <c r="C11" s="15"/>
      <c r="D11" s="15"/>
      <c r="E11" s="16"/>
      <c r="F11" s="26"/>
      <c r="G11" s="344"/>
      <c r="H11" s="344"/>
      <c r="I11" s="78"/>
      <c r="J11" s="140">
        <f t="shared" si="0"/>
      </c>
      <c r="K11" s="100"/>
    </row>
    <row r="12" spans="2:11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  <c r="K12" s="100"/>
    </row>
    <row r="13" spans="2:11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570040</v>
      </c>
      <c r="H13" s="343">
        <f>H14</f>
        <v>570040</v>
      </c>
      <c r="I13" s="96">
        <f>I14</f>
        <v>567876</v>
      </c>
      <c r="J13" s="139">
        <f t="shared" si="0"/>
        <v>99.6203775173672</v>
      </c>
      <c r="K13" s="101"/>
    </row>
    <row r="14" spans="2:11" ht="12.75" customHeight="1">
      <c r="B14" s="14"/>
      <c r="C14" s="15"/>
      <c r="D14" s="15"/>
      <c r="E14" s="16">
        <v>612100</v>
      </c>
      <c r="F14" s="18" t="s">
        <v>85</v>
      </c>
      <c r="G14" s="344">
        <f>567140+2500+400</f>
        <v>570040</v>
      </c>
      <c r="H14" s="344">
        <f>567140+2500+400</f>
        <v>570040</v>
      </c>
      <c r="I14" s="78">
        <v>567876</v>
      </c>
      <c r="J14" s="140">
        <f t="shared" si="0"/>
        <v>99.6203775173672</v>
      </c>
      <c r="K14" s="99"/>
    </row>
    <row r="15" spans="2:11" ht="12.75" customHeight="1">
      <c r="B15" s="14"/>
      <c r="C15" s="15"/>
      <c r="D15" s="15"/>
      <c r="E15" s="16"/>
      <c r="F15" s="26"/>
      <c r="G15" s="78"/>
      <c r="H15" s="78"/>
      <c r="I15" s="78"/>
      <c r="J15" s="140">
        <f t="shared" si="0"/>
      </c>
      <c r="K15" s="100"/>
    </row>
    <row r="16" spans="2:10" ht="12.75" customHeight="1">
      <c r="B16" s="14"/>
      <c r="C16" s="15"/>
      <c r="D16" s="15"/>
      <c r="E16" s="16"/>
      <c r="F16" s="15"/>
      <c r="G16" s="96"/>
      <c r="H16" s="96"/>
      <c r="I16" s="96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96">
        <f>SUM(G18:G27)</f>
        <v>814500</v>
      </c>
      <c r="H17" s="96">
        <f>SUM(H18:H27)</f>
        <v>814500</v>
      </c>
      <c r="I17" s="96">
        <f>SUM(I18:I27)</f>
        <v>794089</v>
      </c>
      <c r="J17" s="139">
        <f t="shared" si="0"/>
        <v>97.4940454266421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78">
        <v>14500</v>
      </c>
      <c r="H18" s="78">
        <v>14500</v>
      </c>
      <c r="I18" s="78">
        <v>12449</v>
      </c>
      <c r="J18" s="140">
        <f t="shared" si="0"/>
        <v>85.8551724137931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78">
        <v>83000</v>
      </c>
      <c r="H19" s="78">
        <v>84200</v>
      </c>
      <c r="I19" s="78">
        <v>84170</v>
      </c>
      <c r="J19" s="140">
        <f t="shared" si="0"/>
        <v>99.96437054631829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78">
        <v>87500</v>
      </c>
      <c r="H20" s="78">
        <v>87500</v>
      </c>
      <c r="I20" s="78">
        <v>86019</v>
      </c>
      <c r="J20" s="140">
        <f t="shared" si="0"/>
        <v>98.30742857142857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285000</v>
      </c>
      <c r="H21" s="78">
        <v>279300</v>
      </c>
      <c r="I21" s="78">
        <v>277016</v>
      </c>
      <c r="J21" s="140">
        <f t="shared" si="0"/>
        <v>99.18224131757967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98000</v>
      </c>
      <c r="H22" s="78">
        <v>98000</v>
      </c>
      <c r="I22" s="78">
        <v>91621</v>
      </c>
      <c r="J22" s="140">
        <f t="shared" si="0"/>
        <v>93.4908163265306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31500</v>
      </c>
      <c r="H23" s="78">
        <v>31500</v>
      </c>
      <c r="I23" s="78">
        <v>31500</v>
      </c>
      <c r="J23" s="140">
        <f t="shared" si="0"/>
        <v>100</v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72000</v>
      </c>
      <c r="H24" s="78">
        <v>76500</v>
      </c>
      <c r="I24" s="78">
        <v>75672</v>
      </c>
      <c r="J24" s="140">
        <f t="shared" si="0"/>
        <v>98.91764705882353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18000</v>
      </c>
      <c r="H25" s="78">
        <v>18000</v>
      </c>
      <c r="I25" s="78">
        <v>16837</v>
      </c>
      <c r="J25" s="140">
        <f t="shared" si="0"/>
        <v>93.53888888888889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78">
        <v>125000</v>
      </c>
      <c r="H26" s="78">
        <v>125000</v>
      </c>
      <c r="I26" s="78">
        <v>118805</v>
      </c>
      <c r="J26" s="140">
        <f t="shared" si="0"/>
        <v>95.044</v>
      </c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  <c r="K27" s="83"/>
    </row>
    <row r="28" spans="2:10" s="1" customFormat="1" ht="12.75" customHeight="1">
      <c r="B28" s="17"/>
      <c r="C28" s="12"/>
      <c r="D28" s="12"/>
      <c r="E28" s="59"/>
      <c r="F28" s="12"/>
      <c r="G28" s="78"/>
      <c r="H28" s="78"/>
      <c r="I28" s="78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78"/>
      <c r="H29" s="78"/>
      <c r="I29" s="78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78"/>
      <c r="H30" s="78"/>
      <c r="I30" s="78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78"/>
      <c r="H31" s="78"/>
      <c r="I31" s="78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78"/>
      <c r="H32" s="78"/>
      <c r="I32" s="78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78"/>
      <c r="H33" s="78"/>
      <c r="I33" s="78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78"/>
      <c r="H34" s="78"/>
      <c r="I34" s="78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SUM(G37:G38)</f>
        <v>187000</v>
      </c>
      <c r="H36" s="96">
        <f>SUM(H37:H38)</f>
        <v>187000</v>
      </c>
      <c r="I36" s="96">
        <f>SUM(I37:I38)</f>
        <v>186761</v>
      </c>
      <c r="J36" s="139">
        <f t="shared" si="0"/>
        <v>99.87219251336899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78">
        <v>0</v>
      </c>
      <c r="H37" s="78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78">
        <v>187000</v>
      </c>
      <c r="H38" s="78">
        <v>187000</v>
      </c>
      <c r="I38" s="78">
        <v>186761</v>
      </c>
      <c r="J38" s="140">
        <f t="shared" si="0"/>
        <v>99.87219251336899</v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96">
        <v>202</v>
      </c>
      <c r="H41" s="96">
        <v>202</v>
      </c>
      <c r="I41" s="96">
        <v>200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6037990</v>
      </c>
      <c r="H42" s="20">
        <f>H7+H13+H17+H36</f>
        <v>6037990</v>
      </c>
      <c r="I42" s="20">
        <f>I7+I13+I17+I36</f>
        <v>6000968</v>
      </c>
      <c r="J42" s="139">
        <f t="shared" si="0"/>
        <v>99.38684893482765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6037990</v>
      </c>
      <c r="H43" s="20">
        <f t="shared" si="1"/>
        <v>6037990</v>
      </c>
      <c r="I43" s="20">
        <f t="shared" si="1"/>
        <v>6000968</v>
      </c>
      <c r="J43" s="139">
        <f t="shared" si="0"/>
        <v>99.38684893482765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6037990</v>
      </c>
      <c r="H44" s="20">
        <f t="shared" si="1"/>
        <v>6037990</v>
      </c>
      <c r="I44" s="20">
        <f t="shared" si="1"/>
        <v>6000968</v>
      </c>
      <c r="J44" s="139">
        <f t="shared" si="0"/>
        <v>99.38684893482765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L45"/>
  <sheetViews>
    <sheetView workbookViewId="0" topLeftCell="A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135</v>
      </c>
      <c r="C2" s="461"/>
      <c r="D2" s="461"/>
      <c r="E2" s="461"/>
      <c r="F2" s="461"/>
      <c r="G2" s="461"/>
      <c r="H2" s="461"/>
      <c r="I2" s="252"/>
      <c r="J2" s="25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136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74940</v>
      </c>
      <c r="H7" s="343">
        <f>SUM(H8:H11)</f>
        <v>74940</v>
      </c>
      <c r="I7" s="20">
        <f>SUM(I8:I11)</f>
        <v>73970</v>
      </c>
      <c r="J7" s="139">
        <f aca="true" t="shared" si="0" ref="J7:J42">IF(H7=0,"",I7/H7*100)</f>
        <v>98.70563117160394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63160+600</f>
        <v>63760</v>
      </c>
      <c r="H8" s="345">
        <f>63160+600</f>
        <v>63760</v>
      </c>
      <c r="I8" s="45">
        <v>63223</v>
      </c>
      <c r="J8" s="140">
        <f t="shared" si="0"/>
        <v>99.1577791718946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10300+100+3*260</f>
        <v>11180</v>
      </c>
      <c r="H9" s="345">
        <f>10300+100+3*260</f>
        <v>11180</v>
      </c>
      <c r="I9" s="45">
        <v>10747</v>
      </c>
      <c r="J9" s="140">
        <f t="shared" si="0"/>
        <v>96.12701252236135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6820</v>
      </c>
      <c r="H13" s="343">
        <f>H14</f>
        <v>6820</v>
      </c>
      <c r="I13" s="20">
        <f>I14</f>
        <v>6740</v>
      </c>
      <c r="J13" s="139">
        <f t="shared" si="0"/>
        <v>98.82697947214076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6740+80</f>
        <v>6820</v>
      </c>
      <c r="H14" s="345">
        <f>6740+80</f>
        <v>6820</v>
      </c>
      <c r="I14" s="45">
        <v>6740</v>
      </c>
      <c r="J14" s="140">
        <f t="shared" si="0"/>
        <v>98.82697947214076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88200</v>
      </c>
      <c r="H17" s="50">
        <f>SUM(H18:H27)</f>
        <v>88200</v>
      </c>
      <c r="I17" s="50">
        <f>SUM(I18:I27)</f>
        <v>87911</v>
      </c>
      <c r="J17" s="139">
        <f t="shared" si="0"/>
        <v>99.67233560090702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78">
        <v>3600</v>
      </c>
      <c r="H18" s="78">
        <v>3270</v>
      </c>
      <c r="I18" s="44">
        <v>3208</v>
      </c>
      <c r="J18" s="140">
        <f t="shared" si="0"/>
        <v>98.1039755351682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78">
        <v>0</v>
      </c>
      <c r="H19" s="78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78">
        <v>3000</v>
      </c>
      <c r="H20" s="78">
        <v>3000</v>
      </c>
      <c r="I20" s="44">
        <v>2874</v>
      </c>
      <c r="J20" s="140">
        <f t="shared" si="0"/>
        <v>95.8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2200</v>
      </c>
      <c r="H21" s="78">
        <v>2530</v>
      </c>
      <c r="I21" s="44">
        <v>2522</v>
      </c>
      <c r="J21" s="140">
        <f t="shared" si="0"/>
        <v>99.68379446640316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0</v>
      </c>
      <c r="H22" s="78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0</v>
      </c>
      <c r="H23" s="78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1400</v>
      </c>
      <c r="H24" s="78">
        <v>1400</v>
      </c>
      <c r="I24" s="44">
        <v>1364</v>
      </c>
      <c r="J24" s="140">
        <f t="shared" si="0"/>
        <v>97.42857142857143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0</v>
      </c>
      <c r="H25" s="78">
        <v>0</v>
      </c>
      <c r="I25" s="4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78">
        <v>78000</v>
      </c>
      <c r="H26" s="78">
        <v>78000</v>
      </c>
      <c r="I26" s="78">
        <v>77943</v>
      </c>
      <c r="J26" s="140">
        <f t="shared" si="0"/>
        <v>99.92692307692307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45"/>
      <c r="H28" s="45"/>
      <c r="I28" s="45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45"/>
      <c r="H29" s="45"/>
      <c r="I29" s="45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5"/>
      <c r="H30" s="45"/>
      <c r="I30" s="45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3000</v>
      </c>
      <c r="H36" s="20">
        <f>SUM(H37:H38)</f>
        <v>3000</v>
      </c>
      <c r="I36" s="20">
        <f>SUM(I37:I38)</f>
        <v>2976</v>
      </c>
      <c r="J36" s="139">
        <f t="shared" si="0"/>
        <v>99.2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45">
        <v>0</v>
      </c>
      <c r="I37" s="45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3000</v>
      </c>
      <c r="H38" s="45">
        <v>3000</v>
      </c>
      <c r="I38" s="45">
        <v>2976</v>
      </c>
      <c r="J38" s="140">
        <f t="shared" si="0"/>
        <v>99.2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20">
        <v>3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172960</v>
      </c>
      <c r="H42" s="20">
        <f>H7+H13+H17+H36</f>
        <v>172960</v>
      </c>
      <c r="I42" s="20">
        <f>I7+I13+I17+I36</f>
        <v>171597</v>
      </c>
      <c r="J42" s="139">
        <f t="shared" si="0"/>
        <v>99.21195652173913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N53"/>
  <sheetViews>
    <sheetView workbookViewId="0" topLeftCell="A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200</v>
      </c>
      <c r="C2" s="461"/>
      <c r="D2" s="461"/>
      <c r="E2" s="461"/>
      <c r="F2" s="461"/>
      <c r="G2" s="461"/>
      <c r="H2" s="461"/>
      <c r="I2" s="252"/>
      <c r="J2" s="25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136</v>
      </c>
      <c r="C6" s="11" t="s">
        <v>137</v>
      </c>
      <c r="D6" s="11" t="s">
        <v>129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6">
        <f>SUM(G8:G11)</f>
        <v>1114940</v>
      </c>
      <c r="H7" s="346">
        <f>SUM(H8:H11)</f>
        <v>1114940</v>
      </c>
      <c r="I7" s="20">
        <f>SUM(I8:I11)</f>
        <v>1104147</v>
      </c>
      <c r="J7" s="139">
        <f aca="true" t="shared" si="0" ref="J7:J43">IF(H7=0,"",I7/H7*100)</f>
        <v>99.03196584569574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7">
        <f>934790+2000-2730</f>
        <v>934060</v>
      </c>
      <c r="H8" s="347">
        <f>934790+2000-2730</f>
        <v>934060</v>
      </c>
      <c r="I8" s="104">
        <v>931214</v>
      </c>
      <c r="J8" s="140">
        <f t="shared" si="0"/>
        <v>99.69530865254909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7">
        <f>168800+1600-700+43*260</f>
        <v>180880</v>
      </c>
      <c r="H9" s="347">
        <f>168800+1600-700+43*260</f>
        <v>180880</v>
      </c>
      <c r="I9" s="104">
        <v>172933</v>
      </c>
      <c r="J9" s="140">
        <f t="shared" si="0"/>
        <v>95.6064794338788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8">
        <v>0</v>
      </c>
      <c r="H10" s="348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7"/>
      <c r="H11" s="347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6"/>
      <c r="H12" s="346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6">
        <f>G14</f>
        <v>101130</v>
      </c>
      <c r="H13" s="346">
        <f>H14</f>
        <v>101130</v>
      </c>
      <c r="I13" s="20">
        <f>I14</f>
        <v>100131</v>
      </c>
      <c r="J13" s="139">
        <f t="shared" si="0"/>
        <v>99.01216256303768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7">
        <f>101110+300-280</f>
        <v>101130</v>
      </c>
      <c r="H14" s="347">
        <f>101110+300-280</f>
        <v>101130</v>
      </c>
      <c r="I14" s="104">
        <v>100131</v>
      </c>
      <c r="J14" s="140">
        <f t="shared" si="0"/>
        <v>99.01216256303768</v>
      </c>
    </row>
    <row r="15" spans="2:14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  <c r="N15" s="83"/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316500</v>
      </c>
      <c r="H17" s="50">
        <f>SUM(H18:H27)</f>
        <v>316500</v>
      </c>
      <c r="I17" s="50">
        <f>SUM(I18:I27)</f>
        <v>261058</v>
      </c>
      <c r="J17" s="139">
        <f t="shared" si="0"/>
        <v>82.48278041074249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6500</v>
      </c>
      <c r="H18" s="45">
        <v>6500</v>
      </c>
      <c r="I18" s="45">
        <v>4437</v>
      </c>
      <c r="J18" s="140">
        <f t="shared" si="0"/>
        <v>68.26153846153846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17000</v>
      </c>
      <c r="H19" s="45">
        <v>17000</v>
      </c>
      <c r="I19" s="45">
        <v>14836</v>
      </c>
      <c r="J19" s="140">
        <f t="shared" si="0"/>
        <v>87.27058823529413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120000</v>
      </c>
      <c r="H20" s="45">
        <v>120000</v>
      </c>
      <c r="I20" s="45">
        <v>105268</v>
      </c>
      <c r="J20" s="140">
        <f t="shared" si="0"/>
        <v>87.72333333333333</v>
      </c>
    </row>
    <row r="21" spans="2:11" ht="12.75" customHeight="1">
      <c r="B21" s="14"/>
      <c r="C21" s="15"/>
      <c r="D21" s="15"/>
      <c r="E21" s="16">
        <v>613400</v>
      </c>
      <c r="F21" s="15" t="s">
        <v>170</v>
      </c>
      <c r="G21" s="104">
        <v>35000</v>
      </c>
      <c r="H21" s="104">
        <v>35000</v>
      </c>
      <c r="I21" s="104">
        <v>28606</v>
      </c>
      <c r="J21" s="140">
        <f t="shared" si="0"/>
        <v>81.73142857142857</v>
      </c>
      <c r="K21" s="77"/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12000</v>
      </c>
      <c r="H22" s="45">
        <v>12000</v>
      </c>
      <c r="I22" s="45">
        <v>11269</v>
      </c>
      <c r="J22" s="140">
        <f t="shared" si="0"/>
        <v>93.90833333333333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12000</v>
      </c>
      <c r="H24" s="104">
        <v>12000</v>
      </c>
      <c r="I24" s="104">
        <v>8628</v>
      </c>
      <c r="J24" s="140">
        <f t="shared" si="0"/>
        <v>71.89999999999999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4000</v>
      </c>
      <c r="H25" s="104">
        <v>4000</v>
      </c>
      <c r="I25" s="104">
        <v>2374</v>
      </c>
      <c r="J25" s="140">
        <f t="shared" si="0"/>
        <v>59.35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04">
        <v>110000</v>
      </c>
      <c r="H26" s="104">
        <v>110000</v>
      </c>
      <c r="I26" s="104">
        <v>85640</v>
      </c>
      <c r="J26" s="140">
        <f t="shared" si="0"/>
        <v>77.85454545454546</v>
      </c>
      <c r="K26" s="95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G37+G38</f>
        <v>30000</v>
      </c>
      <c r="H36" s="96">
        <f>H37+H38</f>
        <v>30000</v>
      </c>
      <c r="I36" s="96">
        <f>I37+I38</f>
        <v>29616</v>
      </c>
      <c r="J36" s="139">
        <f t="shared" si="0"/>
        <v>98.72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5000</v>
      </c>
      <c r="H37" s="104">
        <v>5000</v>
      </c>
      <c r="I37" s="104">
        <v>4970</v>
      </c>
      <c r="J37" s="140">
        <f t="shared" si="0"/>
        <v>99.4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25000</v>
      </c>
      <c r="H38" s="104">
        <v>25000</v>
      </c>
      <c r="I38" s="104">
        <v>24646</v>
      </c>
      <c r="J38" s="140">
        <f t="shared" si="0"/>
        <v>98.584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121">
        <v>43</v>
      </c>
      <c r="H41" s="121">
        <v>43</v>
      </c>
      <c r="I41" s="121">
        <v>42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1562570</v>
      </c>
      <c r="H42" s="20">
        <f>H7+H13+H17+H36</f>
        <v>1562570</v>
      </c>
      <c r="I42" s="20">
        <f>I7+I13+I17+I36</f>
        <v>1494952</v>
      </c>
      <c r="J42" s="139">
        <f t="shared" si="0"/>
        <v>95.67264186564441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1562570</v>
      </c>
      <c r="H43" s="20">
        <f>H42</f>
        <v>1562570</v>
      </c>
      <c r="I43" s="20">
        <f>I42</f>
        <v>1494952</v>
      </c>
      <c r="J43" s="139">
        <f t="shared" si="0"/>
        <v>95.67264186564441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6" ht="12.75">
      <c r="J46" s="251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2:L48"/>
  <sheetViews>
    <sheetView workbookViewId="0" topLeftCell="A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225</v>
      </c>
      <c r="C2" s="461"/>
      <c r="D2" s="461"/>
      <c r="E2" s="461"/>
      <c r="F2" s="461"/>
      <c r="G2" s="461"/>
      <c r="H2" s="461"/>
      <c r="I2" s="252"/>
      <c r="J2" s="25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136</v>
      </c>
      <c r="C6" s="11" t="s">
        <v>138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31070</v>
      </c>
      <c r="H7" s="343">
        <f>SUM(H8:H11)</f>
        <v>31070</v>
      </c>
      <c r="I7" s="20">
        <f>SUM(I8:I11)</f>
        <v>30813</v>
      </c>
      <c r="J7" s="139">
        <f aca="true" t="shared" si="0" ref="J7:J43">IF(H7=0,"",I7/H7*100)</f>
        <v>99.17283553266817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27160+150</f>
        <v>27310</v>
      </c>
      <c r="H8" s="345">
        <f>27160+150</f>
        <v>27310</v>
      </c>
      <c r="I8" s="104">
        <v>27156</v>
      </c>
      <c r="J8" s="140">
        <f t="shared" si="0"/>
        <v>99.43610399121201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3480+20+260</f>
        <v>3760</v>
      </c>
      <c r="H9" s="345">
        <f>3480+20+260</f>
        <v>3760</v>
      </c>
      <c r="I9" s="104">
        <v>3657</v>
      </c>
      <c r="J9" s="140">
        <f t="shared" si="0"/>
        <v>97.26063829787233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2920</v>
      </c>
      <c r="H13" s="343">
        <f>H14</f>
        <v>2920</v>
      </c>
      <c r="I13" s="20">
        <f>I14</f>
        <v>2884</v>
      </c>
      <c r="J13" s="139">
        <f t="shared" si="0"/>
        <v>98.76712328767124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2890+30</f>
        <v>2920</v>
      </c>
      <c r="H14" s="345">
        <f>2890+30</f>
        <v>2920</v>
      </c>
      <c r="I14" s="104">
        <v>2884</v>
      </c>
      <c r="J14" s="140">
        <f t="shared" si="0"/>
        <v>98.76712328767124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3900</v>
      </c>
      <c r="H17" s="50">
        <f>SUM(H18:H27)</f>
        <v>3900</v>
      </c>
      <c r="I17" s="50">
        <f>SUM(I18:I27)</f>
        <v>2722</v>
      </c>
      <c r="J17" s="139">
        <f t="shared" si="0"/>
        <v>69.7948717948718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200</v>
      </c>
      <c r="H18" s="45">
        <v>200</v>
      </c>
      <c r="I18" s="45">
        <v>0</v>
      </c>
      <c r="J18" s="140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1000</v>
      </c>
      <c r="H20" s="45">
        <v>1000</v>
      </c>
      <c r="I20" s="45">
        <v>721</v>
      </c>
      <c r="J20" s="140">
        <f t="shared" si="0"/>
        <v>72.1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1000</v>
      </c>
      <c r="H21" s="45">
        <v>1000</v>
      </c>
      <c r="I21" s="45">
        <v>434</v>
      </c>
      <c r="J21" s="140">
        <f t="shared" si="0"/>
        <v>43.4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0</v>
      </c>
      <c r="H24" s="45">
        <v>0</v>
      </c>
      <c r="I24" s="45">
        <v>0</v>
      </c>
      <c r="J24" s="140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1700</v>
      </c>
      <c r="H26" s="45">
        <v>1700</v>
      </c>
      <c r="I26" s="45">
        <v>1567</v>
      </c>
      <c r="J26" s="140">
        <f t="shared" si="0"/>
        <v>92.17647058823529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45">
        <v>0</v>
      </c>
      <c r="H27" s="45">
        <v>0</v>
      </c>
      <c r="I27" s="45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45"/>
      <c r="H28" s="45"/>
      <c r="I28" s="45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45"/>
      <c r="H29" s="45"/>
      <c r="I29" s="45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5"/>
      <c r="H30" s="45"/>
      <c r="I30" s="45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500</v>
      </c>
      <c r="H36" s="20">
        <f>SUM(H37:H38)</f>
        <v>500</v>
      </c>
      <c r="I36" s="20">
        <f>SUM(I37:I38)</f>
        <v>0</v>
      </c>
      <c r="J36" s="139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45">
        <v>0</v>
      </c>
      <c r="I37" s="45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500</v>
      </c>
      <c r="H38" s="45">
        <v>500</v>
      </c>
      <c r="I38" s="45">
        <v>0</v>
      </c>
      <c r="J38" s="140">
        <f t="shared" si="0"/>
        <v>0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96">
        <v>1</v>
      </c>
      <c r="H41" s="96">
        <v>1</v>
      </c>
      <c r="I41" s="96">
        <v>1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38390</v>
      </c>
      <c r="H42" s="20">
        <f>H7+H13+H17+H36</f>
        <v>38390</v>
      </c>
      <c r="I42" s="20">
        <f>I7+I13+I17+I36</f>
        <v>36419</v>
      </c>
      <c r="J42" s="139">
        <f t="shared" si="0"/>
        <v>94.86585048189633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38390</v>
      </c>
      <c r="H43" s="20">
        <f>H42</f>
        <v>38390</v>
      </c>
      <c r="I43" s="20">
        <f>I42</f>
        <v>36419</v>
      </c>
      <c r="J43" s="139">
        <f t="shared" si="0"/>
        <v>94.86585048189633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B2:M47"/>
  <sheetViews>
    <sheetView workbookViewId="0" topLeftCell="C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224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136</v>
      </c>
      <c r="C6" s="11" t="s">
        <v>138</v>
      </c>
      <c r="D6" s="11" t="s">
        <v>122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18780</v>
      </c>
      <c r="H7" s="343">
        <f>SUM(H8:H11)</f>
        <v>18780</v>
      </c>
      <c r="I7" s="20">
        <f>SUM(I8:I11)</f>
        <v>18518</v>
      </c>
      <c r="J7" s="139">
        <f aca="true" t="shared" si="0" ref="J7:J44">IF(H7=0,"",I7/H7*100)</f>
        <v>98.604898828541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12280+100</f>
        <v>12380</v>
      </c>
      <c r="H8" s="345">
        <f>12280+100</f>
        <v>12380</v>
      </c>
      <c r="I8" s="45">
        <v>12271</v>
      </c>
      <c r="J8" s="140">
        <f t="shared" si="0"/>
        <v>99.11954765751211</v>
      </c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345">
        <f>2740+100+260</f>
        <v>3100</v>
      </c>
      <c r="H9" s="345">
        <f>2740+100+260</f>
        <v>3100</v>
      </c>
      <c r="I9" s="45">
        <v>2971</v>
      </c>
      <c r="J9" s="140">
        <f t="shared" si="0"/>
        <v>95.83870967741936</v>
      </c>
      <c r="K9" s="83"/>
    </row>
    <row r="10" spans="2:12" ht="12.75" customHeight="1">
      <c r="B10" s="14"/>
      <c r="C10" s="15"/>
      <c r="D10" s="15"/>
      <c r="E10" s="16">
        <v>611200</v>
      </c>
      <c r="F10" s="26" t="s">
        <v>696</v>
      </c>
      <c r="G10" s="344">
        <v>3300</v>
      </c>
      <c r="H10" s="344">
        <v>3300</v>
      </c>
      <c r="I10" s="78">
        <v>3276</v>
      </c>
      <c r="J10" s="140">
        <f t="shared" si="0"/>
        <v>99.27272727272727</v>
      </c>
      <c r="K10" s="83"/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1350</v>
      </c>
      <c r="H13" s="343">
        <f>H14</f>
        <v>1350</v>
      </c>
      <c r="I13" s="20">
        <f>I14</f>
        <v>1323</v>
      </c>
      <c r="J13" s="139">
        <f t="shared" si="0"/>
        <v>98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1330+20</f>
        <v>1350</v>
      </c>
      <c r="H14" s="345">
        <f>1330+20</f>
        <v>1350</v>
      </c>
      <c r="I14" s="45">
        <v>1323</v>
      </c>
      <c r="J14" s="140">
        <f t="shared" si="0"/>
        <v>98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5850</v>
      </c>
      <c r="H17" s="50">
        <f>SUM(H18:H27)</f>
        <v>5850</v>
      </c>
      <c r="I17" s="50">
        <f>SUM(I18:I27)</f>
        <v>4726</v>
      </c>
      <c r="J17" s="139">
        <f t="shared" si="0"/>
        <v>80.78632478632478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500</v>
      </c>
      <c r="H18" s="45">
        <v>500</v>
      </c>
      <c r="I18" s="45">
        <v>0</v>
      </c>
      <c r="J18" s="140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950</v>
      </c>
      <c r="H20" s="45">
        <v>950</v>
      </c>
      <c r="I20" s="45">
        <v>685</v>
      </c>
      <c r="J20" s="140">
        <f t="shared" si="0"/>
        <v>72.10526315789474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500</v>
      </c>
      <c r="H21" s="45">
        <v>500</v>
      </c>
      <c r="I21" s="45">
        <v>500</v>
      </c>
      <c r="J21" s="140">
        <f t="shared" si="0"/>
        <v>100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40">
        <f t="shared" si="0"/>
      </c>
    </row>
    <row r="23" spans="2:13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  <c r="K23" s="100"/>
      <c r="L23" s="100"/>
      <c r="M23" s="100"/>
    </row>
    <row r="24" spans="2:13" ht="12.75" customHeight="1">
      <c r="B24" s="14"/>
      <c r="C24" s="15"/>
      <c r="D24" s="15"/>
      <c r="E24" s="16">
        <v>613700</v>
      </c>
      <c r="F24" s="15" t="s">
        <v>89</v>
      </c>
      <c r="G24" s="45">
        <v>0</v>
      </c>
      <c r="H24" s="45">
        <v>0</v>
      </c>
      <c r="I24" s="45">
        <v>0</v>
      </c>
      <c r="J24" s="140">
        <f t="shared" si="0"/>
      </c>
      <c r="K24" s="100"/>
      <c r="L24" s="100"/>
      <c r="M24" s="100"/>
    </row>
    <row r="25" spans="2:13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40">
        <f t="shared" si="0"/>
      </c>
      <c r="K25" s="100"/>
      <c r="L25" s="100"/>
      <c r="M25" s="100"/>
    </row>
    <row r="26" spans="2:13" ht="12.75" customHeight="1">
      <c r="B26" s="14"/>
      <c r="C26" s="15"/>
      <c r="D26" s="15"/>
      <c r="E26" s="16">
        <v>613900</v>
      </c>
      <c r="F26" s="15" t="s">
        <v>172</v>
      </c>
      <c r="G26" s="104">
        <v>500</v>
      </c>
      <c r="H26" s="104">
        <v>500</v>
      </c>
      <c r="I26" s="104">
        <v>234</v>
      </c>
      <c r="J26" s="140">
        <f t="shared" si="0"/>
        <v>46.800000000000004</v>
      </c>
      <c r="K26" s="83"/>
      <c r="L26" s="100"/>
      <c r="M26" s="100"/>
    </row>
    <row r="27" spans="2:13" ht="12.75" customHeight="1">
      <c r="B27" s="14"/>
      <c r="C27" s="15"/>
      <c r="D27" s="15"/>
      <c r="E27" s="16">
        <v>613900</v>
      </c>
      <c r="F27" s="26" t="s">
        <v>697</v>
      </c>
      <c r="G27" s="45">
        <v>3400</v>
      </c>
      <c r="H27" s="45">
        <v>3400</v>
      </c>
      <c r="I27" s="45">
        <v>3307</v>
      </c>
      <c r="J27" s="140">
        <f t="shared" si="0"/>
        <v>97.26470588235294</v>
      </c>
      <c r="K27" s="83"/>
      <c r="L27" s="100"/>
      <c r="M27" s="100"/>
    </row>
    <row r="28" spans="2:10" s="1" customFormat="1" ht="12.75" customHeight="1">
      <c r="B28" s="17"/>
      <c r="C28" s="12"/>
      <c r="D28" s="12"/>
      <c r="E28" s="59"/>
      <c r="F28" s="12"/>
      <c r="G28" s="45"/>
      <c r="H28" s="45"/>
      <c r="I28" s="45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45"/>
      <c r="H29" s="45"/>
      <c r="I29" s="45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5"/>
      <c r="H30" s="45"/>
      <c r="I30" s="45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1000</v>
      </c>
      <c r="H36" s="20">
        <f>SUM(H37:H38)</f>
        <v>1000</v>
      </c>
      <c r="I36" s="20">
        <f>SUM(I37:I38)</f>
        <v>999</v>
      </c>
      <c r="J36" s="139">
        <f t="shared" si="0"/>
        <v>99.9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45">
        <v>0</v>
      </c>
      <c r="I37" s="45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1000</v>
      </c>
      <c r="H38" s="45">
        <v>1000</v>
      </c>
      <c r="I38" s="45">
        <v>999</v>
      </c>
      <c r="J38" s="140">
        <f t="shared" si="0"/>
        <v>99.9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96">
        <v>1</v>
      </c>
      <c r="H41" s="96">
        <v>1</v>
      </c>
      <c r="I41" s="20">
        <v>1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26980</v>
      </c>
      <c r="H42" s="20">
        <f>H7+H13+H17+H36</f>
        <v>26980</v>
      </c>
      <c r="I42" s="20">
        <f>I7+I13+I17+I36</f>
        <v>25566</v>
      </c>
      <c r="J42" s="139">
        <f t="shared" si="0"/>
        <v>94.75908080059303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26980</v>
      </c>
      <c r="H43" s="20">
        <f>H42</f>
        <v>26980</v>
      </c>
      <c r="I43" s="20">
        <f>I42</f>
        <v>25566</v>
      </c>
      <c r="J43" s="139">
        <f t="shared" si="0"/>
        <v>94.75908080059303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G43+'12'!G43+'11'!G43+'10'!G42</f>
        <v>1800900</v>
      </c>
      <c r="H44" s="20">
        <f>H43+'12'!H43+'11'!H43+'10'!H42</f>
        <v>1800900</v>
      </c>
      <c r="I44" s="20">
        <f>I43+'12'!I43+'11'!I43+'10'!I42</f>
        <v>1728534</v>
      </c>
      <c r="J44" s="139">
        <f t="shared" si="0"/>
        <v>95.98167582875229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B2:L48"/>
  <sheetViews>
    <sheetView workbookViewId="0" topLeftCell="A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201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136</v>
      </c>
      <c r="C6" s="11" t="s">
        <v>202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57090</v>
      </c>
      <c r="H7" s="343">
        <f>SUM(H8:H11)</f>
        <v>57090</v>
      </c>
      <c r="I7" s="20">
        <f>SUM(I8:I11)</f>
        <v>56495</v>
      </c>
      <c r="J7" s="139">
        <f aca="true" t="shared" si="0" ref="J7:J44">IF(H7=0,"",I7/H7*100)</f>
        <v>98.95778595200561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51010+400</f>
        <v>51410</v>
      </c>
      <c r="H8" s="345">
        <f>51010+400</f>
        <v>51410</v>
      </c>
      <c r="I8" s="45">
        <v>51024</v>
      </c>
      <c r="J8" s="140">
        <f t="shared" si="0"/>
        <v>99.2491733125851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5110+50+2*260</f>
        <v>5680</v>
      </c>
      <c r="H9" s="345">
        <f>5110+50+2*260</f>
        <v>5680</v>
      </c>
      <c r="I9" s="45">
        <v>5471</v>
      </c>
      <c r="J9" s="140">
        <f t="shared" si="0"/>
        <v>96.32042253521126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5480</v>
      </c>
      <c r="H13" s="343">
        <f>H14</f>
        <v>5480</v>
      </c>
      <c r="I13" s="20">
        <f>I14</f>
        <v>5421</v>
      </c>
      <c r="J13" s="139">
        <f t="shared" si="0"/>
        <v>98.92335766423358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5420+60</f>
        <v>5480</v>
      </c>
      <c r="H14" s="345">
        <f>5420+60</f>
        <v>5480</v>
      </c>
      <c r="I14" s="45">
        <v>5421</v>
      </c>
      <c r="J14" s="140">
        <f t="shared" si="0"/>
        <v>98.92335766423358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5600</v>
      </c>
      <c r="H17" s="50">
        <f>SUM(H18:H27)</f>
        <v>5600</v>
      </c>
      <c r="I17" s="50">
        <f>SUM(I18:I27)</f>
        <v>4126</v>
      </c>
      <c r="J17" s="139">
        <f t="shared" si="0"/>
        <v>73.67857142857143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1900</v>
      </c>
      <c r="H18" s="45">
        <v>1900</v>
      </c>
      <c r="I18" s="45">
        <v>1347</v>
      </c>
      <c r="J18" s="140">
        <f t="shared" si="0"/>
        <v>70.89473684210526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1500</v>
      </c>
      <c r="H20" s="45">
        <v>1500</v>
      </c>
      <c r="I20" s="45">
        <v>1360</v>
      </c>
      <c r="J20" s="140">
        <f t="shared" si="0"/>
        <v>90.66666666666666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1000</v>
      </c>
      <c r="H21" s="45">
        <v>1000</v>
      </c>
      <c r="I21" s="45">
        <v>887</v>
      </c>
      <c r="J21" s="140">
        <f t="shared" si="0"/>
        <v>88.7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200</v>
      </c>
      <c r="H24" s="45">
        <v>200</v>
      </c>
      <c r="I24" s="45">
        <v>41</v>
      </c>
      <c r="J24" s="140">
        <f t="shared" si="0"/>
        <v>20.5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1000</v>
      </c>
      <c r="H26" s="104">
        <v>1000</v>
      </c>
      <c r="I26" s="104">
        <v>491</v>
      </c>
      <c r="J26" s="140">
        <f t="shared" si="0"/>
        <v>49.1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59"/>
      <c r="F28" s="12"/>
      <c r="G28" s="45"/>
      <c r="H28" s="45"/>
      <c r="I28" s="45"/>
      <c r="J28" s="140">
        <f t="shared" si="0"/>
      </c>
    </row>
    <row r="29" spans="2:10" ht="12.75" customHeight="1">
      <c r="B29" s="14"/>
      <c r="C29" s="15"/>
      <c r="D29" s="31"/>
      <c r="E29" s="61"/>
      <c r="F29" s="58"/>
      <c r="G29" s="45"/>
      <c r="H29" s="45"/>
      <c r="I29" s="45"/>
      <c r="J29" s="140">
        <f t="shared" si="0"/>
      </c>
    </row>
    <row r="30" spans="2:10" ht="12.75" customHeight="1">
      <c r="B30" s="14"/>
      <c r="C30" s="15"/>
      <c r="D30" s="15"/>
      <c r="E30" s="60"/>
      <c r="F30" s="15"/>
      <c r="G30" s="45"/>
      <c r="H30" s="45"/>
      <c r="I30" s="45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19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G37+G38</f>
        <v>0</v>
      </c>
      <c r="H36" s="20">
        <f>H37+H38</f>
        <v>0</v>
      </c>
      <c r="I36" s="20">
        <f>I37+I38</f>
        <v>0</v>
      </c>
      <c r="J36" s="139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45">
        <v>0</v>
      </c>
      <c r="I37" s="45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0</v>
      </c>
      <c r="H38" s="104">
        <v>0</v>
      </c>
      <c r="I38" s="104">
        <v>0</v>
      </c>
      <c r="J38" s="140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2</v>
      </c>
      <c r="H41" s="20">
        <v>2</v>
      </c>
      <c r="I41" s="20">
        <v>2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68170</v>
      </c>
      <c r="H42" s="20">
        <f>H7+H13+H17+H36</f>
        <v>68170</v>
      </c>
      <c r="I42" s="20">
        <f>I7+I13+I17+I36</f>
        <v>66042</v>
      </c>
      <c r="J42" s="139">
        <f t="shared" si="0"/>
        <v>96.87839225465747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68170</v>
      </c>
      <c r="H43" s="20">
        <f>H42</f>
        <v>68170</v>
      </c>
      <c r="I43" s="20">
        <f>I42</f>
        <v>66042</v>
      </c>
      <c r="J43" s="139">
        <f t="shared" si="0"/>
        <v>96.87839225465747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G43+'13'!G43+'12'!G43+'11'!G43+'10'!G42</f>
        <v>1869070</v>
      </c>
      <c r="H44" s="20">
        <f>H43+'13'!H43+'12'!H43+'11'!H43+'10'!H42</f>
        <v>1869070</v>
      </c>
      <c r="I44" s="20">
        <f>I43+'13'!I43+'12'!I43+'11'!I43+'10'!I42</f>
        <v>1794576</v>
      </c>
      <c r="J44" s="139">
        <f t="shared" si="0"/>
        <v>96.01438148383956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M15" sqref="M15"/>
    </sheetView>
  </sheetViews>
  <sheetFormatPr defaultColWidth="9.140625" defaultRowHeight="12.75"/>
  <cols>
    <col min="1" max="1" width="4.00390625" style="55" customWidth="1"/>
    <col min="7" max="7" width="15.7109375" style="0" customWidth="1"/>
    <col min="8" max="8" width="7.421875" style="0" customWidth="1"/>
    <col min="9" max="9" width="14.7109375" style="0" customWidth="1"/>
    <col min="10" max="10" width="9.140625" style="55" customWidth="1"/>
  </cols>
  <sheetData>
    <row r="1" spans="1:9" ht="15.75">
      <c r="A1" s="443" t="s">
        <v>232</v>
      </c>
      <c r="B1" s="443"/>
      <c r="C1" s="443"/>
      <c r="D1" s="443"/>
      <c r="E1" s="443"/>
      <c r="F1" s="443"/>
      <c r="G1" s="443"/>
      <c r="H1" s="443"/>
      <c r="I1" s="443"/>
    </row>
    <row r="3" spans="1:10" s="68" customFormat="1" ht="12.75">
      <c r="A3" s="117" t="s">
        <v>275</v>
      </c>
      <c r="B3" s="437" t="s">
        <v>312</v>
      </c>
      <c r="C3" s="438"/>
      <c r="D3" s="438"/>
      <c r="E3" s="438"/>
      <c r="F3" s="438"/>
      <c r="G3" s="438"/>
      <c r="H3" s="438"/>
      <c r="I3" s="439"/>
      <c r="J3" s="117" t="s">
        <v>259</v>
      </c>
    </row>
    <row r="4" spans="1:10" s="52" customFormat="1" ht="16.5" customHeight="1">
      <c r="A4" s="113" t="s">
        <v>233</v>
      </c>
      <c r="B4" s="434" t="s">
        <v>234</v>
      </c>
      <c r="C4" s="435"/>
      <c r="D4" s="435"/>
      <c r="E4" s="435"/>
      <c r="F4" s="435"/>
      <c r="G4" s="435"/>
      <c r="H4" s="435"/>
      <c r="I4" s="436"/>
      <c r="J4" s="113">
        <v>1</v>
      </c>
    </row>
    <row r="5" spans="1:10" s="52" customFormat="1" ht="16.5" customHeight="1">
      <c r="A5" s="113" t="s">
        <v>235</v>
      </c>
      <c r="B5" s="434" t="s">
        <v>236</v>
      </c>
      <c r="C5" s="435"/>
      <c r="D5" s="435"/>
      <c r="E5" s="435"/>
      <c r="F5" s="435"/>
      <c r="G5" s="435"/>
      <c r="H5" s="435"/>
      <c r="I5" s="436"/>
      <c r="J5" s="113">
        <v>2</v>
      </c>
    </row>
    <row r="6" spans="1:10" s="52" customFormat="1" ht="16.5" customHeight="1">
      <c r="A6" s="113" t="s">
        <v>237</v>
      </c>
      <c r="B6" s="434" t="s">
        <v>523</v>
      </c>
      <c r="C6" s="435"/>
      <c r="D6" s="435"/>
      <c r="E6" s="435"/>
      <c r="F6" s="435"/>
      <c r="G6" s="435"/>
      <c r="H6" s="435"/>
      <c r="I6" s="436"/>
      <c r="J6" s="113">
        <v>6</v>
      </c>
    </row>
    <row r="7" spans="1:10" s="52" customFormat="1" ht="16.5" customHeight="1">
      <c r="A7" s="113" t="s">
        <v>238</v>
      </c>
      <c r="B7" s="434" t="s">
        <v>239</v>
      </c>
      <c r="C7" s="435"/>
      <c r="D7" s="435"/>
      <c r="E7" s="435"/>
      <c r="F7" s="435"/>
      <c r="G7" s="435"/>
      <c r="H7" s="435"/>
      <c r="I7" s="436"/>
      <c r="J7" s="113">
        <v>7</v>
      </c>
    </row>
    <row r="8" spans="1:10" s="52" customFormat="1" ht="16.5" customHeight="1">
      <c r="A8" s="113" t="s">
        <v>276</v>
      </c>
      <c r="B8" s="434" t="s">
        <v>240</v>
      </c>
      <c r="C8" s="435"/>
      <c r="D8" s="435"/>
      <c r="E8" s="435"/>
      <c r="F8" s="435"/>
      <c r="G8" s="435"/>
      <c r="H8" s="435"/>
      <c r="I8" s="436"/>
      <c r="J8" s="113">
        <v>8</v>
      </c>
    </row>
    <row r="9" spans="1:10" s="52" customFormat="1" ht="16.5" customHeight="1">
      <c r="A9" s="113" t="s">
        <v>277</v>
      </c>
      <c r="B9" s="434" t="s">
        <v>244</v>
      </c>
      <c r="C9" s="435"/>
      <c r="D9" s="435"/>
      <c r="E9" s="435"/>
      <c r="F9" s="435"/>
      <c r="G9" s="435"/>
      <c r="H9" s="435"/>
      <c r="I9" s="436"/>
      <c r="J9" s="113">
        <v>9</v>
      </c>
    </row>
    <row r="10" spans="1:10" s="52" customFormat="1" ht="16.5" customHeight="1">
      <c r="A10" s="113" t="s">
        <v>278</v>
      </c>
      <c r="B10" s="434" t="s">
        <v>241</v>
      </c>
      <c r="C10" s="435"/>
      <c r="D10" s="435"/>
      <c r="E10" s="435"/>
      <c r="F10" s="435"/>
      <c r="G10" s="435"/>
      <c r="H10" s="435"/>
      <c r="I10" s="436"/>
      <c r="J10" s="113">
        <v>10</v>
      </c>
    </row>
    <row r="11" spans="1:10" s="52" customFormat="1" ht="16.5" customHeight="1">
      <c r="A11" s="113" t="s">
        <v>279</v>
      </c>
      <c r="B11" s="434" t="s">
        <v>242</v>
      </c>
      <c r="C11" s="435"/>
      <c r="D11" s="435"/>
      <c r="E11" s="435"/>
      <c r="F11" s="435"/>
      <c r="G11" s="435"/>
      <c r="H11" s="435"/>
      <c r="I11" s="436"/>
      <c r="J11" s="113">
        <v>11</v>
      </c>
    </row>
    <row r="12" spans="1:10" s="52" customFormat="1" ht="16.5" customHeight="1">
      <c r="A12" s="113" t="s">
        <v>280</v>
      </c>
      <c r="B12" s="434" t="s">
        <v>243</v>
      </c>
      <c r="C12" s="435"/>
      <c r="D12" s="435"/>
      <c r="E12" s="435"/>
      <c r="F12" s="435"/>
      <c r="G12" s="435"/>
      <c r="H12" s="435"/>
      <c r="I12" s="436"/>
      <c r="J12" s="113">
        <v>12</v>
      </c>
    </row>
    <row r="13" spans="1:10" s="52" customFormat="1" ht="16.5" customHeight="1">
      <c r="A13" s="113" t="s">
        <v>281</v>
      </c>
      <c r="B13" s="434" t="s">
        <v>245</v>
      </c>
      <c r="C13" s="435"/>
      <c r="D13" s="435"/>
      <c r="E13" s="435"/>
      <c r="F13" s="435"/>
      <c r="G13" s="435"/>
      <c r="H13" s="435"/>
      <c r="I13" s="436"/>
      <c r="J13" s="113">
        <v>13</v>
      </c>
    </row>
    <row r="14" spans="1:10" s="52" customFormat="1" ht="16.5" customHeight="1">
      <c r="A14" s="113" t="s">
        <v>282</v>
      </c>
      <c r="B14" s="434" t="s">
        <v>667</v>
      </c>
      <c r="C14" s="441"/>
      <c r="D14" s="441"/>
      <c r="E14" s="441"/>
      <c r="F14" s="441"/>
      <c r="G14" s="441"/>
      <c r="H14" s="441"/>
      <c r="I14" s="442"/>
      <c r="J14" s="113">
        <v>14</v>
      </c>
    </row>
    <row r="15" spans="1:10" s="52" customFormat="1" ht="16.5" customHeight="1">
      <c r="A15" s="113" t="s">
        <v>283</v>
      </c>
      <c r="B15" s="434" t="s">
        <v>246</v>
      </c>
      <c r="C15" s="435"/>
      <c r="D15" s="435"/>
      <c r="E15" s="435"/>
      <c r="F15" s="435"/>
      <c r="G15" s="435"/>
      <c r="H15" s="435"/>
      <c r="I15" s="436"/>
      <c r="J15" s="113">
        <v>15</v>
      </c>
    </row>
    <row r="16" spans="1:10" s="52" customFormat="1" ht="16.5" customHeight="1">
      <c r="A16" s="113" t="s">
        <v>284</v>
      </c>
      <c r="B16" s="434" t="s">
        <v>247</v>
      </c>
      <c r="C16" s="435"/>
      <c r="D16" s="435"/>
      <c r="E16" s="435"/>
      <c r="F16" s="435"/>
      <c r="G16" s="435"/>
      <c r="H16" s="435"/>
      <c r="I16" s="436"/>
      <c r="J16" s="113">
        <v>16</v>
      </c>
    </row>
    <row r="17" spans="1:10" s="52" customFormat="1" ht="16.5" customHeight="1">
      <c r="A17" s="113" t="s">
        <v>285</v>
      </c>
      <c r="B17" s="434" t="s">
        <v>248</v>
      </c>
      <c r="C17" s="435"/>
      <c r="D17" s="435"/>
      <c r="E17" s="435"/>
      <c r="F17" s="435"/>
      <c r="G17" s="435"/>
      <c r="H17" s="435"/>
      <c r="I17" s="436"/>
      <c r="J17" s="113">
        <v>17</v>
      </c>
    </row>
    <row r="18" spans="1:10" s="52" customFormat="1" ht="16.5" customHeight="1">
      <c r="A18" s="113" t="s">
        <v>286</v>
      </c>
      <c r="B18" s="434" t="s">
        <v>249</v>
      </c>
      <c r="C18" s="435"/>
      <c r="D18" s="435"/>
      <c r="E18" s="435"/>
      <c r="F18" s="435"/>
      <c r="G18" s="435"/>
      <c r="H18" s="435"/>
      <c r="I18" s="436"/>
      <c r="J18" s="113">
        <v>18</v>
      </c>
    </row>
    <row r="19" spans="1:10" s="52" customFormat="1" ht="16.5" customHeight="1">
      <c r="A19" s="113" t="s">
        <v>287</v>
      </c>
      <c r="B19" s="434" t="s">
        <v>250</v>
      </c>
      <c r="C19" s="435"/>
      <c r="D19" s="435"/>
      <c r="E19" s="435"/>
      <c r="F19" s="435"/>
      <c r="G19" s="435"/>
      <c r="H19" s="435"/>
      <c r="I19" s="436"/>
      <c r="J19" s="113">
        <v>19</v>
      </c>
    </row>
    <row r="20" spans="1:10" s="52" customFormat="1" ht="16.5" customHeight="1">
      <c r="A20" s="113" t="s">
        <v>288</v>
      </c>
      <c r="B20" s="434" t="s">
        <v>251</v>
      </c>
      <c r="C20" s="435"/>
      <c r="D20" s="435"/>
      <c r="E20" s="435"/>
      <c r="F20" s="435"/>
      <c r="G20" s="435"/>
      <c r="H20" s="435"/>
      <c r="I20" s="436"/>
      <c r="J20" s="113">
        <v>20</v>
      </c>
    </row>
    <row r="21" spans="1:10" s="52" customFormat="1" ht="16.5" customHeight="1">
      <c r="A21" s="113" t="s">
        <v>289</v>
      </c>
      <c r="B21" s="434" t="s">
        <v>252</v>
      </c>
      <c r="C21" s="435"/>
      <c r="D21" s="435"/>
      <c r="E21" s="435"/>
      <c r="F21" s="435"/>
      <c r="G21" s="435"/>
      <c r="H21" s="435"/>
      <c r="I21" s="436"/>
      <c r="J21" s="113">
        <v>21</v>
      </c>
    </row>
    <row r="22" spans="1:10" s="52" customFormat="1" ht="16.5" customHeight="1">
      <c r="A22" s="113" t="s">
        <v>290</v>
      </c>
      <c r="B22" s="434" t="s">
        <v>253</v>
      </c>
      <c r="C22" s="435"/>
      <c r="D22" s="435"/>
      <c r="E22" s="435"/>
      <c r="F22" s="435"/>
      <c r="G22" s="435"/>
      <c r="H22" s="435"/>
      <c r="I22" s="436"/>
      <c r="J22" s="113">
        <v>22</v>
      </c>
    </row>
    <row r="23" spans="1:10" s="52" customFormat="1" ht="16.5" customHeight="1">
      <c r="A23" s="113" t="s">
        <v>291</v>
      </c>
      <c r="B23" s="434" t="s">
        <v>254</v>
      </c>
      <c r="C23" s="435"/>
      <c r="D23" s="435"/>
      <c r="E23" s="435"/>
      <c r="F23" s="435"/>
      <c r="G23" s="435"/>
      <c r="H23" s="435"/>
      <c r="I23" s="436"/>
      <c r="J23" s="113">
        <v>23</v>
      </c>
    </row>
    <row r="24" spans="1:10" s="52" customFormat="1" ht="16.5" customHeight="1">
      <c r="A24" s="113" t="s">
        <v>292</v>
      </c>
      <c r="B24" s="434" t="s">
        <v>255</v>
      </c>
      <c r="C24" s="435"/>
      <c r="D24" s="435"/>
      <c r="E24" s="435"/>
      <c r="F24" s="435"/>
      <c r="G24" s="435"/>
      <c r="H24" s="435"/>
      <c r="I24" s="436"/>
      <c r="J24" s="113">
        <v>24</v>
      </c>
    </row>
    <row r="25" spans="1:10" s="52" customFormat="1" ht="16.5" customHeight="1">
      <c r="A25" s="113" t="s">
        <v>293</v>
      </c>
      <c r="B25" s="434" t="s">
        <v>256</v>
      </c>
      <c r="C25" s="435"/>
      <c r="D25" s="435"/>
      <c r="E25" s="435"/>
      <c r="F25" s="435"/>
      <c r="G25" s="435"/>
      <c r="H25" s="435"/>
      <c r="I25" s="436"/>
      <c r="J25" s="113">
        <v>25</v>
      </c>
    </row>
    <row r="26" spans="1:10" s="52" customFormat="1" ht="16.5" customHeight="1">
      <c r="A26" s="113" t="s">
        <v>294</v>
      </c>
      <c r="B26" s="434" t="s">
        <v>257</v>
      </c>
      <c r="C26" s="435"/>
      <c r="D26" s="435"/>
      <c r="E26" s="435"/>
      <c r="F26" s="435"/>
      <c r="G26" s="435"/>
      <c r="H26" s="435"/>
      <c r="I26" s="436"/>
      <c r="J26" s="113">
        <v>26</v>
      </c>
    </row>
    <row r="27" spans="1:10" s="52" customFormat="1" ht="16.5" customHeight="1">
      <c r="A27" s="113" t="s">
        <v>295</v>
      </c>
      <c r="B27" s="434" t="s">
        <v>258</v>
      </c>
      <c r="C27" s="435"/>
      <c r="D27" s="435"/>
      <c r="E27" s="435"/>
      <c r="F27" s="435"/>
      <c r="G27" s="435"/>
      <c r="H27" s="435"/>
      <c r="I27" s="436"/>
      <c r="J27" s="113">
        <v>27</v>
      </c>
    </row>
    <row r="28" spans="1:10" s="52" customFormat="1" ht="16.5" customHeight="1">
      <c r="A28" s="113" t="s">
        <v>296</v>
      </c>
      <c r="B28" s="434" t="s">
        <v>260</v>
      </c>
      <c r="C28" s="435"/>
      <c r="D28" s="435"/>
      <c r="E28" s="435"/>
      <c r="F28" s="435"/>
      <c r="G28" s="435"/>
      <c r="H28" s="435"/>
      <c r="I28" s="436"/>
      <c r="J28" s="113">
        <v>28</v>
      </c>
    </row>
    <row r="29" spans="1:10" s="52" customFormat="1" ht="16.5" customHeight="1">
      <c r="A29" s="113" t="s">
        <v>297</v>
      </c>
      <c r="B29" s="434" t="s">
        <v>317</v>
      </c>
      <c r="C29" s="435"/>
      <c r="D29" s="435"/>
      <c r="E29" s="435"/>
      <c r="F29" s="435"/>
      <c r="G29" s="435"/>
      <c r="H29" s="435"/>
      <c r="I29" s="436"/>
      <c r="J29" s="113">
        <v>29</v>
      </c>
    </row>
    <row r="30" spans="1:10" s="52" customFormat="1" ht="16.5" customHeight="1">
      <c r="A30" s="113" t="s">
        <v>298</v>
      </c>
      <c r="B30" s="434" t="s">
        <v>318</v>
      </c>
      <c r="C30" s="435"/>
      <c r="D30" s="435"/>
      <c r="E30" s="435"/>
      <c r="F30" s="435"/>
      <c r="G30" s="435"/>
      <c r="H30" s="435"/>
      <c r="I30" s="436"/>
      <c r="J30" s="113">
        <v>30</v>
      </c>
    </row>
    <row r="31" spans="1:10" s="52" customFormat="1" ht="16.5" customHeight="1">
      <c r="A31" s="113" t="s">
        <v>299</v>
      </c>
      <c r="B31" s="434" t="s">
        <v>261</v>
      </c>
      <c r="C31" s="435"/>
      <c r="D31" s="435"/>
      <c r="E31" s="435"/>
      <c r="F31" s="435"/>
      <c r="G31" s="435"/>
      <c r="H31" s="435"/>
      <c r="I31" s="436"/>
      <c r="J31" s="113">
        <v>31</v>
      </c>
    </row>
    <row r="32" spans="1:10" s="52" customFormat="1" ht="16.5" customHeight="1">
      <c r="A32" s="113" t="s">
        <v>300</v>
      </c>
      <c r="B32" s="434" t="s">
        <v>262</v>
      </c>
      <c r="C32" s="435"/>
      <c r="D32" s="435"/>
      <c r="E32" s="435"/>
      <c r="F32" s="435"/>
      <c r="G32" s="435"/>
      <c r="H32" s="435"/>
      <c r="I32" s="436"/>
      <c r="J32" s="113">
        <v>32</v>
      </c>
    </row>
    <row r="33" spans="1:10" s="52" customFormat="1" ht="16.5" customHeight="1">
      <c r="A33" s="113" t="s">
        <v>301</v>
      </c>
      <c r="B33" s="434" t="s">
        <v>263</v>
      </c>
      <c r="C33" s="435"/>
      <c r="D33" s="435"/>
      <c r="E33" s="435"/>
      <c r="F33" s="435"/>
      <c r="G33" s="435"/>
      <c r="H33" s="435"/>
      <c r="I33" s="436"/>
      <c r="J33" s="113">
        <v>33</v>
      </c>
    </row>
    <row r="34" spans="1:10" s="52" customFormat="1" ht="16.5" customHeight="1">
      <c r="A34" s="113" t="s">
        <v>302</v>
      </c>
      <c r="B34" s="434" t="s">
        <v>264</v>
      </c>
      <c r="C34" s="435"/>
      <c r="D34" s="435"/>
      <c r="E34" s="435"/>
      <c r="F34" s="435"/>
      <c r="G34" s="435"/>
      <c r="H34" s="435"/>
      <c r="I34" s="436"/>
      <c r="J34" s="113">
        <v>34</v>
      </c>
    </row>
    <row r="35" spans="1:10" s="52" customFormat="1" ht="16.5" customHeight="1">
      <c r="A35" s="113" t="s">
        <v>303</v>
      </c>
      <c r="B35" s="434" t="s">
        <v>265</v>
      </c>
      <c r="C35" s="435"/>
      <c r="D35" s="435"/>
      <c r="E35" s="435"/>
      <c r="F35" s="435"/>
      <c r="G35" s="435"/>
      <c r="H35" s="435"/>
      <c r="I35" s="436"/>
      <c r="J35" s="113">
        <v>35</v>
      </c>
    </row>
    <row r="36" spans="1:10" s="52" customFormat="1" ht="16.5" customHeight="1">
      <c r="A36" s="113" t="s">
        <v>304</v>
      </c>
      <c r="B36" s="434" t="s">
        <v>266</v>
      </c>
      <c r="C36" s="435"/>
      <c r="D36" s="435"/>
      <c r="E36" s="435"/>
      <c r="F36" s="435"/>
      <c r="G36" s="435"/>
      <c r="H36" s="435"/>
      <c r="I36" s="436"/>
      <c r="J36" s="113">
        <v>36</v>
      </c>
    </row>
    <row r="37" spans="1:10" s="52" customFormat="1" ht="16.5" customHeight="1">
      <c r="A37" s="113" t="s">
        <v>305</v>
      </c>
      <c r="B37" s="434" t="s">
        <v>267</v>
      </c>
      <c r="C37" s="435"/>
      <c r="D37" s="435"/>
      <c r="E37" s="435"/>
      <c r="F37" s="435"/>
      <c r="G37" s="435"/>
      <c r="H37" s="435"/>
      <c r="I37" s="436"/>
      <c r="J37" s="113">
        <v>37</v>
      </c>
    </row>
    <row r="38" spans="1:10" s="52" customFormat="1" ht="16.5" customHeight="1">
      <c r="A38" s="113" t="s">
        <v>306</v>
      </c>
      <c r="B38" s="434" t="s">
        <v>268</v>
      </c>
      <c r="C38" s="435"/>
      <c r="D38" s="435"/>
      <c r="E38" s="435"/>
      <c r="F38" s="435"/>
      <c r="G38" s="435"/>
      <c r="H38" s="435"/>
      <c r="I38" s="436"/>
      <c r="J38" s="113">
        <v>38</v>
      </c>
    </row>
    <row r="39" spans="1:10" s="52" customFormat="1" ht="16.5" customHeight="1">
      <c r="A39" s="113" t="s">
        <v>307</v>
      </c>
      <c r="B39" s="434" t="s">
        <v>269</v>
      </c>
      <c r="C39" s="435"/>
      <c r="D39" s="435"/>
      <c r="E39" s="435"/>
      <c r="F39" s="435"/>
      <c r="G39" s="435"/>
      <c r="H39" s="435"/>
      <c r="I39" s="436"/>
      <c r="J39" s="113">
        <v>39</v>
      </c>
    </row>
    <row r="40" spans="1:10" s="52" customFormat="1" ht="16.5" customHeight="1">
      <c r="A40" s="113" t="s">
        <v>308</v>
      </c>
      <c r="B40" s="434" t="s">
        <v>270</v>
      </c>
      <c r="C40" s="435"/>
      <c r="D40" s="435"/>
      <c r="E40" s="435"/>
      <c r="F40" s="435"/>
      <c r="G40" s="435"/>
      <c r="H40" s="435"/>
      <c r="I40" s="436"/>
      <c r="J40" s="113">
        <v>40</v>
      </c>
    </row>
    <row r="41" spans="1:10" s="52" customFormat="1" ht="16.5" customHeight="1">
      <c r="A41" s="113" t="s">
        <v>309</v>
      </c>
      <c r="B41" s="434" t="s">
        <v>271</v>
      </c>
      <c r="C41" s="435"/>
      <c r="D41" s="435"/>
      <c r="E41" s="435"/>
      <c r="F41" s="435"/>
      <c r="G41" s="435"/>
      <c r="H41" s="435"/>
      <c r="I41" s="436"/>
      <c r="J41" s="113">
        <v>41</v>
      </c>
    </row>
    <row r="42" spans="1:10" s="52" customFormat="1" ht="16.5" customHeight="1">
      <c r="A42" s="113" t="s">
        <v>310</v>
      </c>
      <c r="B42" s="434" t="s">
        <v>272</v>
      </c>
      <c r="C42" s="435"/>
      <c r="D42" s="435"/>
      <c r="E42" s="435"/>
      <c r="F42" s="435"/>
      <c r="G42" s="435"/>
      <c r="H42" s="435"/>
      <c r="I42" s="436"/>
      <c r="J42" s="113">
        <v>42</v>
      </c>
    </row>
    <row r="43" spans="1:10" s="52" customFormat="1" ht="16.5" customHeight="1">
      <c r="A43" s="113" t="s">
        <v>311</v>
      </c>
      <c r="B43" s="434" t="s">
        <v>273</v>
      </c>
      <c r="C43" s="435"/>
      <c r="D43" s="435"/>
      <c r="E43" s="435"/>
      <c r="F43" s="435"/>
      <c r="G43" s="435"/>
      <c r="H43" s="435"/>
      <c r="I43" s="436"/>
      <c r="J43" s="113">
        <v>43</v>
      </c>
    </row>
    <row r="44" spans="1:10" s="52" customFormat="1" ht="16.5" customHeight="1">
      <c r="A44" s="113" t="s">
        <v>316</v>
      </c>
      <c r="B44" s="434" t="s">
        <v>274</v>
      </c>
      <c r="C44" s="435"/>
      <c r="D44" s="435"/>
      <c r="E44" s="435"/>
      <c r="F44" s="435"/>
      <c r="G44" s="435"/>
      <c r="H44" s="435"/>
      <c r="I44" s="436"/>
      <c r="J44" s="113">
        <v>44</v>
      </c>
    </row>
    <row r="45" spans="1:10" s="52" customFormat="1" ht="28.5" customHeight="1">
      <c r="A45" s="113" t="s">
        <v>332</v>
      </c>
      <c r="B45" s="440" t="s">
        <v>668</v>
      </c>
      <c r="C45" s="441"/>
      <c r="D45" s="441"/>
      <c r="E45" s="441"/>
      <c r="F45" s="441"/>
      <c r="G45" s="441"/>
      <c r="H45" s="441"/>
      <c r="I45" s="442"/>
      <c r="J45" s="113">
        <v>45</v>
      </c>
    </row>
    <row r="46" spans="1:10" s="52" customFormat="1" ht="16.5" customHeight="1">
      <c r="A46" s="113" t="s">
        <v>502</v>
      </c>
      <c r="B46" s="233" t="s">
        <v>669</v>
      </c>
      <c r="C46" s="234"/>
      <c r="D46" s="234"/>
      <c r="E46" s="234"/>
      <c r="F46" s="234"/>
      <c r="G46" s="234"/>
      <c r="H46" s="234"/>
      <c r="I46" s="235"/>
      <c r="J46" s="113">
        <v>46</v>
      </c>
    </row>
    <row r="47" spans="1:10" s="52" customFormat="1" ht="16.5" customHeight="1">
      <c r="A47" s="113" t="s">
        <v>503</v>
      </c>
      <c r="B47" s="233" t="s">
        <v>670</v>
      </c>
      <c r="C47" s="234"/>
      <c r="D47" s="234"/>
      <c r="E47" s="234"/>
      <c r="F47" s="234"/>
      <c r="G47" s="234"/>
      <c r="H47" s="234"/>
      <c r="I47" s="235"/>
      <c r="J47" s="113">
        <v>48</v>
      </c>
    </row>
    <row r="48" spans="1:10" s="52" customFormat="1" ht="14.25">
      <c r="A48" s="115"/>
      <c r="B48" s="112"/>
      <c r="C48" s="112"/>
      <c r="D48" s="112"/>
      <c r="E48" s="112"/>
      <c r="F48" s="112"/>
      <c r="G48" s="112"/>
      <c r="H48" s="112"/>
      <c r="I48" s="112"/>
      <c r="J48" s="114"/>
    </row>
    <row r="49" spans="1:10" s="52" customFormat="1" ht="14.25">
      <c r="A49" s="116"/>
      <c r="J49" s="116"/>
    </row>
    <row r="50" spans="1:10" s="52" customFormat="1" ht="14.25">
      <c r="A50" s="116"/>
      <c r="J50" s="116"/>
    </row>
    <row r="51" spans="1:10" s="52" customFormat="1" ht="14.25">
      <c r="A51" s="116"/>
      <c r="J51" s="116"/>
    </row>
  </sheetData>
  <sheetProtection/>
  <mergeCells count="44">
    <mergeCell ref="B44:I44"/>
    <mergeCell ref="B43:I43"/>
    <mergeCell ref="B42:I42"/>
    <mergeCell ref="B45:I45"/>
    <mergeCell ref="A1:I1"/>
    <mergeCell ref="B14:I14"/>
    <mergeCell ref="B27:I27"/>
    <mergeCell ref="B26:I26"/>
    <mergeCell ref="B25:I25"/>
    <mergeCell ref="B24:I24"/>
    <mergeCell ref="B4:I4"/>
    <mergeCell ref="B36:I36"/>
    <mergeCell ref="B37:I37"/>
    <mergeCell ref="B38:I38"/>
    <mergeCell ref="B39:I39"/>
    <mergeCell ref="B40:I40"/>
    <mergeCell ref="B23:I23"/>
    <mergeCell ref="B21:I21"/>
    <mergeCell ref="B20:I20"/>
    <mergeCell ref="B5:I5"/>
    <mergeCell ref="B41:I41"/>
    <mergeCell ref="B35:I35"/>
    <mergeCell ref="B34:I34"/>
    <mergeCell ref="B33:I33"/>
    <mergeCell ref="B22:I22"/>
    <mergeCell ref="B28:I28"/>
    <mergeCell ref="B29:I29"/>
    <mergeCell ref="B30:I30"/>
    <mergeCell ref="B3:I3"/>
    <mergeCell ref="B32:I32"/>
    <mergeCell ref="B31:I31"/>
    <mergeCell ref="B9:I9"/>
    <mergeCell ref="B8:I8"/>
    <mergeCell ref="B7:I7"/>
    <mergeCell ref="B6:I6"/>
    <mergeCell ref="B12:I12"/>
    <mergeCell ref="B11:I11"/>
    <mergeCell ref="B10:I10"/>
    <mergeCell ref="B19:I19"/>
    <mergeCell ref="B18:I18"/>
    <mergeCell ref="B17:I17"/>
    <mergeCell ref="B16:I16"/>
    <mergeCell ref="B15:I15"/>
    <mergeCell ref="B13:I13"/>
  </mergeCells>
  <printOptions/>
  <pageMargins left="0.65" right="0.39" top="0.63" bottom="0.47" header="0.5" footer="0.43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L47"/>
  <sheetViews>
    <sheetView workbookViewId="0" topLeftCell="B4">
      <selection activeCell="M33" sqref="M3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182</v>
      </c>
      <c r="C2" s="461"/>
      <c r="D2" s="461"/>
      <c r="E2" s="461"/>
      <c r="F2" s="461"/>
      <c r="G2" s="461"/>
      <c r="H2" s="461"/>
      <c r="I2" s="252"/>
      <c r="J2" s="25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216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139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170790</v>
      </c>
      <c r="H7" s="343">
        <f>SUM(H8:H11)</f>
        <v>170790</v>
      </c>
      <c r="I7" s="20">
        <f>SUM(I8:I11)</f>
        <v>168374</v>
      </c>
      <c r="J7" s="139">
        <f aca="true" t="shared" si="0" ref="J7:J41">IF(H7=0,"",I7/H7*100)</f>
        <v>98.58539727150301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140670+1000</f>
        <v>141670</v>
      </c>
      <c r="H8" s="345">
        <f>140670+1000</f>
        <v>141670</v>
      </c>
      <c r="I8" s="104">
        <v>140661</v>
      </c>
      <c r="J8" s="140">
        <f t="shared" si="0"/>
        <v>99.28778146396556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26800+500+7*260</f>
        <v>29120</v>
      </c>
      <c r="H9" s="345">
        <f>26800+500+7*260</f>
        <v>29120</v>
      </c>
      <c r="I9" s="104">
        <v>27713</v>
      </c>
      <c r="J9" s="140">
        <f t="shared" si="0"/>
        <v>95.16826923076923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10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15200</v>
      </c>
      <c r="H13" s="343">
        <f>H14</f>
        <v>15200</v>
      </c>
      <c r="I13" s="96">
        <f>I14</f>
        <v>14995</v>
      </c>
      <c r="J13" s="139">
        <f t="shared" si="0"/>
        <v>98.65131578947368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15000+200</f>
        <v>15200</v>
      </c>
      <c r="H14" s="345">
        <f>15000+200</f>
        <v>15200</v>
      </c>
      <c r="I14" s="104">
        <v>14995</v>
      </c>
      <c r="J14" s="140">
        <f t="shared" si="0"/>
        <v>98.65131578947368</v>
      </c>
    </row>
    <row r="15" spans="2:10" ht="12.75" customHeight="1">
      <c r="B15" s="14"/>
      <c r="C15" s="15"/>
      <c r="D15" s="15"/>
      <c r="E15" s="16"/>
      <c r="F15" s="15"/>
      <c r="G15" s="104"/>
      <c r="H15" s="104"/>
      <c r="I15" s="10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SUM(G18:G28)</f>
        <v>74600</v>
      </c>
      <c r="H17" s="50">
        <f>SUM(H18:H28)</f>
        <v>74600</v>
      </c>
      <c r="I17" s="50">
        <f>SUM(I18:I28)</f>
        <v>24201</v>
      </c>
      <c r="J17" s="139">
        <f t="shared" si="0"/>
        <v>32.44101876675603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5000</v>
      </c>
      <c r="H18" s="45">
        <v>4700</v>
      </c>
      <c r="I18" s="45">
        <v>4655</v>
      </c>
      <c r="J18" s="140">
        <f t="shared" si="0"/>
        <v>99.04255319148936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3500</v>
      </c>
      <c r="H20" s="45">
        <v>2800</v>
      </c>
      <c r="I20" s="45">
        <v>2785</v>
      </c>
      <c r="J20" s="140">
        <f t="shared" si="0"/>
        <v>99.46428571428572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</v>
      </c>
      <c r="H21" s="45">
        <v>100</v>
      </c>
      <c r="I21" s="45">
        <v>17</v>
      </c>
      <c r="J21" s="140">
        <f t="shared" si="0"/>
        <v>17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2300</v>
      </c>
      <c r="H24" s="45">
        <v>2300</v>
      </c>
      <c r="I24" s="45">
        <v>2157</v>
      </c>
      <c r="J24" s="140">
        <f t="shared" si="0"/>
        <v>93.78260869565217</v>
      </c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40">
        <f t="shared" si="0"/>
      </c>
      <c r="L25" s="77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04">
        <v>13700</v>
      </c>
      <c r="H26" s="104">
        <v>14700</v>
      </c>
      <c r="I26" s="104">
        <v>14587</v>
      </c>
      <c r="J26" s="140">
        <f t="shared" si="0"/>
        <v>99.23129251700679</v>
      </c>
      <c r="L26" s="77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45">
        <v>0</v>
      </c>
      <c r="H27" s="45">
        <v>0</v>
      </c>
      <c r="I27" s="45">
        <v>0</v>
      </c>
      <c r="J27" s="140">
        <f t="shared" si="0"/>
      </c>
    </row>
    <row r="28" spans="2:10" ht="12.75" customHeight="1">
      <c r="B28" s="14"/>
      <c r="C28" s="15"/>
      <c r="D28" s="15"/>
      <c r="E28" s="16">
        <v>613900</v>
      </c>
      <c r="F28" s="26" t="s">
        <v>698</v>
      </c>
      <c r="G28" s="45">
        <v>50000</v>
      </c>
      <c r="H28" s="45">
        <v>50000</v>
      </c>
      <c r="I28" s="45">
        <v>0</v>
      </c>
      <c r="J28" s="140">
        <f>IF(H28=0,"",I28/H28*100)</f>
        <v>0</v>
      </c>
    </row>
    <row r="29" spans="2:10" ht="12.75" customHeight="1">
      <c r="B29" s="14"/>
      <c r="C29" s="15"/>
      <c r="D29" s="15"/>
      <c r="E29" s="16"/>
      <c r="F29" s="15"/>
      <c r="G29" s="20"/>
      <c r="H29" s="20"/>
      <c r="I29" s="20"/>
      <c r="J29" s="140">
        <f t="shared" si="0"/>
      </c>
    </row>
    <row r="30" spans="2:10" s="1" customFormat="1" ht="12.75" customHeight="1">
      <c r="B30" s="17"/>
      <c r="C30" s="12"/>
      <c r="D30" s="12"/>
      <c r="E30" s="9">
        <v>614000</v>
      </c>
      <c r="F30" s="12" t="s">
        <v>207</v>
      </c>
      <c r="G30" s="20">
        <f>SUM(G31:G31)</f>
        <v>900000</v>
      </c>
      <c r="H30" s="20">
        <f>SUM(H31:H31)</f>
        <v>900000</v>
      </c>
      <c r="I30" s="20">
        <f>SUM(I31:I31)</f>
        <v>897163</v>
      </c>
      <c r="J30" s="139">
        <f t="shared" si="0"/>
        <v>99.68477777777778</v>
      </c>
    </row>
    <row r="31" spans="2:10" s="1" customFormat="1" ht="12.75" customHeight="1">
      <c r="B31" s="17"/>
      <c r="C31" s="12"/>
      <c r="D31" s="71"/>
      <c r="E31" s="118">
        <v>614500</v>
      </c>
      <c r="F31" s="102" t="s">
        <v>117</v>
      </c>
      <c r="G31" s="104">
        <v>900000</v>
      </c>
      <c r="H31" s="104">
        <v>900000</v>
      </c>
      <c r="I31" s="104">
        <v>897163</v>
      </c>
      <c r="J31" s="140">
        <f t="shared" si="0"/>
        <v>99.68477777777778</v>
      </c>
    </row>
    <row r="32" spans="2:10" ht="12.75" customHeight="1">
      <c r="B32" s="14"/>
      <c r="C32" s="15"/>
      <c r="D32" s="15"/>
      <c r="E32" s="16"/>
      <c r="F32" s="26"/>
      <c r="G32" s="104"/>
      <c r="H32" s="104"/>
      <c r="I32" s="104"/>
      <c r="J32" s="140">
        <f t="shared" si="0"/>
      </c>
    </row>
    <row r="33" spans="2:10" ht="12.75" customHeight="1">
      <c r="B33" s="17"/>
      <c r="C33" s="12"/>
      <c r="D33" s="12"/>
      <c r="E33" s="9">
        <v>821000</v>
      </c>
      <c r="F33" s="12" t="s">
        <v>92</v>
      </c>
      <c r="G33" s="96">
        <f>SUM(G34:G35)</f>
        <v>2000</v>
      </c>
      <c r="H33" s="96">
        <f>SUM(H34:H35)</f>
        <v>2000</v>
      </c>
      <c r="I33" s="96">
        <f>SUM(I34:I35)</f>
        <v>0</v>
      </c>
      <c r="J33" s="139">
        <f t="shared" si="0"/>
        <v>0</v>
      </c>
    </row>
    <row r="34" spans="2:10" ht="12.75" customHeight="1">
      <c r="B34" s="14"/>
      <c r="C34" s="15"/>
      <c r="D34" s="15"/>
      <c r="E34" s="16">
        <v>821200</v>
      </c>
      <c r="F34" s="15" t="s">
        <v>93</v>
      </c>
      <c r="G34" s="104">
        <v>0</v>
      </c>
      <c r="H34" s="104">
        <v>0</v>
      </c>
      <c r="I34" s="104">
        <v>0</v>
      </c>
      <c r="J34" s="140">
        <f t="shared" si="0"/>
      </c>
    </row>
    <row r="35" spans="2:10" ht="12.75" customHeight="1">
      <c r="B35" s="14"/>
      <c r="C35" s="15"/>
      <c r="D35" s="15"/>
      <c r="E35" s="16">
        <v>821300</v>
      </c>
      <c r="F35" s="15" t="s">
        <v>94</v>
      </c>
      <c r="G35" s="104">
        <v>2000</v>
      </c>
      <c r="H35" s="104">
        <v>2000</v>
      </c>
      <c r="I35" s="104">
        <v>0</v>
      </c>
      <c r="J35" s="140">
        <f t="shared" si="0"/>
        <v>0</v>
      </c>
    </row>
    <row r="36" spans="2:10" s="1" customFormat="1" ht="12.75" customHeight="1">
      <c r="B36" s="14"/>
      <c r="C36" s="15"/>
      <c r="D36" s="15"/>
      <c r="E36" s="16"/>
      <c r="F36" s="15"/>
      <c r="G36" s="45"/>
      <c r="H36" s="45"/>
      <c r="I36" s="45"/>
      <c r="J36" s="140">
        <f t="shared" si="0"/>
      </c>
    </row>
    <row r="37" spans="2:10" ht="12.75" customHeight="1">
      <c r="B37" s="14"/>
      <c r="C37" s="15"/>
      <c r="D37" s="15"/>
      <c r="E37" s="16"/>
      <c r="F37" s="15"/>
      <c r="G37" s="45"/>
      <c r="H37" s="45"/>
      <c r="I37" s="45"/>
      <c r="J37" s="140">
        <f t="shared" si="0"/>
      </c>
    </row>
    <row r="38" spans="2:10" ht="12.75" customHeight="1">
      <c r="B38" s="17"/>
      <c r="C38" s="12"/>
      <c r="D38" s="12"/>
      <c r="E38" s="9"/>
      <c r="F38" s="12" t="s">
        <v>95</v>
      </c>
      <c r="G38" s="96">
        <v>7</v>
      </c>
      <c r="H38" s="96">
        <v>7</v>
      </c>
      <c r="I38" s="96">
        <v>7</v>
      </c>
      <c r="J38" s="140"/>
    </row>
    <row r="39" spans="2:10" ht="12.75" customHeight="1">
      <c r="B39" s="17"/>
      <c r="C39" s="12"/>
      <c r="D39" s="12"/>
      <c r="E39" s="9"/>
      <c r="F39" s="12" t="s">
        <v>116</v>
      </c>
      <c r="G39" s="20">
        <f>G7+G13+G17+G30+G33</f>
        <v>1162590</v>
      </c>
      <c r="H39" s="20">
        <f>H7+H13+H17+H30+H33</f>
        <v>1162590</v>
      </c>
      <c r="I39" s="20">
        <f>I7+I13+I17+I30+I33</f>
        <v>1104733</v>
      </c>
      <c r="J39" s="139">
        <f t="shared" si="0"/>
        <v>95.02343904557927</v>
      </c>
    </row>
    <row r="40" spans="2:10" ht="12.75" customHeight="1">
      <c r="B40" s="17"/>
      <c r="C40" s="12"/>
      <c r="D40" s="12"/>
      <c r="E40" s="9"/>
      <c r="F40" s="12" t="s">
        <v>96</v>
      </c>
      <c r="G40" s="20">
        <f aca="true" t="shared" si="1" ref="G40:I41">G39</f>
        <v>1162590</v>
      </c>
      <c r="H40" s="20">
        <f t="shared" si="1"/>
        <v>1162590</v>
      </c>
      <c r="I40" s="20">
        <f t="shared" si="1"/>
        <v>1104733</v>
      </c>
      <c r="J40" s="139">
        <f t="shared" si="0"/>
        <v>95.02343904557927</v>
      </c>
    </row>
    <row r="41" spans="2:10" s="1" customFormat="1" ht="12.75" customHeight="1">
      <c r="B41" s="17"/>
      <c r="C41" s="12"/>
      <c r="D41" s="12"/>
      <c r="E41" s="9"/>
      <c r="F41" s="12" t="s">
        <v>97</v>
      </c>
      <c r="G41" s="20">
        <f t="shared" si="1"/>
        <v>1162590</v>
      </c>
      <c r="H41" s="20">
        <f t="shared" si="1"/>
        <v>1162590</v>
      </c>
      <c r="I41" s="20">
        <f t="shared" si="1"/>
        <v>1104733</v>
      </c>
      <c r="J41" s="139">
        <f t="shared" si="0"/>
        <v>95.02343904557927</v>
      </c>
    </row>
    <row r="42" spans="2:10" s="1" customFormat="1" ht="12.75" customHeight="1" thickBot="1">
      <c r="B42" s="21"/>
      <c r="C42" s="22"/>
      <c r="D42" s="22"/>
      <c r="E42" s="23"/>
      <c r="F42" s="22"/>
      <c r="G42" s="49"/>
      <c r="H42" s="49"/>
      <c r="I42" s="46"/>
      <c r="J42" s="143"/>
    </row>
    <row r="43" spans="2:10" s="1" customFormat="1" ht="12.75" customHeight="1">
      <c r="B43" s="13"/>
      <c r="C43" s="13"/>
      <c r="D43" s="13"/>
      <c r="E43" s="24"/>
      <c r="F43" s="77"/>
      <c r="G43" s="13"/>
      <c r="H43" s="13"/>
      <c r="I43" s="83"/>
      <c r="J43" s="127"/>
    </row>
    <row r="44" spans="2:10" s="1" customFormat="1" ht="12.75" customHeight="1">
      <c r="B44" s="77"/>
      <c r="C44" s="13"/>
      <c r="D44" s="13"/>
      <c r="E44" s="24"/>
      <c r="F44" s="13"/>
      <c r="G44" s="13"/>
      <c r="H44" s="13"/>
      <c r="I44" s="83"/>
      <c r="J44" s="127"/>
    </row>
    <row r="45" ht="12.75" customHeight="1">
      <c r="B45" s="77"/>
    </row>
    <row r="46" ht="12.75">
      <c r="B46" s="77"/>
    </row>
    <row r="47" ht="12.75">
      <c r="B47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0" r:id="rId1"/>
  <headerFooter alignWithMargins="0">
    <oddFooter>&amp;R22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L55"/>
  <sheetViews>
    <sheetView workbookViewId="0" topLeftCell="A13">
      <selection activeCell="I51" sqref="I5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141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140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2" customFormat="1" ht="12.75" customHeight="1">
      <c r="B7" s="10"/>
      <c r="C7" s="11"/>
      <c r="D7" s="11"/>
      <c r="E7" s="9">
        <v>600000</v>
      </c>
      <c r="F7" s="27" t="s">
        <v>125</v>
      </c>
      <c r="G7" s="25">
        <f>G8</f>
        <v>15000</v>
      </c>
      <c r="H7" s="25">
        <f>H8</f>
        <v>15000</v>
      </c>
      <c r="I7" s="25">
        <f>I8</f>
        <v>15000</v>
      </c>
      <c r="J7" s="139">
        <f aca="true" t="shared" si="0" ref="J7:J53">IF(H7=0,"",I7/H7*100)</f>
        <v>100</v>
      </c>
    </row>
    <row r="8" spans="2:10" s="2" customFormat="1" ht="12.75" customHeight="1">
      <c r="B8" s="10"/>
      <c r="C8" s="11"/>
      <c r="D8" s="11"/>
      <c r="E8" s="56">
        <v>600000</v>
      </c>
      <c r="F8" s="57" t="s">
        <v>112</v>
      </c>
      <c r="G8" s="78">
        <v>15000</v>
      </c>
      <c r="H8" s="78">
        <v>15000</v>
      </c>
      <c r="I8" s="78">
        <v>15000</v>
      </c>
      <c r="J8" s="140">
        <f t="shared" si="0"/>
        <v>100</v>
      </c>
    </row>
    <row r="9" spans="2:10" s="2" customFormat="1" ht="12.75" customHeight="1">
      <c r="B9" s="10"/>
      <c r="C9" s="11"/>
      <c r="D9" s="11"/>
      <c r="E9" s="9"/>
      <c r="F9" s="9"/>
      <c r="G9" s="78"/>
      <c r="H9" s="78"/>
      <c r="I9" s="78"/>
      <c r="J9" s="140">
        <f t="shared" si="0"/>
      </c>
    </row>
    <row r="10" spans="2:10" s="1" customFormat="1" ht="12.75" customHeight="1">
      <c r="B10" s="17"/>
      <c r="C10" s="12"/>
      <c r="D10" s="12"/>
      <c r="E10" s="9">
        <v>611000</v>
      </c>
      <c r="F10" s="12" t="s">
        <v>168</v>
      </c>
      <c r="G10" s="343">
        <f>SUM(G11:G13)</f>
        <v>364890</v>
      </c>
      <c r="H10" s="343">
        <f>SUM(H11:H13)</f>
        <v>364890</v>
      </c>
      <c r="I10" s="20">
        <f>SUM(I11:I13)</f>
        <v>357956</v>
      </c>
      <c r="J10" s="139">
        <f t="shared" si="0"/>
        <v>98.09970127983776</v>
      </c>
    </row>
    <row r="11" spans="2:10" ht="12.75" customHeight="1">
      <c r="B11" s="14"/>
      <c r="C11" s="15"/>
      <c r="D11" s="15"/>
      <c r="E11" s="16">
        <v>611100</v>
      </c>
      <c r="F11" s="26" t="s">
        <v>203</v>
      </c>
      <c r="G11" s="345">
        <f>297520+2500</f>
        <v>300020</v>
      </c>
      <c r="H11" s="345">
        <f>297520+2500</f>
        <v>300020</v>
      </c>
      <c r="I11" s="45">
        <v>295509</v>
      </c>
      <c r="J11" s="140">
        <f t="shared" si="0"/>
        <v>98.49643357109527</v>
      </c>
    </row>
    <row r="12" spans="2:10" ht="12.75" customHeight="1">
      <c r="B12" s="14"/>
      <c r="C12" s="15"/>
      <c r="D12" s="15"/>
      <c r="E12" s="16">
        <v>611200</v>
      </c>
      <c r="F12" s="15" t="s">
        <v>204</v>
      </c>
      <c r="G12" s="344">
        <f>59970+1000+15*260</f>
        <v>64870</v>
      </c>
      <c r="H12" s="344">
        <f>59970+1000+15*260</f>
        <v>64870</v>
      </c>
      <c r="I12" s="78">
        <v>62447</v>
      </c>
      <c r="J12" s="140">
        <f t="shared" si="0"/>
        <v>96.26483736704178</v>
      </c>
    </row>
    <row r="13" spans="2:12" ht="12.75" customHeight="1">
      <c r="B13" s="14"/>
      <c r="C13" s="15"/>
      <c r="D13" s="15"/>
      <c r="E13" s="16">
        <v>611200</v>
      </c>
      <c r="F13" s="26" t="s">
        <v>689</v>
      </c>
      <c r="G13" s="344">
        <v>0</v>
      </c>
      <c r="H13" s="344">
        <v>0</v>
      </c>
      <c r="I13" s="78">
        <v>0</v>
      </c>
      <c r="J13" s="140">
        <f t="shared" si="0"/>
      </c>
      <c r="L13" s="82"/>
    </row>
    <row r="14" spans="2:10" ht="12.75" customHeight="1">
      <c r="B14" s="14"/>
      <c r="C14" s="15"/>
      <c r="D14" s="15"/>
      <c r="E14" s="16"/>
      <c r="F14" s="26"/>
      <c r="G14" s="344"/>
      <c r="H14" s="344"/>
      <c r="I14" s="44"/>
      <c r="J14" s="140">
        <f t="shared" si="0"/>
      </c>
    </row>
    <row r="15" spans="2:10" ht="12.75" customHeight="1">
      <c r="B15" s="14"/>
      <c r="C15" s="15"/>
      <c r="D15" s="15"/>
      <c r="E15" s="16"/>
      <c r="F15" s="15"/>
      <c r="G15" s="344"/>
      <c r="H15" s="344"/>
      <c r="I15" s="44"/>
      <c r="J15" s="140">
        <f t="shared" si="0"/>
      </c>
    </row>
    <row r="16" spans="2:10" s="1" customFormat="1" ht="12.75" customHeight="1">
      <c r="B16" s="17"/>
      <c r="C16" s="12"/>
      <c r="D16" s="12"/>
      <c r="E16" s="9">
        <v>612000</v>
      </c>
      <c r="F16" s="12" t="s">
        <v>167</v>
      </c>
      <c r="G16" s="343">
        <f>G17+G18</f>
        <v>32250</v>
      </c>
      <c r="H16" s="343">
        <f>H17+H18</f>
        <v>32250</v>
      </c>
      <c r="I16" s="20">
        <f>I17+I18</f>
        <v>31912</v>
      </c>
      <c r="J16" s="139">
        <f t="shared" si="0"/>
        <v>98.95193798449611</v>
      </c>
    </row>
    <row r="17" spans="2:10" ht="12.75" customHeight="1">
      <c r="B17" s="14"/>
      <c r="C17" s="15"/>
      <c r="D17" s="15"/>
      <c r="E17" s="16">
        <v>612100</v>
      </c>
      <c r="F17" s="18" t="s">
        <v>85</v>
      </c>
      <c r="G17" s="344">
        <f>31900+350</f>
        <v>32250</v>
      </c>
      <c r="H17" s="344">
        <f>31900+350</f>
        <v>32250</v>
      </c>
      <c r="I17" s="44">
        <v>31912</v>
      </c>
      <c r="J17" s="140">
        <f t="shared" si="0"/>
        <v>98.95193798449611</v>
      </c>
    </row>
    <row r="18" spans="2:10" ht="12.75" customHeight="1">
      <c r="B18" s="14"/>
      <c r="C18" s="15"/>
      <c r="D18" s="15"/>
      <c r="E18" s="16"/>
      <c r="F18" s="15"/>
      <c r="G18" s="44"/>
      <c r="H18" s="44"/>
      <c r="I18" s="44"/>
      <c r="J18" s="140">
        <f t="shared" si="0"/>
      </c>
    </row>
    <row r="19" spans="2:10" ht="12.75" customHeight="1">
      <c r="B19" s="14"/>
      <c r="C19" s="15"/>
      <c r="D19" s="15"/>
      <c r="E19" s="16"/>
      <c r="F19" s="15"/>
      <c r="G19" s="44"/>
      <c r="H19" s="44"/>
      <c r="I19" s="44"/>
      <c r="J19" s="140">
        <f t="shared" si="0"/>
      </c>
    </row>
    <row r="20" spans="2:10" s="1" customFormat="1" ht="12.75" customHeight="1">
      <c r="B20" s="17"/>
      <c r="C20" s="12"/>
      <c r="D20" s="12"/>
      <c r="E20" s="9">
        <v>613000</v>
      </c>
      <c r="F20" s="12" t="s">
        <v>169</v>
      </c>
      <c r="G20" s="50">
        <f>SUM(G21:G31)</f>
        <v>125700</v>
      </c>
      <c r="H20" s="50">
        <f>SUM(H21:H31)</f>
        <v>125700</v>
      </c>
      <c r="I20" s="50">
        <f>SUM(I21:I31)</f>
        <v>111169</v>
      </c>
      <c r="J20" s="139">
        <f t="shared" si="0"/>
        <v>88.43993635640413</v>
      </c>
    </row>
    <row r="21" spans="2:12" ht="12.75" customHeight="1">
      <c r="B21" s="14"/>
      <c r="C21" s="15"/>
      <c r="D21" s="15"/>
      <c r="E21" s="16">
        <v>613100</v>
      </c>
      <c r="F21" s="15" t="s">
        <v>86</v>
      </c>
      <c r="G21" s="44">
        <v>5500</v>
      </c>
      <c r="H21" s="44">
        <v>5500</v>
      </c>
      <c r="I21" s="44">
        <v>4841</v>
      </c>
      <c r="J21" s="140">
        <f t="shared" si="0"/>
        <v>88.01818181818182</v>
      </c>
      <c r="L21" s="83"/>
    </row>
    <row r="22" spans="2:10" ht="12.75" customHeight="1">
      <c r="B22" s="14"/>
      <c r="C22" s="15"/>
      <c r="D22" s="15"/>
      <c r="E22" s="16">
        <v>613200</v>
      </c>
      <c r="F22" s="15" t="s">
        <v>87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1" ht="12.75" customHeight="1">
      <c r="B23" s="14"/>
      <c r="C23" s="15"/>
      <c r="D23" s="15"/>
      <c r="E23" s="16">
        <v>613300</v>
      </c>
      <c r="F23" s="26" t="s">
        <v>205</v>
      </c>
      <c r="G23" s="44">
        <v>7000</v>
      </c>
      <c r="H23" s="44">
        <v>7000</v>
      </c>
      <c r="I23" s="78">
        <v>6876</v>
      </c>
      <c r="J23" s="140">
        <f t="shared" si="0"/>
        <v>98.22857142857143</v>
      </c>
      <c r="K23" s="100"/>
    </row>
    <row r="24" spans="2:10" ht="12.75" customHeight="1">
      <c r="B24" s="14"/>
      <c r="C24" s="15"/>
      <c r="D24" s="15"/>
      <c r="E24" s="16">
        <v>613400</v>
      </c>
      <c r="F24" s="15" t="s">
        <v>170</v>
      </c>
      <c r="G24" s="44">
        <v>2600</v>
      </c>
      <c r="H24" s="44">
        <v>2600</v>
      </c>
      <c r="I24" s="44">
        <v>1988</v>
      </c>
      <c r="J24" s="140">
        <f t="shared" si="0"/>
        <v>76.46153846153845</v>
      </c>
    </row>
    <row r="25" spans="2:10" ht="12.75" customHeight="1">
      <c r="B25" s="14"/>
      <c r="C25" s="15"/>
      <c r="D25" s="15"/>
      <c r="E25" s="16">
        <v>613500</v>
      </c>
      <c r="F25" s="15" t="s">
        <v>88</v>
      </c>
      <c r="G25" s="78">
        <v>0</v>
      </c>
      <c r="H25" s="78">
        <v>0</v>
      </c>
      <c r="I25" s="78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613600</v>
      </c>
      <c r="F26" s="26" t="s">
        <v>206</v>
      </c>
      <c r="G26" s="78">
        <v>0</v>
      </c>
      <c r="H26" s="78">
        <v>0</v>
      </c>
      <c r="I26" s="78">
        <v>0</v>
      </c>
      <c r="J26" s="140">
        <f t="shared" si="0"/>
      </c>
    </row>
    <row r="27" spans="2:10" ht="12.75" customHeight="1">
      <c r="B27" s="14"/>
      <c r="C27" s="15"/>
      <c r="D27" s="15"/>
      <c r="E27" s="16">
        <v>613700</v>
      </c>
      <c r="F27" s="15" t="s">
        <v>89</v>
      </c>
      <c r="G27" s="104">
        <v>1500</v>
      </c>
      <c r="H27" s="104">
        <v>1500</v>
      </c>
      <c r="I27" s="104">
        <v>526</v>
      </c>
      <c r="J27" s="140">
        <f t="shared" si="0"/>
        <v>35.06666666666667</v>
      </c>
    </row>
    <row r="28" spans="2:10" ht="12.75" customHeight="1">
      <c r="B28" s="14"/>
      <c r="C28" s="15"/>
      <c r="D28" s="15"/>
      <c r="E28" s="16">
        <v>613800</v>
      </c>
      <c r="F28" s="15" t="s">
        <v>171</v>
      </c>
      <c r="G28" s="78">
        <v>7200</v>
      </c>
      <c r="H28" s="78">
        <v>7200</v>
      </c>
      <c r="I28" s="78">
        <v>5055</v>
      </c>
      <c r="J28" s="140">
        <f t="shared" si="0"/>
        <v>70.20833333333333</v>
      </c>
    </row>
    <row r="29" spans="2:12" ht="12.75" customHeight="1">
      <c r="B29" s="14"/>
      <c r="C29" s="15"/>
      <c r="D29" s="15"/>
      <c r="E29" s="16">
        <v>613900</v>
      </c>
      <c r="F29" s="15" t="s">
        <v>172</v>
      </c>
      <c r="G29" s="153">
        <v>28400</v>
      </c>
      <c r="H29" s="153">
        <v>28400</v>
      </c>
      <c r="I29" s="153">
        <v>26426</v>
      </c>
      <c r="J29" s="140">
        <f t="shared" si="0"/>
        <v>93.04929577464789</v>
      </c>
      <c r="L29" s="83"/>
    </row>
    <row r="30" spans="2:10" ht="12.75" customHeight="1">
      <c r="B30" s="14"/>
      <c r="C30" s="15"/>
      <c r="D30" s="15"/>
      <c r="E30" s="63">
        <v>613900</v>
      </c>
      <c r="F30" s="26" t="s">
        <v>699</v>
      </c>
      <c r="G30" s="78">
        <v>73500</v>
      </c>
      <c r="H30" s="78">
        <v>73500</v>
      </c>
      <c r="I30" s="78">
        <v>65457</v>
      </c>
      <c r="J30" s="140">
        <f t="shared" si="0"/>
        <v>89.05714285714285</v>
      </c>
    </row>
    <row r="31" spans="2:10" ht="12.75" customHeight="1">
      <c r="B31" s="14"/>
      <c r="C31" s="15"/>
      <c r="D31" s="15"/>
      <c r="E31" s="16">
        <v>613900</v>
      </c>
      <c r="F31" s="26" t="s">
        <v>690</v>
      </c>
      <c r="G31" s="78">
        <v>0</v>
      </c>
      <c r="H31" s="78">
        <v>0</v>
      </c>
      <c r="I31" s="78">
        <v>0</v>
      </c>
      <c r="J31" s="140">
        <f t="shared" si="0"/>
      </c>
    </row>
    <row r="32" spans="2:10" ht="12.75" customHeight="1">
      <c r="B32" s="14"/>
      <c r="C32" s="15"/>
      <c r="D32" s="15"/>
      <c r="E32" s="63"/>
      <c r="F32" s="15"/>
      <c r="G32" s="78"/>
      <c r="H32" s="78"/>
      <c r="I32" s="78"/>
      <c r="J32" s="140">
        <f t="shared" si="0"/>
      </c>
    </row>
    <row r="33" spans="2:10" s="1" customFormat="1" ht="12.75" customHeight="1">
      <c r="B33" s="17"/>
      <c r="C33" s="12"/>
      <c r="D33" s="32"/>
      <c r="E33" s="9">
        <v>614000</v>
      </c>
      <c r="F33" s="12" t="s">
        <v>207</v>
      </c>
      <c r="G33" s="96">
        <f>SUM(G34:G36)</f>
        <v>350000</v>
      </c>
      <c r="H33" s="96">
        <f>SUM(H34:H36)</f>
        <v>350000</v>
      </c>
      <c r="I33" s="96">
        <f>SUM(I34:I36)</f>
        <v>349568</v>
      </c>
      <c r="J33" s="139">
        <f t="shared" si="0"/>
        <v>99.87657142857142</v>
      </c>
    </row>
    <row r="34" spans="2:12" ht="12.75" customHeight="1">
      <c r="B34" s="14"/>
      <c r="C34" s="15"/>
      <c r="D34" s="31"/>
      <c r="E34" s="16">
        <v>614100</v>
      </c>
      <c r="F34" s="58" t="s">
        <v>330</v>
      </c>
      <c r="G34" s="78">
        <v>270000</v>
      </c>
      <c r="H34" s="78">
        <v>270000</v>
      </c>
      <c r="I34" s="78">
        <v>270000</v>
      </c>
      <c r="J34" s="140">
        <f t="shared" si="0"/>
        <v>100</v>
      </c>
      <c r="K34" s="95"/>
      <c r="L34" s="77"/>
    </row>
    <row r="35" spans="2:11" ht="12.75" customHeight="1">
      <c r="B35" s="14"/>
      <c r="C35" s="15"/>
      <c r="D35" s="31"/>
      <c r="E35" s="61">
        <v>614800</v>
      </c>
      <c r="F35" s="58" t="s">
        <v>114</v>
      </c>
      <c r="G35" s="78">
        <v>50600</v>
      </c>
      <c r="H35" s="78">
        <v>50920</v>
      </c>
      <c r="I35" s="78">
        <v>50592</v>
      </c>
      <c r="J35" s="140">
        <f t="shared" si="0"/>
        <v>99.35585231736056</v>
      </c>
      <c r="K35" s="77"/>
    </row>
    <row r="36" spans="2:11" ht="12.75" customHeight="1">
      <c r="B36" s="14"/>
      <c r="C36" s="15"/>
      <c r="D36" s="31"/>
      <c r="E36" s="61">
        <v>614800</v>
      </c>
      <c r="F36" s="320" t="s">
        <v>652</v>
      </c>
      <c r="G36" s="78">
        <v>29400</v>
      </c>
      <c r="H36" s="78">
        <v>29080</v>
      </c>
      <c r="I36" s="78">
        <v>28976</v>
      </c>
      <c r="J36" s="140">
        <f t="shared" si="0"/>
        <v>99.6423658872077</v>
      </c>
      <c r="K36" s="77"/>
    </row>
    <row r="37" spans="2:10" ht="12.75" customHeight="1">
      <c r="B37" s="14"/>
      <c r="C37" s="15"/>
      <c r="D37" s="31"/>
      <c r="E37" s="91"/>
      <c r="F37" s="58"/>
      <c r="G37" s="78"/>
      <c r="H37" s="78"/>
      <c r="I37" s="78"/>
      <c r="J37" s="140">
        <f t="shared" si="0"/>
      </c>
    </row>
    <row r="38" spans="2:10" ht="12.75" customHeight="1">
      <c r="B38" s="14"/>
      <c r="C38" s="15"/>
      <c r="D38" s="15"/>
      <c r="E38" s="88">
        <v>616000</v>
      </c>
      <c r="F38" s="34" t="s">
        <v>210</v>
      </c>
      <c r="G38" s="154">
        <f>SUM(G39:G41)</f>
        <v>70900</v>
      </c>
      <c r="H38" s="154">
        <f>SUM(H39:H41)</f>
        <v>70900</v>
      </c>
      <c r="I38" s="154">
        <f>SUM(I39:I41)</f>
        <v>67923</v>
      </c>
      <c r="J38" s="139">
        <f t="shared" si="0"/>
        <v>95.80112834978843</v>
      </c>
    </row>
    <row r="39" spans="2:12" ht="12.75" customHeight="1">
      <c r="B39" s="14"/>
      <c r="C39" s="15"/>
      <c r="D39" s="15"/>
      <c r="E39" s="72">
        <v>616300</v>
      </c>
      <c r="F39" s="66" t="s">
        <v>326</v>
      </c>
      <c r="G39" s="78">
        <v>7400</v>
      </c>
      <c r="H39" s="78">
        <v>7400</v>
      </c>
      <c r="I39" s="78">
        <v>6622</v>
      </c>
      <c r="J39" s="140">
        <f t="shared" si="0"/>
        <v>89.48648648648648</v>
      </c>
      <c r="L39" s="83"/>
    </row>
    <row r="40" spans="2:10" ht="12.75" customHeight="1">
      <c r="B40" s="14"/>
      <c r="C40" s="15"/>
      <c r="D40" s="15"/>
      <c r="E40" s="72">
        <v>616300</v>
      </c>
      <c r="F40" s="66" t="s">
        <v>217</v>
      </c>
      <c r="G40" s="78">
        <v>22900</v>
      </c>
      <c r="H40" s="78">
        <v>22900</v>
      </c>
      <c r="I40" s="78">
        <v>22861</v>
      </c>
      <c r="J40" s="140">
        <f t="shared" si="0"/>
        <v>99.8296943231441</v>
      </c>
    </row>
    <row r="41" spans="2:10" ht="12.75" customHeight="1">
      <c r="B41" s="14"/>
      <c r="C41" s="15"/>
      <c r="D41" s="15"/>
      <c r="E41" s="72">
        <v>616300</v>
      </c>
      <c r="F41" s="66" t="s">
        <v>222</v>
      </c>
      <c r="G41" s="78">
        <v>40600</v>
      </c>
      <c r="H41" s="78">
        <v>40600</v>
      </c>
      <c r="I41" s="78">
        <v>38440</v>
      </c>
      <c r="J41" s="140">
        <f t="shared" si="0"/>
        <v>94.67980295566502</v>
      </c>
    </row>
    <row r="42" spans="2:10" ht="12.75" customHeight="1">
      <c r="B42" s="14"/>
      <c r="C42" s="15"/>
      <c r="D42" s="15"/>
      <c r="E42" s="16"/>
      <c r="F42" s="15"/>
      <c r="G42" s="96"/>
      <c r="H42" s="96"/>
      <c r="I42" s="96"/>
      <c r="J42" s="140">
        <f t="shared" si="0"/>
      </c>
    </row>
    <row r="43" spans="2:10" ht="12.75" customHeight="1">
      <c r="B43" s="17"/>
      <c r="C43" s="12"/>
      <c r="D43" s="12"/>
      <c r="E43" s="9">
        <v>821000</v>
      </c>
      <c r="F43" s="12" t="s">
        <v>92</v>
      </c>
      <c r="G43" s="96">
        <f>SUM(G44:G45)</f>
        <v>7000</v>
      </c>
      <c r="H43" s="96">
        <f>SUM(H44:H45)</f>
        <v>7000</v>
      </c>
      <c r="I43" s="96">
        <f>SUM(I44:I45)</f>
        <v>6990</v>
      </c>
      <c r="J43" s="139">
        <f t="shared" si="0"/>
        <v>99.85714285714286</v>
      </c>
    </row>
    <row r="44" spans="2:10" ht="12.75" customHeight="1">
      <c r="B44" s="14"/>
      <c r="C44" s="15"/>
      <c r="D44" s="15"/>
      <c r="E44" s="16">
        <v>821200</v>
      </c>
      <c r="F44" s="15" t="s">
        <v>93</v>
      </c>
      <c r="G44" s="104">
        <v>0</v>
      </c>
      <c r="H44" s="104">
        <v>0</v>
      </c>
      <c r="I44" s="104">
        <v>0</v>
      </c>
      <c r="J44" s="140">
        <f t="shared" si="0"/>
      </c>
    </row>
    <row r="45" spans="2:10" s="1" customFormat="1" ht="12.75" customHeight="1">
      <c r="B45" s="14"/>
      <c r="C45" s="15"/>
      <c r="D45" s="15"/>
      <c r="E45" s="16">
        <v>821300</v>
      </c>
      <c r="F45" s="15" t="s">
        <v>94</v>
      </c>
      <c r="G45" s="104">
        <v>7000</v>
      </c>
      <c r="H45" s="104">
        <v>7000</v>
      </c>
      <c r="I45" s="104">
        <v>6990</v>
      </c>
      <c r="J45" s="140">
        <f t="shared" si="0"/>
        <v>99.85714285714286</v>
      </c>
    </row>
    <row r="46" spans="2:10" ht="12.75" customHeight="1">
      <c r="B46" s="14"/>
      <c r="C46" s="15"/>
      <c r="D46" s="15"/>
      <c r="E46" s="16"/>
      <c r="F46" s="15"/>
      <c r="G46" s="78"/>
      <c r="H46" s="78"/>
      <c r="I46" s="78"/>
      <c r="J46" s="140">
        <f t="shared" si="0"/>
      </c>
    </row>
    <row r="47" spans="2:10" ht="12.75" customHeight="1">
      <c r="B47" s="17"/>
      <c r="C47" s="12"/>
      <c r="D47" s="12"/>
      <c r="E47" s="9">
        <v>823000</v>
      </c>
      <c r="F47" s="12" t="s">
        <v>218</v>
      </c>
      <c r="G47" s="96">
        <f>SUM(G48:G48)</f>
        <v>1384620</v>
      </c>
      <c r="H47" s="96">
        <f>SUM(H48:H48)</f>
        <v>1384620</v>
      </c>
      <c r="I47" s="96">
        <f>SUM(I48:I48)</f>
        <v>1384615</v>
      </c>
      <c r="J47" s="139">
        <f t="shared" si="0"/>
        <v>99.99963889009258</v>
      </c>
    </row>
    <row r="48" spans="2:10" ht="12.75" customHeight="1">
      <c r="B48" s="14"/>
      <c r="C48" s="15"/>
      <c r="D48" s="15"/>
      <c r="E48" s="16">
        <v>823300</v>
      </c>
      <c r="F48" s="26" t="s">
        <v>319</v>
      </c>
      <c r="G48" s="104">
        <v>1384620</v>
      </c>
      <c r="H48" s="104">
        <v>1384620</v>
      </c>
      <c r="I48" s="104">
        <v>1384615</v>
      </c>
      <c r="J48" s="140">
        <f t="shared" si="0"/>
        <v>99.99963889009258</v>
      </c>
    </row>
    <row r="49" spans="2:10" ht="12.75" customHeight="1">
      <c r="B49" s="14"/>
      <c r="C49" s="15"/>
      <c r="D49" s="15"/>
      <c r="E49" s="16"/>
      <c r="F49" s="15"/>
      <c r="G49" s="15"/>
      <c r="H49" s="15"/>
      <c r="I49" s="15"/>
      <c r="J49" s="140">
        <f t="shared" si="0"/>
      </c>
    </row>
    <row r="50" spans="2:10" ht="12.75" customHeight="1">
      <c r="B50" s="17"/>
      <c r="C50" s="12"/>
      <c r="D50" s="12"/>
      <c r="E50" s="9"/>
      <c r="F50" s="12" t="s">
        <v>95</v>
      </c>
      <c r="G50" s="349">
        <v>15</v>
      </c>
      <c r="H50" s="349">
        <v>15</v>
      </c>
      <c r="I50" s="12">
        <v>15</v>
      </c>
      <c r="J50" s="140"/>
    </row>
    <row r="51" spans="2:10" ht="12.75" customHeight="1">
      <c r="B51" s="17"/>
      <c r="C51" s="12"/>
      <c r="D51" s="12"/>
      <c r="E51" s="9"/>
      <c r="F51" s="12" t="s">
        <v>116</v>
      </c>
      <c r="G51" s="20">
        <f>G7+G10+G16+G20+G33+G38+G43+G47</f>
        <v>2350360</v>
      </c>
      <c r="H51" s="20">
        <f>H7+H10+H16+H20+H33+H38+H43+H47</f>
        <v>2350360</v>
      </c>
      <c r="I51" s="20">
        <f>I7+I10+I16+I20+I33+I38+I43+I47</f>
        <v>2325133</v>
      </c>
      <c r="J51" s="139">
        <f t="shared" si="0"/>
        <v>98.92667506254361</v>
      </c>
    </row>
    <row r="52" spans="2:10" s="1" customFormat="1" ht="12.75" customHeight="1">
      <c r="B52" s="17"/>
      <c r="C52" s="12"/>
      <c r="D52" s="12"/>
      <c r="E52" s="9"/>
      <c r="F52" s="12" t="s">
        <v>96</v>
      </c>
      <c r="G52" s="20">
        <f aca="true" t="shared" si="1" ref="G52:I53">G51</f>
        <v>2350360</v>
      </c>
      <c r="H52" s="20">
        <f t="shared" si="1"/>
        <v>2350360</v>
      </c>
      <c r="I52" s="20">
        <f t="shared" si="1"/>
        <v>2325133</v>
      </c>
      <c r="J52" s="139">
        <f t="shared" si="0"/>
        <v>98.92667506254361</v>
      </c>
    </row>
    <row r="53" spans="2:10" s="1" customFormat="1" ht="12.75" customHeight="1">
      <c r="B53" s="17"/>
      <c r="C53" s="12"/>
      <c r="D53" s="12"/>
      <c r="E53" s="9"/>
      <c r="F53" s="12" t="s">
        <v>97</v>
      </c>
      <c r="G53" s="20">
        <f t="shared" si="1"/>
        <v>2350360</v>
      </c>
      <c r="H53" s="20">
        <f t="shared" si="1"/>
        <v>2350360</v>
      </c>
      <c r="I53" s="20">
        <f t="shared" si="1"/>
        <v>2325133</v>
      </c>
      <c r="J53" s="139">
        <f t="shared" si="0"/>
        <v>98.92667506254361</v>
      </c>
    </row>
    <row r="54" spans="2:10" s="1" customFormat="1" ht="12.75" customHeight="1" thickBot="1">
      <c r="B54" s="21"/>
      <c r="C54" s="22"/>
      <c r="D54" s="22"/>
      <c r="E54" s="23"/>
      <c r="F54" s="22"/>
      <c r="G54" s="36"/>
      <c r="H54" s="49"/>
      <c r="I54" s="22"/>
      <c r="J54" s="143"/>
    </row>
    <row r="55" spans="2:10" s="1" customFormat="1" ht="12.75" customHeight="1">
      <c r="B55" s="13"/>
      <c r="C55" s="13"/>
      <c r="D55" s="13"/>
      <c r="E55" s="24"/>
      <c r="F55" s="13"/>
      <c r="G55" s="13"/>
      <c r="H55" s="13"/>
      <c r="I55" s="13"/>
      <c r="J55" s="127"/>
    </row>
    <row r="56" ht="12.75" customHeight="1"/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&amp;R23</oddFooter>
  </headerFooter>
  <colBreaks count="1" manualBreakCount="1">
    <brk id="1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L50"/>
  <sheetViews>
    <sheetView zoomScaleSheetLayoutView="130" workbookViewId="0" topLeftCell="A4">
      <selection activeCell="I40" sqref="I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142</v>
      </c>
      <c r="C2" s="461"/>
      <c r="D2" s="461"/>
      <c r="E2" s="461"/>
      <c r="F2" s="461"/>
      <c r="G2" s="461"/>
      <c r="H2" s="461"/>
      <c r="I2" s="461"/>
      <c r="J2" s="13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143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196510</v>
      </c>
      <c r="H7" s="343">
        <f>SUM(H8:H11)</f>
        <v>196510</v>
      </c>
      <c r="I7" s="20">
        <f>SUM(I8:I11)</f>
        <v>192152</v>
      </c>
      <c r="J7" s="139">
        <f aca="true" t="shared" si="0" ref="J7:J42">IF(H7=0,"",I7/H7*100)</f>
        <v>97.7823011551575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4">
        <f>161540+1500</f>
        <v>163040</v>
      </c>
      <c r="H8" s="344">
        <f>161540+1500</f>
        <v>163040</v>
      </c>
      <c r="I8" s="78">
        <v>161057</v>
      </c>
      <c r="J8" s="140">
        <f t="shared" si="0"/>
        <v>98.78373405299314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4">
        <f>30890+500+8*260</f>
        <v>33470</v>
      </c>
      <c r="H9" s="344">
        <f>30890+500+8*260</f>
        <v>33470</v>
      </c>
      <c r="I9" s="78">
        <v>31095</v>
      </c>
      <c r="J9" s="140">
        <f t="shared" si="0"/>
        <v>92.90409321780699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4"/>
      <c r="H11" s="34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17410</v>
      </c>
      <c r="H13" s="343">
        <f>H14</f>
        <v>17410</v>
      </c>
      <c r="I13" s="20">
        <f>I14</f>
        <v>17142</v>
      </c>
      <c r="J13" s="139">
        <f t="shared" si="0"/>
        <v>98.46065479609419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4">
        <f>17210+200</f>
        <v>17410</v>
      </c>
      <c r="H14" s="344">
        <f>17210+200</f>
        <v>17410</v>
      </c>
      <c r="I14" s="78">
        <v>17142</v>
      </c>
      <c r="J14" s="140">
        <f t="shared" si="0"/>
        <v>98.46065479609419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50"/>
      <c r="H16" s="50"/>
      <c r="I16" s="50"/>
      <c r="J16" s="140">
        <f t="shared" si="0"/>
      </c>
    </row>
    <row r="17" spans="2:12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86110</v>
      </c>
      <c r="H17" s="50">
        <f>SUM(H18:H27)</f>
        <v>86110</v>
      </c>
      <c r="I17" s="50">
        <f>SUM(I18:I27)</f>
        <v>80287</v>
      </c>
      <c r="J17" s="139">
        <f t="shared" si="0"/>
        <v>93.23771919637672</v>
      </c>
      <c r="L17" s="84"/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3510</v>
      </c>
      <c r="H18" s="44">
        <v>3510</v>
      </c>
      <c r="I18" s="44">
        <v>2867</v>
      </c>
      <c r="J18" s="140">
        <f t="shared" si="0"/>
        <v>81.68091168091168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4">
        <v>15000</v>
      </c>
      <c r="H20" s="44">
        <v>16140</v>
      </c>
      <c r="I20" s="44">
        <v>16105</v>
      </c>
      <c r="J20" s="140">
        <f t="shared" si="0"/>
        <v>99.78314745972739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600</v>
      </c>
      <c r="H21" s="78">
        <v>600</v>
      </c>
      <c r="I21" s="78">
        <v>596</v>
      </c>
      <c r="J21" s="140">
        <f t="shared" si="0"/>
        <v>99.33333333333333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0</v>
      </c>
      <c r="H22" s="78">
        <v>0</v>
      </c>
      <c r="I22" s="78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0</v>
      </c>
      <c r="H23" s="78">
        <v>0</v>
      </c>
      <c r="I23" s="78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3500</v>
      </c>
      <c r="H24" s="78">
        <v>3500</v>
      </c>
      <c r="I24" s="78">
        <v>3342</v>
      </c>
      <c r="J24" s="140">
        <f t="shared" si="0"/>
        <v>95.48571428571428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0</v>
      </c>
      <c r="H25" s="78">
        <v>0</v>
      </c>
      <c r="I25" s="78">
        <v>0</v>
      </c>
      <c r="J25" s="140">
        <f t="shared" si="0"/>
      </c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04">
        <f>65000-1500</f>
        <v>63500</v>
      </c>
      <c r="H26" s="104">
        <v>62360</v>
      </c>
      <c r="I26" s="104">
        <v>57377</v>
      </c>
      <c r="J26" s="140">
        <f t="shared" si="0"/>
        <v>92.00930083386787</v>
      </c>
      <c r="K26" s="83"/>
      <c r="L26" s="83"/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78">
        <v>0</v>
      </c>
      <c r="H27" s="78">
        <v>0</v>
      </c>
      <c r="I27" s="78">
        <v>0</v>
      </c>
      <c r="J27" s="140">
        <f t="shared" si="0"/>
      </c>
      <c r="K27" s="83"/>
    </row>
    <row r="28" spans="2:10" ht="12.75" customHeight="1">
      <c r="B28" s="14"/>
      <c r="C28" s="15"/>
      <c r="D28" s="15"/>
      <c r="E28" s="16"/>
      <c r="F28" s="15"/>
      <c r="G28" s="96"/>
      <c r="H28" s="96"/>
      <c r="I28" s="96"/>
      <c r="J28" s="140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207</v>
      </c>
      <c r="G29" s="96">
        <f>SUM(G30:G31)</f>
        <v>3130000</v>
      </c>
      <c r="H29" s="96">
        <f>SUM(H30:H31)</f>
        <v>3130000</v>
      </c>
      <c r="I29" s="96">
        <f>SUM(I30:I31)</f>
        <v>3129917</v>
      </c>
      <c r="J29" s="139">
        <f t="shared" si="0"/>
        <v>99.9973482428115</v>
      </c>
    </row>
    <row r="30" spans="2:11" ht="12.75" customHeight="1">
      <c r="B30" s="14"/>
      <c r="C30" s="15"/>
      <c r="D30" s="31"/>
      <c r="E30" s="16">
        <v>614100</v>
      </c>
      <c r="F30" s="26" t="s">
        <v>220</v>
      </c>
      <c r="G30" s="104">
        <v>430000</v>
      </c>
      <c r="H30" s="104">
        <v>430000</v>
      </c>
      <c r="I30" s="104">
        <v>430000</v>
      </c>
      <c r="J30" s="140">
        <f t="shared" si="0"/>
        <v>100</v>
      </c>
      <c r="K30" s="100"/>
    </row>
    <row r="31" spans="2:12" ht="12.75" customHeight="1">
      <c r="B31" s="14"/>
      <c r="C31" s="15"/>
      <c r="D31" s="15"/>
      <c r="E31" s="16">
        <v>614200</v>
      </c>
      <c r="F31" s="26" t="s">
        <v>107</v>
      </c>
      <c r="G31" s="104">
        <v>2700000</v>
      </c>
      <c r="H31" s="104">
        <v>2700000</v>
      </c>
      <c r="I31" s="104">
        <v>2699917</v>
      </c>
      <c r="J31" s="140">
        <f t="shared" si="0"/>
        <v>99.99692592592592</v>
      </c>
      <c r="K31" s="100"/>
      <c r="L31" s="83"/>
    </row>
    <row r="32" spans="2:11" ht="12.75" customHeight="1">
      <c r="B32" s="14"/>
      <c r="C32" s="15"/>
      <c r="D32" s="15"/>
      <c r="E32" s="16"/>
      <c r="F32" s="15"/>
      <c r="G32" s="78"/>
      <c r="H32" s="78"/>
      <c r="I32" s="78"/>
      <c r="J32" s="140">
        <f t="shared" si="0"/>
      </c>
      <c r="K32" s="100"/>
    </row>
    <row r="33" spans="2:10" ht="12.75" customHeight="1">
      <c r="B33" s="14"/>
      <c r="C33" s="15"/>
      <c r="D33" s="15"/>
      <c r="E33" s="16"/>
      <c r="F33" s="15"/>
      <c r="G33" s="96"/>
      <c r="H33" s="96"/>
      <c r="I33" s="96"/>
      <c r="J33" s="140">
        <f t="shared" si="0"/>
      </c>
    </row>
    <row r="34" spans="2:10" ht="12.75" customHeight="1">
      <c r="B34" s="17"/>
      <c r="C34" s="12"/>
      <c r="D34" s="12"/>
      <c r="E34" s="9">
        <v>821000</v>
      </c>
      <c r="F34" s="12" t="s">
        <v>92</v>
      </c>
      <c r="G34" s="96">
        <f>G35+G36</f>
        <v>1500</v>
      </c>
      <c r="H34" s="96">
        <f>H35+H36</f>
        <v>1500</v>
      </c>
      <c r="I34" s="96">
        <f>I35+I36</f>
        <v>1388</v>
      </c>
      <c r="J34" s="139">
        <f t="shared" si="0"/>
        <v>92.53333333333333</v>
      </c>
    </row>
    <row r="35" spans="2:11" s="1" customFormat="1" ht="12.75" customHeight="1">
      <c r="B35" s="14"/>
      <c r="C35" s="15"/>
      <c r="D35" s="15"/>
      <c r="E35" s="16">
        <v>821200</v>
      </c>
      <c r="F35" s="15" t="s">
        <v>93</v>
      </c>
      <c r="G35" s="78">
        <v>0</v>
      </c>
      <c r="H35" s="78">
        <v>0</v>
      </c>
      <c r="I35" s="78">
        <v>0</v>
      </c>
      <c r="J35" s="140">
        <f t="shared" si="0"/>
      </c>
      <c r="K35" s="1" t="s">
        <v>180</v>
      </c>
    </row>
    <row r="36" spans="2:10" ht="12.75" customHeight="1">
      <c r="B36" s="14"/>
      <c r="C36" s="15"/>
      <c r="D36" s="15"/>
      <c r="E36" s="16">
        <v>821300</v>
      </c>
      <c r="F36" s="15" t="s">
        <v>94</v>
      </c>
      <c r="G36" s="78">
        <v>1500</v>
      </c>
      <c r="H36" s="78">
        <v>1500</v>
      </c>
      <c r="I36" s="78">
        <v>1388</v>
      </c>
      <c r="J36" s="140">
        <f t="shared" si="0"/>
        <v>92.53333333333333</v>
      </c>
    </row>
    <row r="37" spans="2:10" ht="12.75" customHeight="1">
      <c r="B37" s="14"/>
      <c r="C37" s="15"/>
      <c r="D37" s="15"/>
      <c r="E37" s="16"/>
      <c r="F37" s="15"/>
      <c r="G37" s="78"/>
      <c r="H37" s="78"/>
      <c r="I37" s="78"/>
      <c r="J37" s="140">
        <f t="shared" si="0"/>
      </c>
    </row>
    <row r="38" spans="2:10" ht="12.75" customHeight="1">
      <c r="B38" s="14"/>
      <c r="C38" s="15"/>
      <c r="D38" s="15"/>
      <c r="E38" s="16"/>
      <c r="F38" s="15"/>
      <c r="G38" s="20"/>
      <c r="H38" s="20"/>
      <c r="I38" s="20"/>
      <c r="J38" s="140">
        <f t="shared" si="0"/>
      </c>
    </row>
    <row r="39" spans="2:10" ht="12.75" customHeight="1">
      <c r="B39" s="17"/>
      <c r="C39" s="12"/>
      <c r="D39" s="12"/>
      <c r="E39" s="9"/>
      <c r="F39" s="12" t="s">
        <v>95</v>
      </c>
      <c r="G39" s="96">
        <v>8</v>
      </c>
      <c r="H39" s="96">
        <v>8</v>
      </c>
      <c r="I39" s="96">
        <v>8</v>
      </c>
      <c r="J39" s="140"/>
    </row>
    <row r="40" spans="2:10" s="1" customFormat="1" ht="12.75" customHeight="1">
      <c r="B40" s="17"/>
      <c r="C40" s="12"/>
      <c r="D40" s="12"/>
      <c r="E40" s="9"/>
      <c r="F40" s="12" t="s">
        <v>116</v>
      </c>
      <c r="G40" s="20">
        <f>G7+G13+G17+G29+G34</f>
        <v>3431530</v>
      </c>
      <c r="H40" s="20">
        <f>H7+H13+H17+H29+H34</f>
        <v>3431530</v>
      </c>
      <c r="I40" s="20">
        <f>I7+I13+I17+I29+I34</f>
        <v>3420886</v>
      </c>
      <c r="J40" s="139">
        <f t="shared" si="0"/>
        <v>99.6898176615096</v>
      </c>
    </row>
    <row r="41" spans="2:10" s="1" customFormat="1" ht="12.75" customHeight="1">
      <c r="B41" s="17"/>
      <c r="C41" s="12"/>
      <c r="D41" s="12"/>
      <c r="E41" s="9"/>
      <c r="F41" s="12" t="s">
        <v>96</v>
      </c>
      <c r="G41" s="20">
        <f aca="true" t="shared" si="1" ref="G41:I42">G40</f>
        <v>3431530</v>
      </c>
      <c r="H41" s="20">
        <f t="shared" si="1"/>
        <v>3431530</v>
      </c>
      <c r="I41" s="20">
        <f t="shared" si="1"/>
        <v>3420886</v>
      </c>
      <c r="J41" s="139">
        <f t="shared" si="0"/>
        <v>99.6898176615096</v>
      </c>
    </row>
    <row r="42" spans="2:10" s="1" customFormat="1" ht="12.75" customHeight="1">
      <c r="B42" s="17"/>
      <c r="C42" s="12"/>
      <c r="D42" s="12"/>
      <c r="E42" s="9"/>
      <c r="F42" s="12" t="s">
        <v>97</v>
      </c>
      <c r="G42" s="20">
        <f t="shared" si="1"/>
        <v>3431530</v>
      </c>
      <c r="H42" s="20">
        <f t="shared" si="1"/>
        <v>3431530</v>
      </c>
      <c r="I42" s="20">
        <f t="shared" si="1"/>
        <v>3420886</v>
      </c>
      <c r="J42" s="139">
        <f t="shared" si="0"/>
        <v>99.6898176615096</v>
      </c>
    </row>
    <row r="43" spans="2:10" s="1" customFormat="1" ht="12.75" customHeight="1" thickBot="1">
      <c r="B43" s="21"/>
      <c r="C43" s="22"/>
      <c r="D43" s="22"/>
      <c r="E43" s="23"/>
      <c r="F43" s="22"/>
      <c r="G43" s="36"/>
      <c r="H43" s="49"/>
      <c r="I43" s="22"/>
      <c r="J43" s="143"/>
    </row>
    <row r="44" ht="12.75" customHeight="1"/>
    <row r="46" ht="12.75">
      <c r="B46" s="77"/>
    </row>
    <row r="47" ht="12.75">
      <c r="B47" s="77"/>
    </row>
    <row r="48" ht="12.75">
      <c r="B48" s="77"/>
    </row>
    <row r="49" ht="12.75">
      <c r="B49" s="77"/>
    </row>
    <row r="50" ht="12.75">
      <c r="B50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B2:L50"/>
  <sheetViews>
    <sheetView zoomScaleSheetLayoutView="100" workbookViewId="0" topLeftCell="C7">
      <selection activeCell="I43" sqref="I4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183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144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224460</v>
      </c>
      <c r="H7" s="343">
        <f>SUM(H8:H11)</f>
        <v>224460</v>
      </c>
      <c r="I7" s="20">
        <f>SUM(I8:I11)</f>
        <v>221707</v>
      </c>
      <c r="J7" s="139">
        <f aca="true" t="shared" si="0" ref="J7:J45">IF(H7=0,"",I7/H7*100)</f>
        <v>98.773500846476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180080+1500+1000</f>
        <v>182580</v>
      </c>
      <c r="H8" s="345">
        <f>180080+1500+1000</f>
        <v>182580</v>
      </c>
      <c r="I8" s="104">
        <v>180798</v>
      </c>
      <c r="J8" s="140">
        <f t="shared" si="0"/>
        <v>99.02398948406179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39040+500+9*260</f>
        <v>41880</v>
      </c>
      <c r="H9" s="345">
        <f>39040+500+9*260</f>
        <v>41880</v>
      </c>
      <c r="I9" s="104">
        <v>40909</v>
      </c>
      <c r="J9" s="140">
        <f t="shared" si="0"/>
        <v>97.68147086914996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19580</v>
      </c>
      <c r="H13" s="343">
        <f>H14</f>
        <v>19580</v>
      </c>
      <c r="I13" s="20">
        <f>I14</f>
        <v>19298</v>
      </c>
      <c r="J13" s="139">
        <f t="shared" si="0"/>
        <v>98.55975485188968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19230+350</f>
        <v>19580</v>
      </c>
      <c r="H14" s="345">
        <f>19230+350</f>
        <v>19580</v>
      </c>
      <c r="I14" s="104">
        <v>19298</v>
      </c>
      <c r="J14" s="140">
        <f t="shared" si="0"/>
        <v>98.55975485188968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SUM(G18:G28)</f>
        <v>224550</v>
      </c>
      <c r="H17" s="50">
        <f>SUM(H18:H28)</f>
        <v>224550</v>
      </c>
      <c r="I17" s="50">
        <f>SUM(I18:I28)</f>
        <v>220803</v>
      </c>
      <c r="J17" s="139">
        <f t="shared" si="0"/>
        <v>98.3313293253173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1800</v>
      </c>
      <c r="H18" s="45">
        <v>1800</v>
      </c>
      <c r="I18" s="45">
        <v>735</v>
      </c>
      <c r="J18" s="140">
        <f t="shared" si="0"/>
        <v>40.833333333333336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5000</v>
      </c>
      <c r="H20" s="45">
        <v>5000</v>
      </c>
      <c r="I20" s="45">
        <v>3920</v>
      </c>
      <c r="J20" s="140">
        <f t="shared" si="0"/>
        <v>78.4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0</v>
      </c>
      <c r="H21" s="45">
        <v>0</v>
      </c>
      <c r="I21" s="45">
        <v>0</v>
      </c>
      <c r="J21" s="140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0</v>
      </c>
      <c r="H22" s="104">
        <v>0</v>
      </c>
      <c r="I22" s="10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63">
        <v>613700</v>
      </c>
      <c r="F24" s="15" t="s">
        <v>89</v>
      </c>
      <c r="G24" s="104">
        <v>4750</v>
      </c>
      <c r="H24" s="104">
        <v>4750</v>
      </c>
      <c r="I24" s="104">
        <v>3993</v>
      </c>
      <c r="J24" s="140">
        <f t="shared" si="0"/>
        <v>84.06315789473683</v>
      </c>
    </row>
    <row r="25" spans="2:10" ht="12.75" customHeight="1">
      <c r="B25" s="14"/>
      <c r="C25" s="15"/>
      <c r="D25" s="31"/>
      <c r="E25" s="16">
        <v>613700</v>
      </c>
      <c r="F25" s="62" t="s">
        <v>90</v>
      </c>
      <c r="G25" s="104">
        <v>200000</v>
      </c>
      <c r="H25" s="104">
        <v>200000</v>
      </c>
      <c r="I25" s="104">
        <v>199894</v>
      </c>
      <c r="J25" s="140">
        <f t="shared" si="0"/>
        <v>99.947</v>
      </c>
    </row>
    <row r="26" spans="2:10" ht="12.75" customHeight="1">
      <c r="B26" s="14"/>
      <c r="C26" s="15"/>
      <c r="D26" s="15"/>
      <c r="E26" s="60">
        <v>613800</v>
      </c>
      <c r="F26" s="15" t="s">
        <v>171</v>
      </c>
      <c r="G26" s="104">
        <v>0</v>
      </c>
      <c r="H26" s="104">
        <v>0</v>
      </c>
      <c r="I26" s="104">
        <v>0</v>
      </c>
      <c r="J26" s="140">
        <f t="shared" si="0"/>
      </c>
    </row>
    <row r="27" spans="2:11" ht="12.75" customHeight="1">
      <c r="B27" s="14"/>
      <c r="C27" s="15"/>
      <c r="D27" s="15"/>
      <c r="E27" s="16">
        <v>613900</v>
      </c>
      <c r="F27" s="15" t="s">
        <v>172</v>
      </c>
      <c r="G27" s="104">
        <v>13000</v>
      </c>
      <c r="H27" s="104">
        <v>13000</v>
      </c>
      <c r="I27" s="104">
        <v>12261</v>
      </c>
      <c r="J27" s="140">
        <f t="shared" si="0"/>
        <v>94.31538461538462</v>
      </c>
      <c r="K27" s="95"/>
    </row>
    <row r="28" spans="2:10" ht="12.75" customHeight="1">
      <c r="B28" s="14"/>
      <c r="C28" s="15"/>
      <c r="D28" s="15"/>
      <c r="E28" s="16">
        <v>613900</v>
      </c>
      <c r="F28" s="26" t="s">
        <v>690</v>
      </c>
      <c r="G28" s="104">
        <v>0</v>
      </c>
      <c r="H28" s="104">
        <v>0</v>
      </c>
      <c r="I28" s="104">
        <v>0</v>
      </c>
      <c r="J28" s="140">
        <f t="shared" si="0"/>
      </c>
    </row>
    <row r="29" spans="2:10" ht="12.75" customHeight="1">
      <c r="B29" s="14"/>
      <c r="C29" s="15"/>
      <c r="D29" s="15"/>
      <c r="E29" s="16"/>
      <c r="F29" s="15"/>
      <c r="G29" s="104"/>
      <c r="H29" s="104"/>
      <c r="I29" s="104"/>
      <c r="J29" s="140">
        <f t="shared" si="0"/>
      </c>
    </row>
    <row r="30" spans="2:10" s="1" customFormat="1" ht="12.75" customHeight="1">
      <c r="B30" s="17"/>
      <c r="C30" s="12"/>
      <c r="D30" s="12"/>
      <c r="E30" s="9">
        <v>614000</v>
      </c>
      <c r="F30" s="12" t="s">
        <v>207</v>
      </c>
      <c r="G30" s="96">
        <f>SUM(G31:G32)</f>
        <v>160000</v>
      </c>
      <c r="H30" s="96">
        <f>SUM(H31:H32)</f>
        <v>160000</v>
      </c>
      <c r="I30" s="96">
        <f>SUM(I31:I32)</f>
        <v>158780</v>
      </c>
      <c r="J30" s="139">
        <f t="shared" si="0"/>
        <v>99.2375</v>
      </c>
    </row>
    <row r="31" spans="2:10" ht="12.75" customHeight="1">
      <c r="B31" s="14"/>
      <c r="C31" s="15"/>
      <c r="D31" s="31"/>
      <c r="E31" s="60">
        <v>614100</v>
      </c>
      <c r="F31" s="69" t="s">
        <v>181</v>
      </c>
      <c r="G31" s="104">
        <v>160000</v>
      </c>
      <c r="H31" s="104">
        <v>160000</v>
      </c>
      <c r="I31" s="104">
        <v>158780</v>
      </c>
      <c r="J31" s="140">
        <f t="shared" si="0"/>
        <v>99.2375</v>
      </c>
    </row>
    <row r="32" spans="2:10" ht="12.75" customHeight="1">
      <c r="B32" s="14"/>
      <c r="C32" s="15"/>
      <c r="D32" s="15"/>
      <c r="E32" s="16">
        <v>614100</v>
      </c>
      <c r="F32" s="26" t="s">
        <v>223</v>
      </c>
      <c r="G32" s="104">
        <v>0</v>
      </c>
      <c r="H32" s="104">
        <v>0</v>
      </c>
      <c r="I32" s="104">
        <v>0</v>
      </c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9"/>
      <c r="F34" s="12"/>
      <c r="G34" s="96"/>
      <c r="H34" s="96"/>
      <c r="I34" s="96"/>
      <c r="J34" s="140">
        <f t="shared" si="0"/>
      </c>
    </row>
    <row r="35" spans="2:10" ht="12.75" customHeight="1">
      <c r="B35" s="14"/>
      <c r="C35" s="15"/>
      <c r="D35" s="15"/>
      <c r="E35" s="16"/>
      <c r="F35" s="26"/>
      <c r="G35" s="104"/>
      <c r="H35" s="104"/>
      <c r="I35" s="104"/>
      <c r="J35" s="140">
        <f t="shared" si="0"/>
      </c>
    </row>
    <row r="36" spans="2:10" ht="12.75" customHeight="1">
      <c r="B36" s="14"/>
      <c r="C36" s="15"/>
      <c r="D36" s="15"/>
      <c r="E36" s="16"/>
      <c r="F36" s="15"/>
      <c r="G36" s="104"/>
      <c r="H36" s="104"/>
      <c r="I36" s="104"/>
      <c r="J36" s="140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92</v>
      </c>
      <c r="G37" s="96">
        <f>SUM(G38:G40)</f>
        <v>743000</v>
      </c>
      <c r="H37" s="96">
        <f>SUM(H38:H40)</f>
        <v>743000</v>
      </c>
      <c r="I37" s="96">
        <f>SUM(I38:I40)</f>
        <v>741121</v>
      </c>
      <c r="J37" s="139">
        <f t="shared" si="0"/>
        <v>99.7471063257066</v>
      </c>
    </row>
    <row r="38" spans="2:10" ht="12.75" customHeight="1">
      <c r="B38" s="14"/>
      <c r="C38" s="15"/>
      <c r="D38" s="15"/>
      <c r="E38" s="16">
        <v>821200</v>
      </c>
      <c r="F38" s="15" t="s">
        <v>93</v>
      </c>
      <c r="G38" s="104">
        <v>0</v>
      </c>
      <c r="H38" s="104">
        <v>0</v>
      </c>
      <c r="I38" s="104">
        <v>0</v>
      </c>
      <c r="J38" s="140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94</v>
      </c>
      <c r="G39" s="104">
        <v>3000</v>
      </c>
      <c r="H39" s="104">
        <v>3000</v>
      </c>
      <c r="I39" s="104">
        <v>2972</v>
      </c>
      <c r="J39" s="140">
        <f t="shared" si="0"/>
        <v>99.06666666666666</v>
      </c>
    </row>
    <row r="40" spans="2:12" ht="12.75" customHeight="1">
      <c r="B40" s="14"/>
      <c r="C40" s="15"/>
      <c r="D40" s="15"/>
      <c r="E40" s="106">
        <v>821600</v>
      </c>
      <c r="F40" s="98" t="s">
        <v>106</v>
      </c>
      <c r="G40" s="104">
        <v>740000</v>
      </c>
      <c r="H40" s="104">
        <v>740000</v>
      </c>
      <c r="I40" s="104">
        <v>738149</v>
      </c>
      <c r="J40" s="140">
        <f t="shared" si="0"/>
        <v>99.74986486486486</v>
      </c>
      <c r="L40" s="83"/>
    </row>
    <row r="41" spans="2:10" ht="12.75" customHeight="1">
      <c r="B41" s="14"/>
      <c r="C41" s="15"/>
      <c r="D41" s="15"/>
      <c r="E41" s="16"/>
      <c r="F41" s="15"/>
      <c r="G41" s="96"/>
      <c r="H41" s="96"/>
      <c r="I41" s="96"/>
      <c r="J41" s="140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95</v>
      </c>
      <c r="G42" s="96">
        <v>9</v>
      </c>
      <c r="H42" s="96">
        <v>9</v>
      </c>
      <c r="I42" s="96">
        <v>9</v>
      </c>
      <c r="J42" s="140"/>
    </row>
    <row r="43" spans="2:10" s="1" customFormat="1" ht="12.75" customHeight="1">
      <c r="B43" s="17"/>
      <c r="C43" s="12"/>
      <c r="D43" s="12"/>
      <c r="E43" s="9"/>
      <c r="F43" s="12" t="s">
        <v>116</v>
      </c>
      <c r="G43" s="20">
        <f>G7+G13+G17+G30+G37</f>
        <v>1371590</v>
      </c>
      <c r="H43" s="20">
        <f>H7+H13+H17+H30+H37</f>
        <v>1371590</v>
      </c>
      <c r="I43" s="20">
        <f>I7+I13+I17+I30+I37</f>
        <v>1361709</v>
      </c>
      <c r="J43" s="139">
        <f t="shared" si="0"/>
        <v>99.2795952143133</v>
      </c>
    </row>
    <row r="44" spans="2:10" s="1" customFormat="1" ht="12.75" customHeight="1">
      <c r="B44" s="17"/>
      <c r="C44" s="12"/>
      <c r="D44" s="12"/>
      <c r="E44" s="9"/>
      <c r="F44" s="12" t="s">
        <v>96</v>
      </c>
      <c r="G44" s="20">
        <f aca="true" t="shared" si="1" ref="G44:I45">G43</f>
        <v>1371590</v>
      </c>
      <c r="H44" s="20">
        <f t="shared" si="1"/>
        <v>1371590</v>
      </c>
      <c r="I44" s="20">
        <f t="shared" si="1"/>
        <v>1361709</v>
      </c>
      <c r="J44" s="139">
        <f t="shared" si="0"/>
        <v>99.2795952143133</v>
      </c>
    </row>
    <row r="45" spans="2:10" s="1" customFormat="1" ht="12.75" customHeight="1">
      <c r="B45" s="17"/>
      <c r="C45" s="12"/>
      <c r="D45" s="12"/>
      <c r="E45" s="9"/>
      <c r="F45" s="12" t="s">
        <v>97</v>
      </c>
      <c r="G45" s="20">
        <f t="shared" si="1"/>
        <v>1371590</v>
      </c>
      <c r="H45" s="20">
        <f t="shared" si="1"/>
        <v>1371590</v>
      </c>
      <c r="I45" s="20">
        <f t="shared" si="1"/>
        <v>1361709</v>
      </c>
      <c r="J45" s="139">
        <f t="shared" si="0"/>
        <v>99.2795952143133</v>
      </c>
    </row>
    <row r="46" spans="2:10" ht="12.75" customHeight="1" thickBot="1">
      <c r="B46" s="21"/>
      <c r="C46" s="22"/>
      <c r="D46" s="22"/>
      <c r="E46" s="23"/>
      <c r="F46" s="22"/>
      <c r="G46" s="36"/>
      <c r="H46" s="49"/>
      <c r="I46" s="46"/>
      <c r="J46" s="143"/>
    </row>
    <row r="48" ht="12.75">
      <c r="B48" s="77"/>
    </row>
    <row r="49" ht="12.75">
      <c r="B49" s="77"/>
    </row>
    <row r="50" ht="12.75">
      <c r="B50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B2:L48"/>
  <sheetViews>
    <sheetView zoomScaleSheetLayoutView="100" workbookViewId="0" topLeftCell="C10">
      <selection activeCell="N30" sqref="N3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145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146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496030</v>
      </c>
      <c r="H7" s="343">
        <f>SUM(H8:H11)</f>
        <v>496030</v>
      </c>
      <c r="I7" s="20">
        <f>SUM(I8:I11)</f>
        <v>489940</v>
      </c>
      <c r="J7" s="139">
        <f aca="true" t="shared" si="0" ref="J7:J43">IF(H7=0,"",I7/H7*100)</f>
        <v>98.7722516783259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4">
        <f>401570+2000+4100</f>
        <v>407670</v>
      </c>
      <c r="H8" s="344">
        <f>401570+2000+4100</f>
        <v>407670</v>
      </c>
      <c r="I8" s="78">
        <v>404227</v>
      </c>
      <c r="J8" s="140">
        <f t="shared" si="0"/>
        <v>99.15544435450242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4">
        <f>81100+1000+800+21*260</f>
        <v>88360</v>
      </c>
      <c r="H9" s="344">
        <f>81100+1000+800+21*260</f>
        <v>88360</v>
      </c>
      <c r="I9" s="78">
        <v>85713</v>
      </c>
      <c r="J9" s="140">
        <f t="shared" si="0"/>
        <v>97.00430058850158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4"/>
      <c r="H11" s="34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44360</v>
      </c>
      <c r="H13" s="343">
        <f>H14</f>
        <v>44360</v>
      </c>
      <c r="I13" s="20">
        <f>I14</f>
        <v>44113</v>
      </c>
      <c r="J13" s="139">
        <f t="shared" si="0"/>
        <v>99.44319206492335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4">
        <f>43560+800</f>
        <v>44360</v>
      </c>
      <c r="H14" s="344">
        <f>43560+800</f>
        <v>44360</v>
      </c>
      <c r="I14" s="44">
        <v>44113</v>
      </c>
      <c r="J14" s="140">
        <f t="shared" si="0"/>
        <v>99.44319206492335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50"/>
      <c r="H16" s="50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98990</v>
      </c>
      <c r="H17" s="50">
        <f>SUM(H18:H27)</f>
        <v>98990</v>
      </c>
      <c r="I17" s="50">
        <f>SUM(I18:I27)</f>
        <v>94869</v>
      </c>
      <c r="J17" s="139">
        <f t="shared" si="0"/>
        <v>95.83695322759874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78">
        <v>10500</v>
      </c>
      <c r="H18" s="78">
        <v>10500</v>
      </c>
      <c r="I18" s="78">
        <v>10416</v>
      </c>
      <c r="J18" s="140">
        <f t="shared" si="0"/>
        <v>99.2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78">
        <v>0</v>
      </c>
      <c r="H19" s="78">
        <v>0</v>
      </c>
      <c r="I19" s="78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78">
        <v>6500</v>
      </c>
      <c r="H20" s="78">
        <v>6500</v>
      </c>
      <c r="I20" s="78">
        <v>6035</v>
      </c>
      <c r="J20" s="140">
        <f t="shared" si="0"/>
        <v>92.84615384615384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2100</v>
      </c>
      <c r="H21" s="78">
        <v>2100</v>
      </c>
      <c r="I21" s="78">
        <v>1909</v>
      </c>
      <c r="J21" s="140">
        <f t="shared" si="0"/>
        <v>90.9047619047619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1890</v>
      </c>
      <c r="H22" s="78">
        <v>1570</v>
      </c>
      <c r="I22" s="78">
        <v>1408</v>
      </c>
      <c r="J22" s="140">
        <f t="shared" si="0"/>
        <v>89.68152866242039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5500</v>
      </c>
      <c r="H23" s="78">
        <v>5500</v>
      </c>
      <c r="I23" s="78">
        <v>5004</v>
      </c>
      <c r="J23" s="140">
        <f t="shared" si="0"/>
        <v>90.98181818181818</v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7500</v>
      </c>
      <c r="H24" s="78">
        <v>7460</v>
      </c>
      <c r="I24" s="78">
        <v>4752</v>
      </c>
      <c r="J24" s="140">
        <f t="shared" si="0"/>
        <v>63.69973190348526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0</v>
      </c>
      <c r="H25" s="78">
        <v>330</v>
      </c>
      <c r="I25" s="78">
        <v>322</v>
      </c>
      <c r="J25" s="140">
        <f t="shared" si="0"/>
        <v>97.57575757575758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78">
        <v>65000</v>
      </c>
      <c r="H26" s="78">
        <v>65030</v>
      </c>
      <c r="I26" s="78">
        <v>65023</v>
      </c>
      <c r="J26" s="140">
        <f t="shared" si="0"/>
        <v>99.98923573735199</v>
      </c>
      <c r="K26" s="95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78">
        <v>0</v>
      </c>
      <c r="H27" s="78">
        <v>0</v>
      </c>
      <c r="I27" s="78">
        <v>0</v>
      </c>
      <c r="J27" s="140">
        <f t="shared" si="0"/>
      </c>
    </row>
    <row r="28" spans="2:10" ht="12.75" customHeight="1">
      <c r="B28" s="14"/>
      <c r="C28" s="15"/>
      <c r="D28" s="15"/>
      <c r="E28" s="16"/>
      <c r="F28" s="15"/>
      <c r="G28" s="96"/>
      <c r="H28" s="96"/>
      <c r="I28" s="96"/>
      <c r="J28" s="140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207</v>
      </c>
      <c r="G29" s="96">
        <f>SUM(G30:G33)</f>
        <v>1895000</v>
      </c>
      <c r="H29" s="96">
        <f>SUM(H30:H33)</f>
        <v>1895000</v>
      </c>
      <c r="I29" s="96">
        <f>SUM(I30:I33)</f>
        <v>1693916</v>
      </c>
      <c r="J29" s="139">
        <f t="shared" si="0"/>
        <v>89.38870712401055</v>
      </c>
    </row>
    <row r="30" spans="2:10" s="1" customFormat="1" ht="12.75" customHeight="1">
      <c r="B30" s="17"/>
      <c r="C30" s="12"/>
      <c r="D30" s="32"/>
      <c r="E30" s="56">
        <v>614100</v>
      </c>
      <c r="F30" s="18" t="s">
        <v>166</v>
      </c>
      <c r="G30" s="104">
        <v>180000</v>
      </c>
      <c r="H30" s="104">
        <v>180000</v>
      </c>
      <c r="I30" s="104">
        <v>131478</v>
      </c>
      <c r="J30" s="140">
        <f t="shared" si="0"/>
        <v>73.04333333333334</v>
      </c>
    </row>
    <row r="31" spans="2:10" ht="12.75" customHeight="1">
      <c r="B31" s="14"/>
      <c r="C31" s="15"/>
      <c r="D31" s="15"/>
      <c r="E31" s="16">
        <v>614500</v>
      </c>
      <c r="F31" s="30" t="s">
        <v>472</v>
      </c>
      <c r="G31" s="104">
        <v>900000</v>
      </c>
      <c r="H31" s="104">
        <v>900000</v>
      </c>
      <c r="I31" s="104">
        <v>899778</v>
      </c>
      <c r="J31" s="140">
        <f t="shared" si="0"/>
        <v>99.97533333333334</v>
      </c>
    </row>
    <row r="32" spans="2:10" ht="12.75" customHeight="1">
      <c r="B32" s="14"/>
      <c r="C32" s="15"/>
      <c r="D32" s="15"/>
      <c r="E32" s="16">
        <v>614500</v>
      </c>
      <c r="F32" s="30" t="s">
        <v>473</v>
      </c>
      <c r="G32" s="104">
        <v>400000</v>
      </c>
      <c r="H32" s="104">
        <v>400000</v>
      </c>
      <c r="I32" s="104">
        <v>381908</v>
      </c>
      <c r="J32" s="140">
        <f t="shared" si="0"/>
        <v>95.477</v>
      </c>
    </row>
    <row r="33" spans="2:10" ht="12.75" customHeight="1">
      <c r="B33" s="14"/>
      <c r="C33" s="15"/>
      <c r="D33" s="15"/>
      <c r="E33" s="56">
        <v>614500</v>
      </c>
      <c r="F33" s="30" t="s">
        <v>474</v>
      </c>
      <c r="G33" s="104">
        <v>415000</v>
      </c>
      <c r="H33" s="104">
        <v>415000</v>
      </c>
      <c r="I33" s="104">
        <v>280752</v>
      </c>
      <c r="J33" s="140">
        <f t="shared" si="0"/>
        <v>67.6510843373494</v>
      </c>
    </row>
    <row r="34" spans="2:10" ht="12.75" customHeight="1">
      <c r="B34" s="14"/>
      <c r="C34" s="15"/>
      <c r="D34" s="15"/>
      <c r="E34" s="16"/>
      <c r="F34" s="26"/>
      <c r="G34" s="78"/>
      <c r="H34" s="78"/>
      <c r="I34" s="78"/>
      <c r="J34" s="140">
        <f t="shared" si="0"/>
      </c>
    </row>
    <row r="35" spans="2:10" s="1" customFormat="1" ht="12.75" customHeight="1">
      <c r="B35" s="17"/>
      <c r="C35" s="12"/>
      <c r="D35" s="12"/>
      <c r="E35" s="9">
        <v>821000</v>
      </c>
      <c r="F35" s="12" t="s">
        <v>92</v>
      </c>
      <c r="G35" s="96">
        <f>SUM(G36:G38)</f>
        <v>13000</v>
      </c>
      <c r="H35" s="96">
        <f>SUM(H36:H38)</f>
        <v>13000</v>
      </c>
      <c r="I35" s="96">
        <f>SUM(I36:I38)</f>
        <v>12477</v>
      </c>
      <c r="J35" s="139">
        <f t="shared" si="0"/>
        <v>95.97692307692309</v>
      </c>
    </row>
    <row r="36" spans="2:10" ht="12.75" customHeight="1">
      <c r="B36" s="14"/>
      <c r="C36" s="15"/>
      <c r="D36" s="15"/>
      <c r="E36" s="16">
        <v>821200</v>
      </c>
      <c r="F36" s="15" t="s">
        <v>93</v>
      </c>
      <c r="G36" s="78">
        <v>0</v>
      </c>
      <c r="H36" s="78">
        <v>0</v>
      </c>
      <c r="I36" s="78">
        <v>0</v>
      </c>
      <c r="J36" s="140">
        <f t="shared" si="0"/>
      </c>
    </row>
    <row r="37" spans="2:10" ht="12.75" customHeight="1">
      <c r="B37" s="14"/>
      <c r="C37" s="15"/>
      <c r="D37" s="15"/>
      <c r="E37" s="16">
        <v>821300</v>
      </c>
      <c r="F37" s="15" t="s">
        <v>94</v>
      </c>
      <c r="G37" s="78">
        <v>13000</v>
      </c>
      <c r="H37" s="78">
        <v>13000</v>
      </c>
      <c r="I37" s="78">
        <v>12477</v>
      </c>
      <c r="J37" s="140">
        <f t="shared" si="0"/>
        <v>95.97692307692309</v>
      </c>
    </row>
    <row r="38" spans="2:10" ht="12.75" customHeight="1">
      <c r="B38" s="14"/>
      <c r="C38" s="15"/>
      <c r="D38" s="15"/>
      <c r="E38" s="16"/>
      <c r="F38" s="26"/>
      <c r="G38" s="78"/>
      <c r="H38" s="78"/>
      <c r="I38" s="78"/>
      <c r="J38" s="140">
        <f t="shared" si="0"/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s="1" customFormat="1" ht="12.75" customHeight="1">
      <c r="B40" s="17"/>
      <c r="C40" s="12"/>
      <c r="D40" s="12"/>
      <c r="E40" s="9"/>
      <c r="F40" s="12" t="s">
        <v>95</v>
      </c>
      <c r="G40" s="20">
        <v>21</v>
      </c>
      <c r="H40" s="20">
        <v>21</v>
      </c>
      <c r="I40" s="20">
        <v>21</v>
      </c>
      <c r="J40" s="140"/>
    </row>
    <row r="41" spans="2:10" s="1" customFormat="1" ht="12.75" customHeight="1">
      <c r="B41" s="17"/>
      <c r="C41" s="12"/>
      <c r="D41" s="12"/>
      <c r="E41" s="9"/>
      <c r="F41" s="12" t="s">
        <v>116</v>
      </c>
      <c r="G41" s="20">
        <f>G7+G13+G17+G29+G35</f>
        <v>2547380</v>
      </c>
      <c r="H41" s="20">
        <f>H7+H13+H17+H29+H35</f>
        <v>2547380</v>
      </c>
      <c r="I41" s="20">
        <f>I7+I13+I17+I29+I35</f>
        <v>2335315</v>
      </c>
      <c r="J41" s="139">
        <f t="shared" si="0"/>
        <v>91.67517213764731</v>
      </c>
    </row>
    <row r="42" spans="2:10" s="1" customFormat="1" ht="12.75" customHeight="1">
      <c r="B42" s="17"/>
      <c r="C42" s="12"/>
      <c r="D42" s="12"/>
      <c r="E42" s="9"/>
      <c r="F42" s="12" t="s">
        <v>96</v>
      </c>
      <c r="G42" s="20">
        <f aca="true" t="shared" si="1" ref="G42:I43">G41</f>
        <v>2547380</v>
      </c>
      <c r="H42" s="20">
        <f t="shared" si="1"/>
        <v>2547380</v>
      </c>
      <c r="I42" s="20">
        <f t="shared" si="1"/>
        <v>2335315</v>
      </c>
      <c r="J42" s="139">
        <f t="shared" si="0"/>
        <v>91.67517213764731</v>
      </c>
    </row>
    <row r="43" spans="2:10" s="1" customFormat="1" ht="12.75" customHeight="1">
      <c r="B43" s="17"/>
      <c r="C43" s="12"/>
      <c r="D43" s="12"/>
      <c r="E43" s="9"/>
      <c r="F43" s="12" t="s">
        <v>97</v>
      </c>
      <c r="G43" s="20">
        <f t="shared" si="1"/>
        <v>2547380</v>
      </c>
      <c r="H43" s="20">
        <f t="shared" si="1"/>
        <v>2547380</v>
      </c>
      <c r="I43" s="20">
        <f t="shared" si="1"/>
        <v>2335315</v>
      </c>
      <c r="J43" s="139">
        <f t="shared" si="0"/>
        <v>91.67517213764731</v>
      </c>
    </row>
    <row r="44" spans="2:10" ht="12.75" customHeight="1" thickBot="1">
      <c r="B44" s="21"/>
      <c r="C44" s="22"/>
      <c r="D44" s="22"/>
      <c r="E44" s="23"/>
      <c r="F44" s="22"/>
      <c r="G44" s="36"/>
      <c r="H44" s="49"/>
      <c r="I44" s="46"/>
      <c r="J44" s="143"/>
    </row>
    <row r="46" ht="12.75">
      <c r="B46" s="77"/>
    </row>
    <row r="47" ht="12.75">
      <c r="B47" s="77"/>
    </row>
    <row r="48" ht="12.75">
      <c r="B48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2:L64"/>
  <sheetViews>
    <sheetView zoomScaleSheetLayoutView="100" workbookViewId="0" topLeftCell="A16">
      <selection activeCell="I55" sqref="I5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8" ht="15" customHeight="1">
      <c r="B2" s="461" t="s">
        <v>147</v>
      </c>
      <c r="C2" s="461"/>
      <c r="D2" s="461"/>
      <c r="E2" s="461"/>
      <c r="F2" s="461"/>
      <c r="G2" s="461"/>
      <c r="H2" s="461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6">
        <f>SUM(G8:G11)</f>
        <v>248760</v>
      </c>
      <c r="H7" s="346">
        <f>SUM(H8:H11)</f>
        <v>248760</v>
      </c>
      <c r="I7" s="20">
        <f>SUM(I8:I11)</f>
        <v>245904</v>
      </c>
      <c r="J7" s="139">
        <f aca="true" t="shared" si="0" ref="J7:J55">IF(H7=0,"",I7/H7*100)</f>
        <v>98.85190545103714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7">
        <f>210710+1500-1000</f>
        <v>211210</v>
      </c>
      <c r="H8" s="347">
        <f>210710+1500-1000</f>
        <v>211210</v>
      </c>
      <c r="I8" s="45">
        <v>209938</v>
      </c>
      <c r="J8" s="140">
        <f t="shared" si="0"/>
        <v>99.39775578807821</v>
      </c>
    </row>
    <row r="9" spans="2:12" ht="12.75" customHeight="1">
      <c r="B9" s="14"/>
      <c r="C9" s="15"/>
      <c r="D9" s="15"/>
      <c r="E9" s="16">
        <v>611200</v>
      </c>
      <c r="F9" s="15" t="s">
        <v>204</v>
      </c>
      <c r="G9" s="347">
        <f>34450+500+10*260</f>
        <v>37550</v>
      </c>
      <c r="H9" s="347">
        <f>34450+500+10*260</f>
        <v>37550</v>
      </c>
      <c r="I9" s="45">
        <v>35966</v>
      </c>
      <c r="J9" s="140">
        <f t="shared" si="0"/>
        <v>95.78162450066577</v>
      </c>
      <c r="L9" s="83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8">
        <v>0</v>
      </c>
      <c r="H10" s="348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7"/>
      <c r="H11" s="347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6"/>
      <c r="H12" s="346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6">
        <f>G14</f>
        <v>23230</v>
      </c>
      <c r="H13" s="346">
        <f>H14</f>
        <v>23230</v>
      </c>
      <c r="I13" s="20">
        <f>I14</f>
        <v>23136</v>
      </c>
      <c r="J13" s="139">
        <f t="shared" si="0"/>
        <v>99.59535083943177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7">
        <f>23080+250-100</f>
        <v>23230</v>
      </c>
      <c r="H14" s="347">
        <f>23080+250-100</f>
        <v>23230</v>
      </c>
      <c r="I14" s="45">
        <v>23136</v>
      </c>
      <c r="J14" s="140">
        <f t="shared" si="0"/>
        <v>99.59535083943177</v>
      </c>
    </row>
    <row r="15" spans="2:10" ht="12.75" customHeight="1">
      <c r="B15" s="14"/>
      <c r="C15" s="15"/>
      <c r="D15" s="15"/>
      <c r="E15" s="16"/>
      <c r="F15" s="15"/>
      <c r="G15" s="104"/>
      <c r="H15" s="104"/>
      <c r="I15" s="10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96"/>
      <c r="H16" s="96"/>
      <c r="I16" s="96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96">
        <f>SUM(G18:G29)</f>
        <v>116600</v>
      </c>
      <c r="H17" s="96">
        <f>SUM(H18:H29)</f>
        <v>116600</v>
      </c>
      <c r="I17" s="96">
        <f>SUM(I18:I29)</f>
        <v>116108</v>
      </c>
      <c r="J17" s="139">
        <f t="shared" si="0"/>
        <v>99.57804459691252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04">
        <v>5000</v>
      </c>
      <c r="H18" s="104">
        <v>5150</v>
      </c>
      <c r="I18" s="104">
        <v>5133</v>
      </c>
      <c r="J18" s="140">
        <f t="shared" si="0"/>
        <v>99.66990291262135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04">
        <v>0</v>
      </c>
      <c r="H19" s="104">
        <v>0</v>
      </c>
      <c r="I19" s="10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104">
        <v>3300</v>
      </c>
      <c r="H20" s="104">
        <v>3300</v>
      </c>
      <c r="I20" s="104">
        <v>3010</v>
      </c>
      <c r="J20" s="140">
        <f t="shared" si="0"/>
        <v>91.21212121212122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16300</v>
      </c>
      <c r="H21" s="104">
        <v>16410</v>
      </c>
      <c r="I21" s="104">
        <v>16409</v>
      </c>
      <c r="J21" s="140">
        <f t="shared" si="0"/>
        <v>99.99390615478367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0</v>
      </c>
      <c r="H22" s="104">
        <v>0</v>
      </c>
      <c r="I22" s="10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3000</v>
      </c>
      <c r="H24" s="104">
        <v>2240</v>
      </c>
      <c r="I24" s="104">
        <v>2232</v>
      </c>
      <c r="J24" s="140">
        <f t="shared" si="0"/>
        <v>99.64285714285714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613800</v>
      </c>
      <c r="F26" s="26" t="s">
        <v>191</v>
      </c>
      <c r="G26" s="104">
        <v>0</v>
      </c>
      <c r="H26" s="104">
        <v>0</v>
      </c>
      <c r="I26" s="104">
        <v>0</v>
      </c>
      <c r="J26" s="140">
        <f t="shared" si="0"/>
      </c>
    </row>
    <row r="27" spans="2:10" ht="12.75" customHeight="1">
      <c r="B27" s="14"/>
      <c r="C27" s="15"/>
      <c r="D27" s="15"/>
      <c r="E27" s="16">
        <v>613900</v>
      </c>
      <c r="F27" s="26" t="s">
        <v>172</v>
      </c>
      <c r="G27" s="104">
        <v>23000</v>
      </c>
      <c r="H27" s="104">
        <v>23500</v>
      </c>
      <c r="I27" s="104">
        <v>23475</v>
      </c>
      <c r="J27" s="140">
        <f t="shared" si="0"/>
        <v>99.8936170212766</v>
      </c>
    </row>
    <row r="28" spans="2:10" ht="12.75" customHeight="1">
      <c r="B28" s="14"/>
      <c r="C28" s="15"/>
      <c r="D28" s="15"/>
      <c r="E28" s="16">
        <v>613900</v>
      </c>
      <c r="F28" s="26" t="s">
        <v>185</v>
      </c>
      <c r="G28" s="104">
        <v>66000</v>
      </c>
      <c r="H28" s="104">
        <v>66000</v>
      </c>
      <c r="I28" s="104">
        <v>65849</v>
      </c>
      <c r="J28" s="140">
        <f t="shared" si="0"/>
        <v>99.77121212121212</v>
      </c>
    </row>
    <row r="29" spans="2:10" ht="12.75" customHeight="1">
      <c r="B29" s="14"/>
      <c r="C29" s="15"/>
      <c r="D29" s="15"/>
      <c r="E29" s="16">
        <v>613900</v>
      </c>
      <c r="F29" s="26" t="s">
        <v>690</v>
      </c>
      <c r="G29" s="104">
        <v>0</v>
      </c>
      <c r="H29" s="104">
        <v>0</v>
      </c>
      <c r="I29" s="104">
        <v>0</v>
      </c>
      <c r="J29" s="140">
        <f t="shared" si="0"/>
      </c>
    </row>
    <row r="30" spans="2:10" ht="12.75" customHeight="1">
      <c r="B30" s="14"/>
      <c r="C30" s="15"/>
      <c r="D30" s="15"/>
      <c r="E30" s="16"/>
      <c r="F30" s="15"/>
      <c r="G30" s="104"/>
      <c r="H30" s="104"/>
      <c r="I30" s="104"/>
      <c r="J30" s="140">
        <f t="shared" si="0"/>
      </c>
    </row>
    <row r="31" spans="2:10" s="1" customFormat="1" ht="12.75" customHeight="1">
      <c r="B31" s="17"/>
      <c r="C31" s="12"/>
      <c r="D31" s="12"/>
      <c r="E31" s="9">
        <v>614000</v>
      </c>
      <c r="F31" s="12" t="s">
        <v>207</v>
      </c>
      <c r="G31" s="96">
        <f>SUM(G32:G38)</f>
        <v>1130000</v>
      </c>
      <c r="H31" s="96">
        <f>SUM(H32:H38)</f>
        <v>1130000</v>
      </c>
      <c r="I31" s="96">
        <f>SUM(I32:I38)</f>
        <v>1111850</v>
      </c>
      <c r="J31" s="139">
        <f t="shared" si="0"/>
        <v>98.39380530973452</v>
      </c>
    </row>
    <row r="32" spans="2:11" s="176" customFormat="1" ht="24.75" customHeight="1">
      <c r="B32" s="168"/>
      <c r="C32" s="169"/>
      <c r="D32" s="170"/>
      <c r="E32" s="171">
        <v>614100</v>
      </c>
      <c r="F32" s="172" t="s">
        <v>226</v>
      </c>
      <c r="G32" s="173">
        <v>150000</v>
      </c>
      <c r="H32" s="173">
        <v>150000</v>
      </c>
      <c r="I32" s="173">
        <v>140050</v>
      </c>
      <c r="J32" s="174">
        <f t="shared" si="0"/>
        <v>93.36666666666666</v>
      </c>
      <c r="K32" s="175"/>
    </row>
    <row r="33" spans="2:10" ht="12.75" customHeight="1">
      <c r="B33" s="14"/>
      <c r="C33" s="15"/>
      <c r="D33" s="15"/>
      <c r="E33" s="105">
        <v>614100</v>
      </c>
      <c r="F33" s="102" t="s">
        <v>102</v>
      </c>
      <c r="G33" s="104">
        <v>320000</v>
      </c>
      <c r="H33" s="104">
        <v>320000</v>
      </c>
      <c r="I33" s="104">
        <v>319900</v>
      </c>
      <c r="J33" s="140">
        <f t="shared" si="0"/>
        <v>99.96875</v>
      </c>
    </row>
    <row r="34" spans="2:10" ht="12.75" customHeight="1">
      <c r="B34" s="14"/>
      <c r="C34" s="15"/>
      <c r="D34" s="15"/>
      <c r="E34" s="105">
        <v>614100</v>
      </c>
      <c r="F34" s="102" t="s">
        <v>475</v>
      </c>
      <c r="G34" s="104">
        <v>300000</v>
      </c>
      <c r="H34" s="104">
        <v>300000</v>
      </c>
      <c r="I34" s="104">
        <v>300000</v>
      </c>
      <c r="J34" s="140">
        <f t="shared" si="0"/>
        <v>100</v>
      </c>
    </row>
    <row r="35" spans="2:10" ht="12.75" customHeight="1">
      <c r="B35" s="14"/>
      <c r="C35" s="15"/>
      <c r="D35" s="15"/>
      <c r="E35" s="16">
        <v>614200</v>
      </c>
      <c r="F35" s="30" t="s">
        <v>115</v>
      </c>
      <c r="G35" s="104">
        <v>120000</v>
      </c>
      <c r="H35" s="104">
        <v>120000</v>
      </c>
      <c r="I35" s="104">
        <v>111900</v>
      </c>
      <c r="J35" s="140">
        <f t="shared" si="0"/>
        <v>93.25</v>
      </c>
    </row>
    <row r="36" spans="2:10" s="176" customFormat="1" ht="24.75" customHeight="1">
      <c r="B36" s="168"/>
      <c r="C36" s="169"/>
      <c r="D36" s="169"/>
      <c r="E36" s="171">
        <v>614200</v>
      </c>
      <c r="F36" s="177" t="s">
        <v>321</v>
      </c>
      <c r="G36" s="173">
        <v>10000</v>
      </c>
      <c r="H36" s="173">
        <v>10000</v>
      </c>
      <c r="I36" s="173">
        <v>10000</v>
      </c>
      <c r="J36" s="174">
        <f t="shared" si="0"/>
        <v>100</v>
      </c>
    </row>
    <row r="37" spans="2:10" ht="12.75" customHeight="1">
      <c r="B37" s="14"/>
      <c r="C37" s="15"/>
      <c r="D37" s="15"/>
      <c r="E37" s="56">
        <v>614300</v>
      </c>
      <c r="F37" s="30" t="s">
        <v>103</v>
      </c>
      <c r="G37" s="104">
        <v>30000</v>
      </c>
      <c r="H37" s="104">
        <v>30000</v>
      </c>
      <c r="I37" s="104">
        <v>30000</v>
      </c>
      <c r="J37" s="140">
        <f t="shared" si="0"/>
        <v>100</v>
      </c>
    </row>
    <row r="38" spans="2:11" ht="12.75" customHeight="1">
      <c r="B38" s="14"/>
      <c r="C38" s="15"/>
      <c r="D38" s="15"/>
      <c r="E38" s="56">
        <v>614300</v>
      </c>
      <c r="F38" s="30" t="s">
        <v>104</v>
      </c>
      <c r="G38" s="104">
        <v>200000</v>
      </c>
      <c r="H38" s="104">
        <v>200000</v>
      </c>
      <c r="I38" s="104">
        <v>200000</v>
      </c>
      <c r="J38" s="140">
        <f t="shared" si="0"/>
        <v>100</v>
      </c>
      <c r="K38" s="95"/>
    </row>
    <row r="39" spans="2:11" ht="12.75" customHeight="1">
      <c r="B39" s="14"/>
      <c r="C39" s="15"/>
      <c r="D39" s="15"/>
      <c r="E39" s="56"/>
      <c r="F39" s="30"/>
      <c r="G39" s="104"/>
      <c r="H39" s="104"/>
      <c r="I39" s="104"/>
      <c r="J39" s="140">
        <f t="shared" si="0"/>
      </c>
      <c r="K39" s="95"/>
    </row>
    <row r="40" spans="2:11" ht="12.75" customHeight="1">
      <c r="B40" s="14"/>
      <c r="C40" s="15"/>
      <c r="D40" s="15"/>
      <c r="E40" s="9">
        <v>615000</v>
      </c>
      <c r="F40" s="34" t="s">
        <v>91</v>
      </c>
      <c r="G40" s="96">
        <f>G41</f>
        <v>0</v>
      </c>
      <c r="H40" s="96">
        <f>H41</f>
        <v>0</v>
      </c>
      <c r="I40" s="96">
        <f>I41</f>
        <v>0</v>
      </c>
      <c r="J40" s="139">
        <f t="shared" si="0"/>
      </c>
      <c r="K40" s="95"/>
    </row>
    <row r="41" spans="2:11" ht="12.75" customHeight="1">
      <c r="B41" s="14"/>
      <c r="C41" s="15"/>
      <c r="D41" s="15"/>
      <c r="E41" s="16">
        <v>615100</v>
      </c>
      <c r="F41" s="66" t="s">
        <v>91</v>
      </c>
      <c r="G41" s="104">
        <v>0</v>
      </c>
      <c r="H41" s="104">
        <v>0</v>
      </c>
      <c r="I41" s="104">
        <v>0</v>
      </c>
      <c r="J41" s="140">
        <f t="shared" si="0"/>
      </c>
      <c r="K41" s="95"/>
    </row>
    <row r="42" spans="2:10" ht="12.75" customHeight="1">
      <c r="B42" s="14"/>
      <c r="C42" s="15"/>
      <c r="D42" s="15"/>
      <c r="E42" s="56"/>
      <c r="F42" s="30"/>
      <c r="G42" s="104"/>
      <c r="H42" s="104"/>
      <c r="I42" s="104"/>
      <c r="J42" s="140">
        <f t="shared" si="0"/>
      </c>
    </row>
    <row r="43" spans="2:10" ht="12.75" customHeight="1">
      <c r="B43" s="14"/>
      <c r="C43" s="15"/>
      <c r="D43" s="15"/>
      <c r="E43" s="9">
        <v>616000</v>
      </c>
      <c r="F43" s="34" t="s">
        <v>208</v>
      </c>
      <c r="G43" s="96">
        <f>G44</f>
        <v>9330</v>
      </c>
      <c r="H43" s="96">
        <f>H44</f>
        <v>9330</v>
      </c>
      <c r="I43" s="96">
        <f>I44</f>
        <v>9325</v>
      </c>
      <c r="J43" s="139">
        <f t="shared" si="0"/>
        <v>99.94640943193997</v>
      </c>
    </row>
    <row r="44" spans="2:10" ht="12.75" customHeight="1">
      <c r="B44" s="14"/>
      <c r="C44" s="15"/>
      <c r="D44" s="15"/>
      <c r="E44" s="16">
        <v>616300</v>
      </c>
      <c r="F44" s="66" t="s">
        <v>219</v>
      </c>
      <c r="G44" s="104">
        <v>9330</v>
      </c>
      <c r="H44" s="104">
        <v>9330</v>
      </c>
      <c r="I44" s="104">
        <v>9325</v>
      </c>
      <c r="J44" s="140">
        <f t="shared" si="0"/>
        <v>99.94640943193997</v>
      </c>
    </row>
    <row r="45" spans="2:10" ht="12.75" customHeight="1">
      <c r="B45" s="14"/>
      <c r="C45" s="15"/>
      <c r="D45" s="15"/>
      <c r="E45" s="16"/>
      <c r="F45" s="15"/>
      <c r="G45" s="78"/>
      <c r="H45" s="78"/>
      <c r="I45" s="78"/>
      <c r="J45" s="140">
        <f t="shared" si="0"/>
      </c>
    </row>
    <row r="46" spans="2:10" s="1" customFormat="1" ht="12.75" customHeight="1">
      <c r="B46" s="17"/>
      <c r="C46" s="12"/>
      <c r="D46" s="12"/>
      <c r="E46" s="9">
        <v>821000</v>
      </c>
      <c r="F46" s="12" t="s">
        <v>92</v>
      </c>
      <c r="G46" s="96">
        <f>SUM(G47:G48)</f>
        <v>16100</v>
      </c>
      <c r="H46" s="96">
        <f>SUM(H47:H48)</f>
        <v>16440</v>
      </c>
      <c r="I46" s="96">
        <f>SUM(I47:I48)</f>
        <v>16434</v>
      </c>
      <c r="J46" s="139">
        <f t="shared" si="0"/>
        <v>99.96350364963503</v>
      </c>
    </row>
    <row r="47" spans="2:10" ht="12.75" customHeight="1">
      <c r="B47" s="14"/>
      <c r="C47" s="15"/>
      <c r="D47" s="15"/>
      <c r="E47" s="16">
        <v>821200</v>
      </c>
      <c r="F47" s="15" t="s">
        <v>93</v>
      </c>
      <c r="G47" s="78">
        <v>0</v>
      </c>
      <c r="H47" s="78">
        <v>0</v>
      </c>
      <c r="I47" s="78">
        <v>0</v>
      </c>
      <c r="J47" s="140">
        <f t="shared" si="0"/>
      </c>
    </row>
    <row r="48" spans="2:10" ht="12.75" customHeight="1">
      <c r="B48" s="14"/>
      <c r="C48" s="15"/>
      <c r="D48" s="15"/>
      <c r="E48" s="16">
        <v>821300</v>
      </c>
      <c r="F48" s="15" t="s">
        <v>94</v>
      </c>
      <c r="G48" s="104">
        <v>16100</v>
      </c>
      <c r="H48" s="104">
        <v>16440</v>
      </c>
      <c r="I48" s="104">
        <v>16434</v>
      </c>
      <c r="J48" s="140">
        <f t="shared" si="0"/>
        <v>99.96350364963503</v>
      </c>
    </row>
    <row r="49" spans="2:10" ht="12.75" customHeight="1">
      <c r="B49" s="14"/>
      <c r="C49" s="15"/>
      <c r="D49" s="15"/>
      <c r="E49" s="16"/>
      <c r="F49" s="15"/>
      <c r="G49" s="78"/>
      <c r="H49" s="78"/>
      <c r="I49" s="78"/>
      <c r="J49" s="140">
        <f t="shared" si="0"/>
      </c>
    </row>
    <row r="50" spans="2:10" ht="12.75" customHeight="1">
      <c r="B50" s="14"/>
      <c r="C50" s="15"/>
      <c r="D50" s="15"/>
      <c r="E50" s="9">
        <v>823000</v>
      </c>
      <c r="F50" s="12" t="s">
        <v>209</v>
      </c>
      <c r="G50" s="96">
        <f>G51</f>
        <v>74980</v>
      </c>
      <c r="H50" s="96">
        <f>H51</f>
        <v>74980</v>
      </c>
      <c r="I50" s="96">
        <f>I51</f>
        <v>74940</v>
      </c>
      <c r="J50" s="139">
        <f t="shared" si="0"/>
        <v>99.94665244065084</v>
      </c>
    </row>
    <row r="51" spans="2:10" ht="12.75" customHeight="1">
      <c r="B51" s="14"/>
      <c r="C51" s="15"/>
      <c r="D51" s="15"/>
      <c r="E51" s="16">
        <v>823300</v>
      </c>
      <c r="F51" s="26" t="s">
        <v>190</v>
      </c>
      <c r="G51" s="104">
        <v>74980</v>
      </c>
      <c r="H51" s="104">
        <v>74980</v>
      </c>
      <c r="I51" s="104">
        <v>74940</v>
      </c>
      <c r="J51" s="140">
        <f t="shared" si="0"/>
        <v>99.94665244065084</v>
      </c>
    </row>
    <row r="52" spans="2:10" ht="12.75" customHeight="1">
      <c r="B52" s="14"/>
      <c r="C52" s="15"/>
      <c r="D52" s="15"/>
      <c r="E52" s="16"/>
      <c r="F52" s="26"/>
      <c r="G52" s="78"/>
      <c r="H52" s="78"/>
      <c r="I52" s="78"/>
      <c r="J52" s="140">
        <f t="shared" si="0"/>
      </c>
    </row>
    <row r="53" spans="2:10" ht="12.75" customHeight="1">
      <c r="B53" s="14"/>
      <c r="C53" s="15"/>
      <c r="D53" s="15"/>
      <c r="E53" s="16"/>
      <c r="F53" s="15"/>
      <c r="G53" s="78"/>
      <c r="H53" s="78"/>
      <c r="I53" s="78"/>
      <c r="J53" s="140">
        <f t="shared" si="0"/>
      </c>
    </row>
    <row r="54" spans="2:10" s="1" customFormat="1" ht="12.75" customHeight="1">
      <c r="B54" s="17"/>
      <c r="C54" s="12"/>
      <c r="D54" s="12"/>
      <c r="E54" s="9"/>
      <c r="F54" s="12" t="s">
        <v>95</v>
      </c>
      <c r="G54" s="20">
        <v>10</v>
      </c>
      <c r="H54" s="20">
        <v>10</v>
      </c>
      <c r="I54" s="20">
        <v>10</v>
      </c>
      <c r="J54" s="140"/>
    </row>
    <row r="55" spans="2:10" s="1" customFormat="1" ht="12.75" customHeight="1">
      <c r="B55" s="17"/>
      <c r="C55" s="12"/>
      <c r="D55" s="12"/>
      <c r="E55" s="9"/>
      <c r="F55" s="12" t="s">
        <v>116</v>
      </c>
      <c r="G55" s="20">
        <f>G7+G13+G17+G31+G40+G43+G46+G50</f>
        <v>1619000</v>
      </c>
      <c r="H55" s="20">
        <f>H7+H13+H17+H31+H40+H43+H46+H50</f>
        <v>1619340</v>
      </c>
      <c r="I55" s="20">
        <f>I7+I13+I17+I31+I40+I43+I46+I50</f>
        <v>1597697</v>
      </c>
      <c r="J55" s="139">
        <f t="shared" si="0"/>
        <v>98.66346783257376</v>
      </c>
    </row>
    <row r="56" spans="2:10" s="1" customFormat="1" ht="12.75" customHeight="1">
      <c r="B56" s="17"/>
      <c r="C56" s="12"/>
      <c r="D56" s="12"/>
      <c r="E56" s="9"/>
      <c r="F56" s="12" t="s">
        <v>96</v>
      </c>
      <c r="G56" s="12"/>
      <c r="H56" s="20"/>
      <c r="I56" s="15"/>
      <c r="J56" s="141"/>
    </row>
    <row r="57" spans="2:10" s="1" customFormat="1" ht="12.75" customHeight="1">
      <c r="B57" s="17"/>
      <c r="C57" s="12"/>
      <c r="D57" s="12"/>
      <c r="E57" s="9"/>
      <c r="F57" s="12" t="s">
        <v>97</v>
      </c>
      <c r="G57" s="12"/>
      <c r="H57" s="20"/>
      <c r="I57" s="15"/>
      <c r="J57" s="141"/>
    </row>
    <row r="58" spans="2:10" ht="12.75" customHeight="1" thickBot="1">
      <c r="B58" s="21"/>
      <c r="C58" s="22"/>
      <c r="D58" s="22"/>
      <c r="E58" s="23"/>
      <c r="F58" s="22"/>
      <c r="G58" s="36"/>
      <c r="H58" s="49"/>
      <c r="I58" s="22"/>
      <c r="J58" s="143"/>
    </row>
    <row r="61" ht="12.75">
      <c r="B61" s="77"/>
    </row>
    <row r="62" ht="12.75">
      <c r="B62" s="77"/>
    </row>
    <row r="63" ht="12.75">
      <c r="B63" s="77"/>
    </row>
    <row r="64" ht="12.75">
      <c r="B64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B2:M60"/>
  <sheetViews>
    <sheetView zoomScaleSheetLayoutView="100" workbookViewId="0" topLeftCell="C1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173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137</v>
      </c>
      <c r="D6" s="11" t="s">
        <v>122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1091780</v>
      </c>
      <c r="H7" s="343">
        <f>SUM(H8:H11)</f>
        <v>1091780</v>
      </c>
      <c r="I7" s="20">
        <f>SUM(I8:I11)</f>
        <v>1071168</v>
      </c>
      <c r="J7" s="139">
        <f aca="true" t="shared" si="0" ref="J7:J42">IF(H7=0,"",I7/H7*100)</f>
        <v>98.11207386103428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859160+5000+3650+1300</f>
        <v>869110</v>
      </c>
      <c r="H8" s="345">
        <f>859160+5000+3650+1300</f>
        <v>869110</v>
      </c>
      <c r="I8" s="45">
        <v>858166</v>
      </c>
      <c r="J8" s="140">
        <f t="shared" si="0"/>
        <v>98.74078079874813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204370+2000+2520+53*260</f>
        <v>222670</v>
      </c>
      <c r="H9" s="345">
        <f>204370+2000+2520+53*260</f>
        <v>222670</v>
      </c>
      <c r="I9" s="45">
        <v>213002</v>
      </c>
      <c r="J9" s="140">
        <f t="shared" si="0"/>
        <v>95.65814883010734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2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  <c r="L12" s="77" t="s">
        <v>180</v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93320</v>
      </c>
      <c r="H13" s="343">
        <f>H14</f>
        <v>93320</v>
      </c>
      <c r="I13" s="20">
        <f>I14</f>
        <v>93015</v>
      </c>
      <c r="J13" s="139">
        <f t="shared" si="0"/>
        <v>99.67316759537077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92200+700+420</f>
        <v>93320</v>
      </c>
      <c r="H14" s="345">
        <f>92200+700+420</f>
        <v>93320</v>
      </c>
      <c r="I14" s="45">
        <v>93015</v>
      </c>
      <c r="J14" s="140">
        <f t="shared" si="0"/>
        <v>99.67316759537077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156500</v>
      </c>
      <c r="H17" s="50">
        <f>SUM(H18:H27)</f>
        <v>156500</v>
      </c>
      <c r="I17" s="50">
        <f>SUM(I18:I27)</f>
        <v>140230</v>
      </c>
      <c r="J17" s="139">
        <f t="shared" si="0"/>
        <v>89.60383386581469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6000</v>
      </c>
      <c r="H18" s="45">
        <v>7500</v>
      </c>
      <c r="I18" s="45">
        <v>7186</v>
      </c>
      <c r="J18" s="140">
        <f t="shared" si="0"/>
        <v>95.81333333333333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65000</v>
      </c>
      <c r="H19" s="45">
        <v>65000</v>
      </c>
      <c r="I19" s="45">
        <v>50891</v>
      </c>
      <c r="J19" s="140">
        <f t="shared" si="0"/>
        <v>78.29384615384616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8000</v>
      </c>
      <c r="H20" s="45">
        <v>9400</v>
      </c>
      <c r="I20" s="45">
        <v>9303</v>
      </c>
      <c r="J20" s="140">
        <f t="shared" si="0"/>
        <v>98.96808510638297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20000</v>
      </c>
      <c r="H21" s="45">
        <v>21800</v>
      </c>
      <c r="I21" s="45">
        <v>21510</v>
      </c>
      <c r="J21" s="140">
        <f t="shared" si="0"/>
        <v>98.6697247706422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2500</v>
      </c>
      <c r="H22" s="104">
        <v>2500</v>
      </c>
      <c r="I22" s="104">
        <v>1819</v>
      </c>
      <c r="J22" s="140">
        <f t="shared" si="0"/>
        <v>72.76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15000</v>
      </c>
      <c r="H24" s="45">
        <v>12100</v>
      </c>
      <c r="I24" s="45">
        <v>11334</v>
      </c>
      <c r="J24" s="140">
        <f t="shared" si="0"/>
        <v>93.66942148760332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40000</v>
      </c>
      <c r="H26" s="104">
        <v>38200</v>
      </c>
      <c r="I26" s="104">
        <v>38187</v>
      </c>
      <c r="J26" s="140">
        <f t="shared" si="0"/>
        <v>99.96596858638743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324">
        <v>0</v>
      </c>
      <c r="H27" s="324">
        <v>0</v>
      </c>
      <c r="I27" s="97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45"/>
      <c r="H28" s="45"/>
      <c r="I28" s="45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45"/>
      <c r="H29" s="45"/>
      <c r="I29" s="45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45"/>
      <c r="H30" s="45"/>
      <c r="I30" s="45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SUM(G37:G39)</f>
        <v>81000</v>
      </c>
      <c r="H36" s="20">
        <f>SUM(H37:H39)</f>
        <v>81000</v>
      </c>
      <c r="I36" s="20">
        <f>SUM(I37:I39)</f>
        <v>80964</v>
      </c>
      <c r="J36" s="139">
        <f t="shared" si="0"/>
        <v>99.95555555555555</v>
      </c>
    </row>
    <row r="37" spans="2:11" ht="12.75" customHeight="1">
      <c r="B37" s="14"/>
      <c r="C37" s="15"/>
      <c r="D37" s="15"/>
      <c r="E37" s="16">
        <v>821200</v>
      </c>
      <c r="F37" s="15" t="s">
        <v>93</v>
      </c>
      <c r="G37" s="104">
        <v>77000</v>
      </c>
      <c r="H37" s="104">
        <v>70000</v>
      </c>
      <c r="I37" s="104">
        <v>69991</v>
      </c>
      <c r="J37" s="140">
        <f t="shared" si="0"/>
        <v>99.98714285714286</v>
      </c>
      <c r="K37" s="77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4000</v>
      </c>
      <c r="H38" s="104">
        <v>11000</v>
      </c>
      <c r="I38" s="104">
        <v>10973</v>
      </c>
      <c r="J38" s="140">
        <f t="shared" si="0"/>
        <v>99.75454545454545</v>
      </c>
    </row>
    <row r="39" spans="2:10" ht="12.75" customHeight="1">
      <c r="B39" s="14"/>
      <c r="C39" s="15"/>
      <c r="D39" s="15"/>
      <c r="E39" s="16"/>
      <c r="F39" s="26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700</v>
      </c>
      <c r="H41" s="25" t="s">
        <v>700</v>
      </c>
      <c r="I41" s="25" t="s">
        <v>751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1422600</v>
      </c>
      <c r="H42" s="20">
        <f>H7+H13+H17+H36</f>
        <v>1422600</v>
      </c>
      <c r="I42" s="20">
        <f>I7+I13+I17+I36</f>
        <v>1385377</v>
      </c>
      <c r="J42" s="139">
        <f t="shared" si="0"/>
        <v>97.38345283284127</v>
      </c>
    </row>
    <row r="43" spans="2:13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  <c r="M43" s="1" t="s">
        <v>180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  <row r="55" ht="12.75">
      <c r="B55" s="77"/>
    </row>
    <row r="56" ht="12.75">
      <c r="B56" s="77"/>
    </row>
    <row r="57" ht="12.75">
      <c r="B57" s="77"/>
    </row>
    <row r="58" ht="12.75">
      <c r="B58" s="77"/>
    </row>
    <row r="59" ht="12.75">
      <c r="B59" s="77"/>
    </row>
    <row r="60" ht="12.75">
      <c r="B60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B2:L51"/>
  <sheetViews>
    <sheetView zoomScaleSheetLayoutView="100" workbookViewId="0" topLeftCell="C1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314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22" t="s">
        <v>148</v>
      </c>
      <c r="C6" s="123" t="s">
        <v>137</v>
      </c>
      <c r="D6" s="123" t="s">
        <v>129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964670</v>
      </c>
      <c r="H7" s="343">
        <f>SUM(H8:H11)</f>
        <v>964670</v>
      </c>
      <c r="I7" s="20">
        <f>SUM(I8:I11)</f>
        <v>943321</v>
      </c>
      <c r="J7" s="139">
        <f aca="true" t="shared" si="0" ref="J7:J42">IF(H7=0,"",I7/H7*100)</f>
        <v>97.7869115863456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757980+7500</f>
        <v>765480</v>
      </c>
      <c r="H8" s="345">
        <f>757980+7500</f>
        <v>765480</v>
      </c>
      <c r="I8" s="45">
        <v>754570</v>
      </c>
      <c r="J8" s="140">
        <f t="shared" si="0"/>
        <v>98.57475048335684</v>
      </c>
    </row>
    <row r="9" spans="2:12" ht="12.75" customHeight="1">
      <c r="B9" s="14"/>
      <c r="C9" s="15"/>
      <c r="D9" s="15"/>
      <c r="E9" s="16">
        <v>611200</v>
      </c>
      <c r="F9" s="15" t="s">
        <v>204</v>
      </c>
      <c r="G9" s="345">
        <f>184390+1800+50*260</f>
        <v>199190</v>
      </c>
      <c r="H9" s="345">
        <f>184390+1800+50*260</f>
        <v>199190</v>
      </c>
      <c r="I9" s="104">
        <v>188751</v>
      </c>
      <c r="J9" s="140">
        <f t="shared" si="0"/>
        <v>94.75927506400924</v>
      </c>
      <c r="L9" s="77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82130</v>
      </c>
      <c r="H13" s="343">
        <f>H14</f>
        <v>82130</v>
      </c>
      <c r="I13" s="20">
        <f>I14</f>
        <v>81026</v>
      </c>
      <c r="J13" s="139">
        <f t="shared" si="0"/>
        <v>98.65578960185073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81230+900</f>
        <v>82130</v>
      </c>
      <c r="H14" s="345">
        <f>81230+900</f>
        <v>82130</v>
      </c>
      <c r="I14" s="45">
        <v>81026</v>
      </c>
      <c r="J14" s="140">
        <f t="shared" si="0"/>
        <v>98.65578960185073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206500</v>
      </c>
      <c r="H17" s="50">
        <f>SUM(H18:H27)</f>
        <v>206500</v>
      </c>
      <c r="I17" s="50">
        <f>SUM(I18:I27)</f>
        <v>197607</v>
      </c>
      <c r="J17" s="139">
        <f t="shared" si="0"/>
        <v>95.69346246973366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04">
        <v>6000</v>
      </c>
      <c r="H18" s="104">
        <v>6000</v>
      </c>
      <c r="I18" s="104">
        <v>5470</v>
      </c>
      <c r="J18" s="140">
        <f t="shared" si="0"/>
        <v>91.16666666666666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100000</v>
      </c>
      <c r="H19" s="45">
        <v>99000</v>
      </c>
      <c r="I19" s="45">
        <v>97941</v>
      </c>
      <c r="J19" s="140">
        <f t="shared" si="0"/>
        <v>98.93030303030304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104">
        <v>18000</v>
      </c>
      <c r="H20" s="104">
        <v>18000</v>
      </c>
      <c r="I20" s="104">
        <v>12722</v>
      </c>
      <c r="J20" s="140">
        <f t="shared" si="0"/>
        <v>70.67777777777778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27000</v>
      </c>
      <c r="H21" s="104">
        <v>27300</v>
      </c>
      <c r="I21" s="104">
        <v>26851</v>
      </c>
      <c r="J21" s="140">
        <f t="shared" si="0"/>
        <v>98.35531135531136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500</v>
      </c>
      <c r="H22" s="104">
        <v>500</v>
      </c>
      <c r="I22" s="104">
        <v>147</v>
      </c>
      <c r="J22" s="140">
        <f t="shared" si="0"/>
        <v>29.4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30000</v>
      </c>
      <c r="H24" s="104">
        <v>30700</v>
      </c>
      <c r="I24" s="104">
        <v>30527</v>
      </c>
      <c r="J24" s="140">
        <f t="shared" si="0"/>
        <v>99.43648208469055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25000</v>
      </c>
      <c r="H26" s="104">
        <v>25000</v>
      </c>
      <c r="I26" s="104">
        <v>23949</v>
      </c>
      <c r="J26" s="140">
        <f t="shared" si="0"/>
        <v>95.796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25000</v>
      </c>
      <c r="H36" s="96">
        <f>SUM(H37:H39)</f>
        <v>20910</v>
      </c>
      <c r="I36" s="96">
        <f>SUM(I37:I39)</f>
        <v>20910</v>
      </c>
      <c r="J36" s="139">
        <f t="shared" si="0"/>
        <v>100</v>
      </c>
    </row>
    <row r="37" spans="2:11" ht="12.75" customHeight="1">
      <c r="B37" s="14"/>
      <c r="C37" s="15"/>
      <c r="D37" s="15"/>
      <c r="E37" s="106">
        <v>821200</v>
      </c>
      <c r="F37" s="19" t="s">
        <v>93</v>
      </c>
      <c r="G37" s="104">
        <v>0</v>
      </c>
      <c r="H37" s="104">
        <v>0</v>
      </c>
      <c r="I37" s="104">
        <v>0</v>
      </c>
      <c r="J37" s="140">
        <f t="shared" si="0"/>
      </c>
      <c r="K37" s="77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25000</v>
      </c>
      <c r="H38" s="104">
        <v>20910</v>
      </c>
      <c r="I38" s="104">
        <v>20910</v>
      </c>
      <c r="J38" s="140">
        <f t="shared" si="0"/>
        <v>100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104"/>
      <c r="H40" s="104"/>
      <c r="I40" s="104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701</v>
      </c>
      <c r="H41" s="25" t="s">
        <v>701</v>
      </c>
      <c r="I41" s="25" t="s">
        <v>752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1278300</v>
      </c>
      <c r="H42" s="20">
        <f>H7+H13+H17+H36</f>
        <v>1274210</v>
      </c>
      <c r="I42" s="20">
        <f>I7+I13+I17+I36</f>
        <v>1242864</v>
      </c>
      <c r="J42" s="139">
        <f t="shared" si="0"/>
        <v>97.53996593968027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B2:L52"/>
  <sheetViews>
    <sheetView zoomScaleSheetLayoutView="100" workbookViewId="0" topLeftCell="C10">
      <selection activeCell="M30" sqref="M3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8" ht="15" customHeight="1">
      <c r="B2" s="459" t="s">
        <v>315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22" t="s">
        <v>148</v>
      </c>
      <c r="C6" s="123" t="s">
        <v>137</v>
      </c>
      <c r="D6" s="123" t="s">
        <v>130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815970</v>
      </c>
      <c r="H7" s="343">
        <f>SUM(H8:H11)</f>
        <v>815970</v>
      </c>
      <c r="I7" s="20">
        <f>SUM(I8:I11)</f>
        <v>803930</v>
      </c>
      <c r="J7" s="139">
        <f aca="true" t="shared" si="0" ref="J7:J44">IF(H7=0,"",I7/H7*100)</f>
        <v>98.52445555596407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45">
        <f>657760+4500</f>
        <v>662260</v>
      </c>
      <c r="H8" s="345">
        <f>657760+4500</f>
        <v>662260</v>
      </c>
      <c r="I8" s="45">
        <v>658104</v>
      </c>
      <c r="J8" s="140">
        <f t="shared" si="0"/>
        <v>99.37245190710597</v>
      </c>
      <c r="K8" s="77"/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141230+1300+43*260</f>
        <v>153710</v>
      </c>
      <c r="H9" s="345">
        <f>141230+1300+43*260</f>
        <v>153710</v>
      </c>
      <c r="I9" s="104">
        <v>145826</v>
      </c>
      <c r="J9" s="140">
        <f t="shared" si="0"/>
        <v>94.87086071172988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70870</v>
      </c>
      <c r="H13" s="343">
        <f>H14</f>
        <v>70870</v>
      </c>
      <c r="I13" s="20">
        <f>I14</f>
        <v>70411</v>
      </c>
      <c r="J13" s="139">
        <f t="shared" si="0"/>
        <v>99.35233526174686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70270+600</f>
        <v>70870</v>
      </c>
      <c r="H14" s="345">
        <f>70270+600</f>
        <v>70870</v>
      </c>
      <c r="I14" s="45">
        <v>70411</v>
      </c>
      <c r="J14" s="140">
        <f t="shared" si="0"/>
        <v>99.35233526174686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SUM(G18:G28)</f>
        <v>152500</v>
      </c>
      <c r="H17" s="50">
        <f>SUM(H18:H28)</f>
        <v>152500</v>
      </c>
      <c r="I17" s="50">
        <f>SUM(I18:I28)</f>
        <v>146880</v>
      </c>
      <c r="J17" s="139">
        <f t="shared" si="0"/>
        <v>96.31475409836065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04">
        <v>4500</v>
      </c>
      <c r="H18" s="104">
        <v>4500</v>
      </c>
      <c r="I18" s="104">
        <v>3864</v>
      </c>
      <c r="J18" s="140">
        <f t="shared" si="0"/>
        <v>85.86666666666667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50000</v>
      </c>
      <c r="H19" s="45">
        <v>47460</v>
      </c>
      <c r="I19" s="45">
        <v>46541</v>
      </c>
      <c r="J19" s="140">
        <f t="shared" si="0"/>
        <v>98.06363253265908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7500</v>
      </c>
      <c r="H20" s="45">
        <v>7500</v>
      </c>
      <c r="I20" s="45">
        <v>6645</v>
      </c>
      <c r="J20" s="140">
        <f t="shared" si="0"/>
        <v>88.6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17000</v>
      </c>
      <c r="H21" s="45">
        <v>17000</v>
      </c>
      <c r="I21" s="45">
        <v>16305</v>
      </c>
      <c r="J21" s="140">
        <f t="shared" si="0"/>
        <v>95.91176470588235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3000</v>
      </c>
      <c r="H22" s="104">
        <v>3000</v>
      </c>
      <c r="I22" s="104">
        <v>2949</v>
      </c>
      <c r="J22" s="140">
        <f t="shared" si="0"/>
        <v>98.3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12000</v>
      </c>
      <c r="H24" s="104">
        <v>12000</v>
      </c>
      <c r="I24" s="104">
        <v>11294</v>
      </c>
      <c r="J24" s="140">
        <f t="shared" si="0"/>
        <v>94.11666666666667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350">
        <v>43500</v>
      </c>
      <c r="H26" s="350">
        <v>43500</v>
      </c>
      <c r="I26" s="104">
        <v>41744</v>
      </c>
      <c r="J26" s="140">
        <f t="shared" si="0"/>
        <v>95.9632183908046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ht="12.75" customHeight="1">
      <c r="B28" s="14"/>
      <c r="C28" s="15"/>
      <c r="D28" s="15"/>
      <c r="E28" s="16">
        <v>613900</v>
      </c>
      <c r="F28" s="26" t="s">
        <v>702</v>
      </c>
      <c r="G28" s="104">
        <v>15000</v>
      </c>
      <c r="H28" s="104">
        <v>17540</v>
      </c>
      <c r="I28" s="156">
        <v>17538</v>
      </c>
      <c r="J28" s="140">
        <f>IF(H28=0,"",I28/H28*100)</f>
        <v>99.98859749144812</v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31"/>
      <c r="E30" s="60"/>
      <c r="F30" s="30"/>
      <c r="G30" s="104"/>
      <c r="H30" s="104"/>
      <c r="I30" s="104"/>
      <c r="J30" s="140"/>
    </row>
    <row r="31" spans="2:10" ht="12.75" customHeight="1">
      <c r="B31" s="14"/>
      <c r="C31" s="15"/>
      <c r="D31" s="15"/>
      <c r="E31" s="60"/>
      <c r="F31" s="30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9"/>
      <c r="F34" s="12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26"/>
      <c r="G35" s="104"/>
      <c r="H35" s="104"/>
      <c r="I35" s="104"/>
      <c r="J35" s="140">
        <f t="shared" si="0"/>
      </c>
    </row>
    <row r="36" spans="2:10" ht="12.75" customHeight="1">
      <c r="B36" s="14"/>
      <c r="C36" s="15"/>
      <c r="D36" s="15"/>
      <c r="E36" s="16"/>
      <c r="F36" s="15"/>
      <c r="G36" s="96"/>
      <c r="H36" s="96"/>
      <c r="I36" s="96"/>
      <c r="J36" s="140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92</v>
      </c>
      <c r="G37" s="96">
        <f>SUM(G38:G40)</f>
        <v>5000</v>
      </c>
      <c r="H37" s="96">
        <f>SUM(H38:H40)</f>
        <v>5000</v>
      </c>
      <c r="I37" s="96">
        <f>SUM(I38:I40)</f>
        <v>4937</v>
      </c>
      <c r="J37" s="139">
        <f t="shared" si="0"/>
        <v>98.74000000000001</v>
      </c>
    </row>
    <row r="38" spans="2:11" ht="12.75" customHeight="1">
      <c r="B38" s="14"/>
      <c r="C38" s="15"/>
      <c r="D38" s="15"/>
      <c r="E38" s="106">
        <v>821200</v>
      </c>
      <c r="F38" s="19" t="s">
        <v>93</v>
      </c>
      <c r="G38" s="104">
        <v>0</v>
      </c>
      <c r="H38" s="104">
        <v>0</v>
      </c>
      <c r="I38" s="104">
        <v>0</v>
      </c>
      <c r="J38" s="140">
        <f t="shared" si="0"/>
      </c>
      <c r="K38" s="77"/>
    </row>
    <row r="39" spans="2:10" ht="12.75" customHeight="1">
      <c r="B39" s="14"/>
      <c r="C39" s="15"/>
      <c r="D39" s="15"/>
      <c r="E39" s="16">
        <v>821300</v>
      </c>
      <c r="F39" s="15" t="s">
        <v>94</v>
      </c>
      <c r="G39" s="104">
        <v>5000</v>
      </c>
      <c r="H39" s="104">
        <v>5000</v>
      </c>
      <c r="I39" s="104">
        <v>4937</v>
      </c>
      <c r="J39" s="140">
        <f t="shared" si="0"/>
        <v>98.74000000000001</v>
      </c>
    </row>
    <row r="40" spans="2:10" ht="12.75" customHeight="1">
      <c r="B40" s="14"/>
      <c r="C40" s="15"/>
      <c r="D40" s="15"/>
      <c r="E40" s="16"/>
      <c r="F40" s="26"/>
      <c r="G40" s="104"/>
      <c r="H40" s="104"/>
      <c r="I40" s="104"/>
      <c r="J40" s="140">
        <f t="shared" si="0"/>
      </c>
    </row>
    <row r="41" spans="2:10" ht="12.75" customHeight="1">
      <c r="B41" s="14"/>
      <c r="C41" s="15"/>
      <c r="D41" s="15"/>
      <c r="E41" s="16"/>
      <c r="F41" s="15"/>
      <c r="G41" s="45"/>
      <c r="H41" s="45"/>
      <c r="I41" s="45"/>
      <c r="J41" s="140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95</v>
      </c>
      <c r="G42" s="25" t="s">
        <v>703</v>
      </c>
      <c r="H42" s="25" t="s">
        <v>703</v>
      </c>
      <c r="I42" s="25" t="s">
        <v>753</v>
      </c>
      <c r="J42" s="140"/>
    </row>
    <row r="43" spans="2:10" s="1" customFormat="1" ht="12.75" customHeight="1">
      <c r="B43" s="17"/>
      <c r="C43" s="12"/>
      <c r="D43" s="12"/>
      <c r="E43" s="9"/>
      <c r="F43" s="12" t="s">
        <v>116</v>
      </c>
      <c r="G43" s="20">
        <f>G7+G13+G17+G37</f>
        <v>1044340</v>
      </c>
      <c r="H43" s="20">
        <f>H7+H13+H17+H37</f>
        <v>1044340</v>
      </c>
      <c r="I43" s="20">
        <f>I7+I13+I17+I37</f>
        <v>1026158</v>
      </c>
      <c r="J43" s="139">
        <f t="shared" si="0"/>
        <v>98.25899611237719</v>
      </c>
    </row>
    <row r="44" spans="2:10" s="1" customFormat="1" ht="12.75" customHeight="1">
      <c r="B44" s="17"/>
      <c r="C44" s="12"/>
      <c r="D44" s="12"/>
      <c r="E44" s="9"/>
      <c r="F44" s="12" t="s">
        <v>96</v>
      </c>
      <c r="G44" s="20">
        <f>G43+'22'!G42+'21'!G42</f>
        <v>3745240</v>
      </c>
      <c r="H44" s="20">
        <f>H43+'22'!H42+'21'!H42</f>
        <v>3741150</v>
      </c>
      <c r="I44" s="20">
        <f>I43+'22'!I42+'21'!I42</f>
        <v>3654399</v>
      </c>
      <c r="J44" s="139">
        <f t="shared" si="0"/>
        <v>97.68116755543082</v>
      </c>
    </row>
    <row r="45" spans="2:10" s="1" customFormat="1" ht="12.75" customHeight="1">
      <c r="B45" s="17"/>
      <c r="C45" s="12"/>
      <c r="D45" s="12"/>
      <c r="E45" s="9"/>
      <c r="F45" s="12" t="s">
        <v>97</v>
      </c>
      <c r="G45" s="12"/>
      <c r="H45" s="20"/>
      <c r="I45" s="44"/>
      <c r="J45" s="141"/>
    </row>
    <row r="46" spans="2:10" ht="12.75" customHeight="1" thickBot="1">
      <c r="B46" s="21"/>
      <c r="C46" s="22"/>
      <c r="D46" s="22"/>
      <c r="E46" s="23"/>
      <c r="F46" s="22"/>
      <c r="G46" s="36"/>
      <c r="H46" s="49"/>
      <c r="I46" s="46"/>
      <c r="J46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B2:L54"/>
  <sheetViews>
    <sheetView zoomScaleSheetLayoutView="100" workbookViewId="0" topLeftCell="C9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61" t="s">
        <v>149</v>
      </c>
      <c r="C2" s="461"/>
      <c r="D2" s="461"/>
      <c r="E2" s="461"/>
      <c r="F2" s="461"/>
      <c r="G2" s="461"/>
      <c r="H2" s="461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1006340</v>
      </c>
      <c r="H7" s="343">
        <f>SUM(H8:H11)</f>
        <v>1006340</v>
      </c>
      <c r="I7" s="20">
        <f>SUM(I8:I11)</f>
        <v>967359</v>
      </c>
      <c r="J7" s="139">
        <f aca="true" t="shared" si="0" ref="J7:J42">IF(H7=0,"",I7/H7*100)</f>
        <v>96.12645825466542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45">
        <f>815260+8000+2350+1870</f>
        <v>827480</v>
      </c>
      <c r="H8" s="345">
        <f>815260+8000+2350+1870</f>
        <v>827480</v>
      </c>
      <c r="I8" s="104">
        <v>797509</v>
      </c>
      <c r="J8" s="140">
        <f t="shared" si="0"/>
        <v>96.37803934838304</v>
      </c>
      <c r="K8" s="95"/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160410+1600+2700+630+52*260</f>
        <v>178860</v>
      </c>
      <c r="H9" s="345">
        <f>160410+1600+2700+630+52*260</f>
        <v>178860</v>
      </c>
      <c r="I9" s="104">
        <v>169850</v>
      </c>
      <c r="J9" s="140">
        <f t="shared" si="0"/>
        <v>94.96254053449626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10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87550</v>
      </c>
      <c r="H13" s="343">
        <f>H14</f>
        <v>87550</v>
      </c>
      <c r="I13" s="96">
        <f>I14</f>
        <v>87411</v>
      </c>
      <c r="J13" s="139">
        <f t="shared" si="0"/>
        <v>99.84123358081096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86340+1000+210</f>
        <v>87550</v>
      </c>
      <c r="H14" s="345">
        <f>86340+1000+210</f>
        <v>87550</v>
      </c>
      <c r="I14" s="104">
        <v>87411</v>
      </c>
      <c r="J14" s="140">
        <f t="shared" si="0"/>
        <v>99.84123358081096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97500</v>
      </c>
      <c r="H17" s="50">
        <f>SUM(H18:H27)</f>
        <v>97500</v>
      </c>
      <c r="I17" s="50">
        <f>SUM(I18:I27)</f>
        <v>90450</v>
      </c>
      <c r="J17" s="139">
        <f t="shared" si="0"/>
        <v>92.76923076923077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04">
        <v>5000</v>
      </c>
      <c r="H18" s="104">
        <v>5200</v>
      </c>
      <c r="I18" s="104">
        <v>5109</v>
      </c>
      <c r="J18" s="140">
        <f t="shared" si="0"/>
        <v>98.25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04">
        <v>32000</v>
      </c>
      <c r="H19" s="104">
        <v>32450</v>
      </c>
      <c r="I19" s="104">
        <v>27734</v>
      </c>
      <c r="J19" s="140">
        <f t="shared" si="0"/>
        <v>85.4668721109399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104">
        <v>6000</v>
      </c>
      <c r="H20" s="104">
        <v>6000</v>
      </c>
      <c r="I20" s="104">
        <v>5523</v>
      </c>
      <c r="J20" s="140">
        <f t="shared" si="0"/>
        <v>92.05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12000</v>
      </c>
      <c r="H21" s="104">
        <v>12750</v>
      </c>
      <c r="I21" s="104">
        <v>12380</v>
      </c>
      <c r="J21" s="140">
        <f t="shared" si="0"/>
        <v>97.09803921568627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500</v>
      </c>
      <c r="H22" s="104">
        <v>300</v>
      </c>
      <c r="I22" s="104">
        <v>116</v>
      </c>
      <c r="J22" s="140">
        <f t="shared" si="0"/>
        <v>38.666666666666664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8000</v>
      </c>
      <c r="H24" s="104">
        <v>7250</v>
      </c>
      <c r="I24" s="104">
        <v>6841</v>
      </c>
      <c r="J24" s="140">
        <f t="shared" si="0"/>
        <v>94.35862068965517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04">
        <v>34000</v>
      </c>
      <c r="H26" s="104">
        <v>33550</v>
      </c>
      <c r="I26" s="104">
        <v>32747</v>
      </c>
      <c r="J26" s="140">
        <f t="shared" si="0"/>
        <v>97.60655737704919</v>
      </c>
      <c r="K26" s="83"/>
      <c r="L26" s="83"/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  <c r="K27" s="83"/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8000</v>
      </c>
      <c r="H36" s="96">
        <f>SUM(H37:H39)</f>
        <v>8000</v>
      </c>
      <c r="I36" s="96">
        <f>SUM(I37:I39)</f>
        <v>6733</v>
      </c>
      <c r="J36" s="139">
        <f t="shared" si="0"/>
        <v>84.1625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5000</v>
      </c>
      <c r="H37" s="104">
        <v>5000</v>
      </c>
      <c r="I37" s="104">
        <v>3770</v>
      </c>
      <c r="J37" s="140">
        <f t="shared" si="0"/>
        <v>75.4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3000</v>
      </c>
      <c r="H38" s="104">
        <v>3000</v>
      </c>
      <c r="I38" s="104">
        <v>2963</v>
      </c>
      <c r="J38" s="140">
        <f t="shared" si="0"/>
        <v>98.76666666666667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104"/>
      <c r="H40" s="104"/>
      <c r="I40" s="104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704</v>
      </c>
      <c r="H41" s="25" t="s">
        <v>704</v>
      </c>
      <c r="I41" s="25" t="s">
        <v>755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1199390</v>
      </c>
      <c r="H42" s="20">
        <f>H7+H13+H17+H36</f>
        <v>1199390</v>
      </c>
      <c r="I42" s="20">
        <f>I7+I13+I17+I36</f>
        <v>1151953</v>
      </c>
      <c r="J42" s="139">
        <f t="shared" si="0"/>
        <v>96.04490616063165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13"/>
  <sheetViews>
    <sheetView zoomScalePageLayoutView="0" workbookViewId="0" topLeftCell="A10">
      <selection activeCell="G29" sqref="G29"/>
    </sheetView>
  </sheetViews>
  <sheetFormatPr defaultColWidth="9.140625" defaultRowHeight="15" customHeight="1"/>
  <cols>
    <col min="1" max="1" width="50.00390625" style="0" customWidth="1"/>
    <col min="2" max="2" width="17.421875" style="0" customWidth="1"/>
    <col min="3" max="3" width="18.28125" style="0" customWidth="1"/>
    <col min="4" max="4" width="8.8515625" style="0" customWidth="1"/>
    <col min="5" max="5" width="6.421875" style="0" customWidth="1"/>
    <col min="7" max="8" width="15.7109375" style="0" customWidth="1"/>
    <col min="9" max="9" width="8.7109375" style="0" customWidth="1"/>
  </cols>
  <sheetData>
    <row r="1" spans="1:26" ht="15" customHeight="1">
      <c r="A1" s="444"/>
      <c r="B1" s="444"/>
      <c r="C1" s="444"/>
      <c r="D1" s="444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" customHeight="1">
      <c r="A2" s="444"/>
      <c r="B2" s="444"/>
      <c r="C2" s="444"/>
      <c r="D2" s="444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" customHeight="1">
      <c r="A3" s="444"/>
      <c r="B3" s="444"/>
      <c r="C3" s="444"/>
      <c r="D3" s="444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0.5" customHeight="1">
      <c r="A4" s="444"/>
      <c r="B4" s="444"/>
      <c r="C4" s="444"/>
      <c r="D4" s="444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9" customHeight="1" hidden="1">
      <c r="A5" s="428"/>
      <c r="B5" s="428"/>
      <c r="C5" s="428"/>
      <c r="D5" s="428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9" customHeight="1">
      <c r="A6" s="254"/>
      <c r="B6" s="254"/>
      <c r="C6" s="254"/>
      <c r="D6" s="254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8.75" customHeight="1">
      <c r="A7" s="443" t="s">
        <v>661</v>
      </c>
      <c r="B7" s="443"/>
      <c r="C7" s="443"/>
      <c r="D7" s="443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5" customHeight="1">
      <c r="A8" s="445" t="s">
        <v>671</v>
      </c>
      <c r="B8" s="445"/>
      <c r="C8" s="445"/>
      <c r="D8" s="445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6.75" customHeight="1">
      <c r="A9" s="52"/>
      <c r="B9" s="51"/>
      <c r="C9" s="51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5.5" customHeight="1">
      <c r="A10" s="446"/>
      <c r="B10" s="446"/>
      <c r="C10" s="446"/>
      <c r="D10" s="44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6.5" customHeight="1">
      <c r="A11" s="310"/>
      <c r="B11" s="309"/>
      <c r="C11" s="309"/>
      <c r="D11" s="30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0.5" customHeight="1">
      <c r="A12" s="70"/>
      <c r="B12" s="70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40.5" customHeight="1">
      <c r="A13" s="211" t="s">
        <v>312</v>
      </c>
      <c r="B13" s="248" t="s">
        <v>672</v>
      </c>
      <c r="C13" s="248" t="s">
        <v>673</v>
      </c>
      <c r="D13" s="248" t="s">
        <v>442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204" customFormat="1" ht="12.75" customHeight="1">
      <c r="A14" s="207">
        <v>1</v>
      </c>
      <c r="B14" s="208">
        <v>2</v>
      </c>
      <c r="C14" s="208">
        <v>3</v>
      </c>
      <c r="D14" s="207">
        <v>4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ht="15" customHeight="1">
      <c r="A15" s="206" t="s">
        <v>460</v>
      </c>
      <c r="B15" s="214">
        <f>B16+B24+B25+B26+B27</f>
        <v>40289760</v>
      </c>
      <c r="C15" s="214">
        <f>C16+C24+C25+C26+C27</f>
        <v>39473491</v>
      </c>
      <c r="D15" s="223">
        <f>IF(B15=0,,C15/B15*100)</f>
        <v>97.97400381635433</v>
      </c>
      <c r="E15" s="201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5" customHeight="1">
      <c r="A16" s="202" t="s">
        <v>456</v>
      </c>
      <c r="B16" s="210">
        <f>SUM(B17:B23)</f>
        <v>35193230</v>
      </c>
      <c r="C16" s="210">
        <f>SUM(C17:C23)</f>
        <v>34924232</v>
      </c>
      <c r="D16" s="224">
        <f aca="true" t="shared" si="0" ref="D16:D51">IF(B16=0,,C16/B16*100)</f>
        <v>99.2356541300699</v>
      </c>
      <c r="E16" s="201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" customHeight="1">
      <c r="A17" s="203" t="s">
        <v>444</v>
      </c>
      <c r="B17" s="221">
        <f>Prihodi!D6</f>
        <v>3764320</v>
      </c>
      <c r="C17" s="221">
        <f>Prihodi!E6</f>
        <v>3928766</v>
      </c>
      <c r="D17" s="299">
        <f t="shared" si="0"/>
        <v>104.3685446508267</v>
      </c>
      <c r="E17" s="20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5" ht="15" customHeight="1">
      <c r="A18" s="203" t="s">
        <v>445</v>
      </c>
      <c r="B18" s="221">
        <f>Prihodi!D15</f>
        <v>1450</v>
      </c>
      <c r="C18" s="221">
        <f>Prihodi!E15</f>
        <v>1360</v>
      </c>
      <c r="D18" s="225">
        <f t="shared" si="0"/>
        <v>93.79310344827586</v>
      </c>
      <c r="E18" s="201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5" customHeight="1">
      <c r="A19" s="203" t="s">
        <v>446</v>
      </c>
      <c r="B19" s="221">
        <f>Prihodi!D19</f>
        <v>388650</v>
      </c>
      <c r="C19" s="221">
        <f>Prihodi!E19</f>
        <v>371556</v>
      </c>
      <c r="D19" s="231">
        <f t="shared" si="0"/>
        <v>95.60169818602856</v>
      </c>
      <c r="E19" s="201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5" customHeight="1">
      <c r="A20" s="203" t="s">
        <v>447</v>
      </c>
      <c r="B20" s="222">
        <f>Prihodi!D27</f>
        <v>2330</v>
      </c>
      <c r="C20" s="222">
        <f>Prihodi!E27</f>
        <v>2491</v>
      </c>
      <c r="D20" s="226">
        <f t="shared" si="0"/>
        <v>106.9098712446352</v>
      </c>
      <c r="E20" s="20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15" customHeight="1">
      <c r="A21" s="203" t="s">
        <v>448</v>
      </c>
      <c r="B21" s="222">
        <f>Prihodi!D37</f>
        <v>2566390</v>
      </c>
      <c r="C21" s="222">
        <f>Prihodi!E37</f>
        <v>2612607</v>
      </c>
      <c r="D21" s="226">
        <f t="shared" si="0"/>
        <v>101.80085645595565</v>
      </c>
      <c r="E21" s="20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5" customHeight="1">
      <c r="A22" s="203" t="s">
        <v>449</v>
      </c>
      <c r="B22" s="222">
        <f>Prihodi!D46</f>
        <v>28469880</v>
      </c>
      <c r="C22" s="222">
        <f>Prihodi!E46</f>
        <v>28007266</v>
      </c>
      <c r="D22" s="226">
        <f t="shared" si="0"/>
        <v>98.37507569403174</v>
      </c>
      <c r="E22" s="201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5" customHeight="1">
      <c r="A23" s="203" t="s">
        <v>450</v>
      </c>
      <c r="B23" s="222">
        <f>Prihodi!D50</f>
        <v>210</v>
      </c>
      <c r="C23" s="222">
        <f>Prihodi!E50</f>
        <v>186</v>
      </c>
      <c r="D23" s="226">
        <f t="shared" si="0"/>
        <v>88.57142857142857</v>
      </c>
      <c r="E23" s="20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6" ht="15" customHeight="1">
      <c r="A24" s="202" t="s">
        <v>451</v>
      </c>
      <c r="B24" s="210">
        <f>Prihodi!D56</f>
        <v>2727620</v>
      </c>
      <c r="C24" s="210">
        <f>Prihodi!E56</f>
        <v>2620290</v>
      </c>
      <c r="D24" s="224">
        <f t="shared" si="0"/>
        <v>96.06506771471099</v>
      </c>
      <c r="E24" s="201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5" customHeight="1">
      <c r="A25" s="202" t="s">
        <v>526</v>
      </c>
      <c r="B25" s="210">
        <f>Prihodi!D148</f>
        <v>1703220</v>
      </c>
      <c r="C25" s="210">
        <f>Prihodi!E148</f>
        <v>1461387</v>
      </c>
      <c r="D25" s="224">
        <f t="shared" si="0"/>
        <v>85.80142318666995</v>
      </c>
      <c r="E25" s="201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" customHeight="1">
      <c r="A26" s="202" t="s">
        <v>527</v>
      </c>
      <c r="B26" s="210">
        <f>Prihodi!D181</f>
        <v>644220</v>
      </c>
      <c r="C26" s="210">
        <f>Prihodi!E181</f>
        <v>446210</v>
      </c>
      <c r="D26" s="224">
        <f t="shared" si="0"/>
        <v>69.26360560057122</v>
      </c>
      <c r="E26" s="2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" customHeight="1">
      <c r="A27" s="202" t="s">
        <v>459</v>
      </c>
      <c r="B27" s="210">
        <f>Prihodi!D207</f>
        <v>21470</v>
      </c>
      <c r="C27" s="210">
        <f>Prihodi!E207</f>
        <v>21372</v>
      </c>
      <c r="D27" s="224">
        <f t="shared" si="0"/>
        <v>99.54354913833255</v>
      </c>
      <c r="E27" s="201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5" ht="15" customHeight="1">
      <c r="A28" s="206" t="s">
        <v>665</v>
      </c>
      <c r="B28" s="214">
        <f>SUM(B29:B35)</f>
        <v>36879110</v>
      </c>
      <c r="C28" s="214">
        <f>SUM(C29:C35)</f>
        <v>36037632</v>
      </c>
      <c r="D28" s="227">
        <f t="shared" si="0"/>
        <v>97.71828007780015</v>
      </c>
      <c r="E28" s="201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s="68" customFormat="1" ht="15" customHeight="1">
      <c r="A29" s="209" t="s">
        <v>626</v>
      </c>
      <c r="B29" s="300">
        <f>Rashodi!F8</f>
        <v>690000</v>
      </c>
      <c r="C29" s="300">
        <f>Rashodi!G8</f>
        <v>685775</v>
      </c>
      <c r="D29" s="301">
        <f t="shared" si="0"/>
        <v>99.3876811594203</v>
      </c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</row>
    <row r="30" spans="1:25" s="68" customFormat="1" ht="15" customHeight="1">
      <c r="A30" s="209" t="s">
        <v>627</v>
      </c>
      <c r="B30" s="300">
        <f>Rashodi!F14</f>
        <v>19584020</v>
      </c>
      <c r="C30" s="300">
        <f>Rashodi!G14</f>
        <v>19274674</v>
      </c>
      <c r="D30" s="301">
        <f t="shared" si="0"/>
        <v>98.42041623732001</v>
      </c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</row>
    <row r="31" spans="1:26" ht="15" customHeight="1">
      <c r="A31" s="297" t="s">
        <v>628</v>
      </c>
      <c r="B31" s="302">
        <f>Rashodi!F20</f>
        <v>1888210</v>
      </c>
      <c r="C31" s="302">
        <f>Rashodi!G20</f>
        <v>1875812</v>
      </c>
      <c r="D31" s="303">
        <f t="shared" si="0"/>
        <v>99.34339930410283</v>
      </c>
      <c r="E31" s="201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5" ht="15" customHeight="1">
      <c r="A32" s="297" t="s">
        <v>629</v>
      </c>
      <c r="B32" s="302">
        <f>Rashodi!F23</f>
        <v>4571650</v>
      </c>
      <c r="C32" s="302">
        <f>Rashodi!G23</f>
        <v>4284813</v>
      </c>
      <c r="D32" s="303">
        <f>IF(B32=0,,C32/B32*100)</f>
        <v>93.72574453424912</v>
      </c>
      <c r="E32" s="201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15" customHeight="1">
      <c r="A33" s="297" t="s">
        <v>630</v>
      </c>
      <c r="B33" s="302">
        <f>Rashodi!F45</f>
        <v>9665000</v>
      </c>
      <c r="C33" s="302">
        <f>Rashodi!G45</f>
        <v>9439310</v>
      </c>
      <c r="D33" s="303">
        <f t="shared" si="0"/>
        <v>97.66487325400931</v>
      </c>
      <c r="E33" s="201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5" customHeight="1">
      <c r="A34" s="297" t="s">
        <v>631</v>
      </c>
      <c r="B34" s="302">
        <f>Rashodi!F85</f>
        <v>400000</v>
      </c>
      <c r="C34" s="302">
        <f>Rashodi!G85</f>
        <v>400000</v>
      </c>
      <c r="D34" s="303">
        <f>IF(B34=0,,C34/B34*100)</f>
        <v>100</v>
      </c>
      <c r="E34" s="201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5" customHeight="1" thickBot="1">
      <c r="A35" s="298" t="s">
        <v>632</v>
      </c>
      <c r="B35" s="304">
        <f>Rashodi!F89</f>
        <v>80230</v>
      </c>
      <c r="C35" s="304">
        <f>Rashodi!G89</f>
        <v>77248</v>
      </c>
      <c r="D35" s="305">
        <f t="shared" si="0"/>
        <v>96.28318584070796</v>
      </c>
      <c r="E35" s="201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15" customHeight="1" thickBot="1" thickTop="1">
      <c r="A36" s="215" t="s">
        <v>454</v>
      </c>
      <c r="B36" s="216">
        <f>B15-B28</f>
        <v>3410650</v>
      </c>
      <c r="C36" s="216">
        <f>C15-C28</f>
        <v>3435859</v>
      </c>
      <c r="D36" s="228">
        <f t="shared" si="0"/>
        <v>100.73912597305498</v>
      </c>
      <c r="E36" s="201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5" customHeight="1" thickTop="1">
      <c r="A37" s="206" t="s">
        <v>452</v>
      </c>
      <c r="B37" s="214">
        <f>Prihodi!D213</f>
        <v>53470</v>
      </c>
      <c r="C37" s="214">
        <f>Prihodi!E213</f>
        <v>62017</v>
      </c>
      <c r="D37" s="227">
        <f t="shared" si="0"/>
        <v>115.98466429773704</v>
      </c>
      <c r="E37" s="201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15" customHeight="1">
      <c r="A38" s="206" t="s">
        <v>453</v>
      </c>
      <c r="B38" s="214">
        <f>B39</f>
        <v>1988650</v>
      </c>
      <c r="C38" s="214">
        <f>C39</f>
        <v>1977019</v>
      </c>
      <c r="D38" s="227">
        <f t="shared" si="0"/>
        <v>99.41513086767405</v>
      </c>
      <c r="E38" s="201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6" ht="15" customHeight="1" thickBot="1">
      <c r="A39" s="203" t="s">
        <v>633</v>
      </c>
      <c r="B39" s="221">
        <f>Rashodi!F96</f>
        <v>1988650</v>
      </c>
      <c r="C39" s="221">
        <f>Rashodi!G96</f>
        <v>1977019</v>
      </c>
      <c r="D39" s="231">
        <f>IF(B39=0,,C39/B39*100)</f>
        <v>99.41513086767405</v>
      </c>
      <c r="E39" s="201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5" ht="15" customHeight="1" thickBot="1" thickTop="1">
      <c r="A40" s="217" t="s">
        <v>455</v>
      </c>
      <c r="B40" s="218">
        <f>B37-B38</f>
        <v>-1935180</v>
      </c>
      <c r="C40" s="218">
        <f>C37-C38</f>
        <v>-1915002</v>
      </c>
      <c r="D40" s="229">
        <f t="shared" si="0"/>
        <v>98.95730629708865</v>
      </c>
      <c r="E40" s="201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ht="24.75" customHeight="1" thickBot="1" thickTop="1">
      <c r="A41" s="215" t="s">
        <v>467</v>
      </c>
      <c r="B41" s="216">
        <f>B36+B40</f>
        <v>1475470</v>
      </c>
      <c r="C41" s="216">
        <f>C36+C40</f>
        <v>1520857</v>
      </c>
      <c r="D41" s="228">
        <f t="shared" si="0"/>
        <v>103.07610456329171</v>
      </c>
      <c r="E41" s="201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15" customHeight="1" thickTop="1">
      <c r="A42" s="206" t="s">
        <v>457</v>
      </c>
      <c r="B42" s="214">
        <f>0</f>
        <v>0</v>
      </c>
      <c r="C42" s="214">
        <f>0</f>
        <v>0</v>
      </c>
      <c r="D42" s="227">
        <f t="shared" si="0"/>
        <v>0</v>
      </c>
      <c r="E42" s="201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26.25" customHeight="1">
      <c r="A43" s="194" t="s">
        <v>458</v>
      </c>
      <c r="B43" s="214">
        <f>B44</f>
        <v>1459600</v>
      </c>
      <c r="C43" s="214">
        <f>C44</f>
        <v>1459555</v>
      </c>
      <c r="D43" s="227">
        <f t="shared" si="0"/>
        <v>99.99691696355167</v>
      </c>
      <c r="E43" s="201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6" ht="15" customHeight="1" thickBot="1">
      <c r="A44" s="203" t="s">
        <v>461</v>
      </c>
      <c r="B44" s="221">
        <f>Rashodi!F103</f>
        <v>1459600</v>
      </c>
      <c r="C44" s="221">
        <f>Rashodi!G103</f>
        <v>1459555</v>
      </c>
      <c r="D44" s="231">
        <f t="shared" si="0"/>
        <v>99.99691696355167</v>
      </c>
      <c r="E44" s="201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5" ht="15" customHeight="1" thickBot="1" thickTop="1">
      <c r="A45" s="217" t="s">
        <v>462</v>
      </c>
      <c r="B45" s="218">
        <f>B42-B43</f>
        <v>-1459600</v>
      </c>
      <c r="C45" s="218">
        <f>C42-C43</f>
        <v>-1459555</v>
      </c>
      <c r="D45" s="229">
        <f t="shared" si="0"/>
        <v>99.99691696355167</v>
      </c>
      <c r="E45" s="201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ht="15" customHeight="1" thickBot="1" thickTop="1">
      <c r="A46" s="217" t="s">
        <v>463</v>
      </c>
      <c r="B46" s="218">
        <f>B41+B45</f>
        <v>15870</v>
      </c>
      <c r="C46" s="218">
        <f>C41+C45</f>
        <v>61302</v>
      </c>
      <c r="D46" s="229">
        <f t="shared" si="0"/>
        <v>386.2759924385633</v>
      </c>
      <c r="E46" s="201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ht="15" customHeight="1" thickBot="1" thickTop="1">
      <c r="A47" s="217" t="s">
        <v>464</v>
      </c>
      <c r="B47" s="218">
        <f>B46</f>
        <v>15870</v>
      </c>
      <c r="C47" s="218">
        <f>C46</f>
        <v>61302</v>
      </c>
      <c r="D47" s="229">
        <f t="shared" si="0"/>
        <v>386.2759924385633</v>
      </c>
      <c r="E47" s="20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ht="9.75" customHeight="1" thickTop="1">
      <c r="A48" s="219"/>
      <c r="B48" s="220"/>
      <c r="C48" s="220"/>
      <c r="D48" s="230"/>
      <c r="E48" s="201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ht="15" customHeight="1">
      <c r="A49" s="206" t="s">
        <v>443</v>
      </c>
      <c r="B49" s="214">
        <f>B15+B37+B42</f>
        <v>40343230</v>
      </c>
      <c r="C49" s="214">
        <f>C15+C37+C42</f>
        <v>39535508</v>
      </c>
      <c r="D49" s="227">
        <f t="shared" si="0"/>
        <v>97.99787473635601</v>
      </c>
      <c r="E49" s="201"/>
      <c r="F49" s="321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ht="15" customHeight="1">
      <c r="A50" s="206" t="s">
        <v>635</v>
      </c>
      <c r="B50" s="214">
        <f>B28+B38+B43</f>
        <v>40327360</v>
      </c>
      <c r="C50" s="214">
        <f>C28+C38+C43</f>
        <v>39474206</v>
      </c>
      <c r="D50" s="227">
        <f t="shared" si="0"/>
        <v>97.88442883441911</v>
      </c>
      <c r="E50" s="201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6" ht="15" customHeight="1">
      <c r="A51" s="206" t="s">
        <v>634</v>
      </c>
      <c r="B51" s="214">
        <f>B49-B50</f>
        <v>15870</v>
      </c>
      <c r="C51" s="214">
        <f>C49-C50</f>
        <v>61302</v>
      </c>
      <c r="D51" s="227">
        <f t="shared" si="0"/>
        <v>386.2759924385633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" customHeight="1">
      <c r="A52" s="212"/>
      <c r="B52" s="307"/>
      <c r="C52" s="307"/>
      <c r="D52" s="308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" customHeight="1">
      <c r="A53" s="53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6:26" ht="10.5" customHeight="1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6:26" ht="15.75" customHeight="1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27" customHeight="1">
      <c r="A56" s="447"/>
      <c r="B56" s="446"/>
      <c r="C56" s="446"/>
      <c r="D56" s="44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" customHeight="1">
      <c r="A58" s="80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5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5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5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5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5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5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5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5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5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5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5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5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5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5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5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5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5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5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5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5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5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5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5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5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5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5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5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5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6:26" ht="15" customHeight="1"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6:26" ht="15" customHeight="1"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6:26" ht="15" customHeight="1"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6:26" ht="15" customHeight="1"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6:26" ht="15" customHeight="1"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6:26" ht="15" customHeight="1"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6:26" ht="15" customHeight="1"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6:26" ht="15" customHeight="1"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6:26" ht="15" customHeight="1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6:26" ht="15" customHeight="1"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6:26" ht="15" customHeight="1"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6:26" ht="15" customHeight="1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6:26" ht="15" customHeight="1"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6:26" ht="15" customHeight="1"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6:26" ht="15" customHeight="1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6:26" ht="15" customHeight="1"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6:26" ht="15" customHeight="1"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6:26" ht="15" customHeight="1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6:26" ht="15" customHeight="1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6:26" ht="15" customHeight="1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6:26" ht="15" customHeight="1"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6:26" ht="15" customHeight="1"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6:26" ht="15" customHeight="1"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6:26" ht="15" customHeight="1"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6:26" ht="15" customHeight="1"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6:26" ht="15" customHeight="1"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6:26" ht="15" customHeight="1"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6:26" ht="15" customHeight="1"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6:26" ht="15" customHeight="1"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6:26" ht="15" customHeight="1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6:26" ht="15" customHeight="1"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6:26" ht="15" customHeight="1"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6:26" ht="15" customHeight="1"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6:26" ht="15" customHeight="1"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6:26" ht="15" customHeight="1"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6:26" ht="15" customHeight="1"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6:26" ht="15" customHeight="1"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6:26" ht="15" customHeight="1"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6:26" ht="15" customHeight="1"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6:26" ht="15" customHeight="1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6:26" ht="15" customHeight="1"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6:26" ht="15" customHeight="1"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6:26" ht="15" customHeight="1"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6:26" ht="15" customHeight="1"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6:26" ht="15" customHeight="1"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6:26" ht="15" customHeight="1"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6:26" ht="15" customHeight="1"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6:26" ht="15" customHeight="1"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6:26" ht="15" customHeight="1"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6:26" ht="15" customHeight="1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6:26" ht="15" customHeight="1"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6:26" ht="15" customHeight="1"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6:26" ht="15" customHeight="1"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6:26" ht="15" customHeight="1"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6:26" ht="15" customHeight="1"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6:26" ht="15" customHeight="1"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6:26" ht="15" customHeight="1"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6:26" ht="15" customHeight="1"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6:26" ht="15" customHeight="1"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6:26" ht="15" customHeight="1"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6:26" ht="15" customHeight="1"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6:26" ht="15" customHeight="1"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6:26" ht="15" customHeight="1"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6:26" ht="15" customHeight="1"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6:26" ht="15" customHeight="1"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6:26" ht="15" customHeight="1"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6:26" ht="15" customHeight="1"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6:26" ht="15" customHeight="1"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6:26" ht="15" customHeight="1"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6:26" ht="15" customHeight="1"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6:26" ht="15" customHeight="1"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6:26" ht="15" customHeight="1"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6:26" ht="15" customHeight="1"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6:26" ht="15" customHeight="1"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6:26" ht="15" customHeight="1"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6:26" ht="15" customHeight="1"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6:26" ht="15" customHeight="1"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6:26" ht="15" customHeight="1"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6:26" ht="15" customHeight="1"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6:26" ht="15" customHeight="1"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6:26" ht="15" customHeight="1"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6:26" ht="15" customHeight="1"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6:26" ht="15" customHeight="1"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6:26" ht="15" customHeight="1"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6:26" ht="15" customHeight="1"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6:26" ht="15" customHeight="1"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6:26" ht="15" customHeight="1"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6:26" ht="15" customHeight="1"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6:26" ht="15" customHeight="1"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6:26" ht="15" customHeight="1"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6:26" ht="15" customHeight="1"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6:26" ht="15" customHeight="1"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6:26" ht="15" customHeight="1"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6:26" ht="15" customHeight="1"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6:26" ht="15" customHeight="1"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6:26" ht="15" customHeight="1"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6:26" ht="15" customHeight="1"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6:26" ht="15" customHeight="1"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6:26" ht="15" customHeight="1"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6:26" ht="15" customHeight="1"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6:26" ht="15" customHeight="1"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6:26" ht="15" customHeight="1"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6:26" ht="15" customHeight="1"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6:26" ht="15" customHeight="1"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6:26" ht="15" customHeight="1"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6:26" ht="15" customHeight="1"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6:26" ht="15" customHeight="1"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6:26" ht="15" customHeight="1"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6:26" ht="15" customHeight="1"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6:26" ht="15" customHeight="1"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6:26" ht="15" customHeight="1"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6:26" ht="15" customHeight="1"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6:26" ht="15" customHeight="1"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6:26" ht="15" customHeight="1"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6:26" ht="15" customHeight="1"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6:26" ht="15" customHeight="1"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6:26" ht="15" customHeight="1"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6:26" ht="15" customHeight="1"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6:26" ht="15" customHeight="1"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6:26" ht="15" customHeight="1"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6:26" ht="15" customHeight="1"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6:26" ht="15" customHeight="1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6:26" ht="15" customHeight="1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6:26" ht="15" customHeight="1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6:26" ht="15" customHeight="1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6:26" ht="15" customHeight="1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6:26" ht="15" customHeight="1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6:26" ht="15" customHeight="1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6:26" ht="15" customHeight="1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6:26" ht="15" customHeight="1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6:26" ht="15" customHeight="1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6:26" ht="15" customHeight="1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6:26" ht="15" customHeight="1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6:26" ht="15" customHeight="1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6:26" ht="15" customHeight="1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6:26" ht="15" customHeight="1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6:26" ht="15" customHeight="1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</sheetData>
  <sheetProtection/>
  <mergeCells count="5">
    <mergeCell ref="A1:D5"/>
    <mergeCell ref="A7:D7"/>
    <mergeCell ref="A8:D8"/>
    <mergeCell ref="A10:D10"/>
    <mergeCell ref="A56:D56"/>
  </mergeCells>
  <printOptions/>
  <pageMargins left="0.71" right="0.31" top="0.52" bottom="0.5" header="0.5" footer="0.5"/>
  <pageSetup horizontalDpi="600" verticalDpi="600" orientation="portrait" paperSize="9" scale="88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B2:L54"/>
  <sheetViews>
    <sheetView workbookViewId="0" topLeftCell="C10">
      <selection activeCell="N36" sqref="N3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59" t="s">
        <v>174</v>
      </c>
      <c r="C2" s="459"/>
      <c r="D2" s="459"/>
      <c r="E2" s="459"/>
      <c r="F2" s="459"/>
      <c r="G2" s="459"/>
      <c r="H2" s="459"/>
      <c r="I2" s="459"/>
      <c r="J2" s="13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122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2072170</v>
      </c>
      <c r="H7" s="343">
        <f>SUM(H8:H11)</f>
        <v>2072170</v>
      </c>
      <c r="I7" s="20">
        <f>SUM(I8:I11)</f>
        <v>2046845</v>
      </c>
      <c r="J7" s="139">
        <f aca="true" t="shared" si="0" ref="J7:J42">IF(H7=0,"",I7/H7*100)</f>
        <v>98.7778512380741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4">
        <f>1667680+7000</f>
        <v>1674680</v>
      </c>
      <c r="H8" s="344">
        <f>1667680+7000</f>
        <v>1674680</v>
      </c>
      <c r="I8" s="78">
        <v>1658718</v>
      </c>
      <c r="J8" s="140">
        <f t="shared" si="0"/>
        <v>99.0468626842143</v>
      </c>
    </row>
    <row r="9" spans="2:12" ht="12.75" customHeight="1">
      <c r="B9" s="14"/>
      <c r="C9" s="15"/>
      <c r="D9" s="15"/>
      <c r="E9" s="16">
        <v>611200</v>
      </c>
      <c r="F9" s="15" t="s">
        <v>204</v>
      </c>
      <c r="G9" s="344">
        <f>364160+3700+2590+104*260</f>
        <v>397490</v>
      </c>
      <c r="H9" s="344">
        <f>364160+3700+2590+104*260</f>
        <v>397490</v>
      </c>
      <c r="I9" s="78">
        <v>388127</v>
      </c>
      <c r="J9" s="140">
        <f t="shared" si="0"/>
        <v>97.64446904324637</v>
      </c>
      <c r="L9" s="83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4"/>
      <c r="H11" s="344"/>
      <c r="I11" s="78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183580</v>
      </c>
      <c r="H13" s="343">
        <f>H14</f>
        <v>183580</v>
      </c>
      <c r="I13" s="96">
        <f>I14</f>
        <v>183225</v>
      </c>
      <c r="J13" s="139">
        <f t="shared" si="0"/>
        <v>99.80662381523042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4">
        <f>182580+1000</f>
        <v>183580</v>
      </c>
      <c r="H14" s="344">
        <f>182580+1000</f>
        <v>183580</v>
      </c>
      <c r="I14" s="78">
        <v>183225</v>
      </c>
      <c r="J14" s="140">
        <f t="shared" si="0"/>
        <v>99.80662381523042</v>
      </c>
    </row>
    <row r="15" spans="2:10" ht="12.75" customHeight="1">
      <c r="B15" s="14"/>
      <c r="C15" s="15"/>
      <c r="D15" s="15"/>
      <c r="E15" s="16"/>
      <c r="F15" s="15"/>
      <c r="G15" s="78"/>
      <c r="H15" s="78"/>
      <c r="I15" s="78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50"/>
      <c r="H16" s="50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210000</v>
      </c>
      <c r="H17" s="50">
        <f>SUM(H18:H27)</f>
        <v>210000</v>
      </c>
      <c r="I17" s="50">
        <f>SUM(I18:I27)</f>
        <v>205293</v>
      </c>
      <c r="J17" s="139">
        <f t="shared" si="0"/>
        <v>97.75857142857143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12000</v>
      </c>
      <c r="H18" s="44">
        <v>10500</v>
      </c>
      <c r="I18" s="78">
        <v>10499</v>
      </c>
      <c r="J18" s="140">
        <f t="shared" si="0"/>
        <v>99.99047619047619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77000</v>
      </c>
      <c r="H19" s="44">
        <v>76520</v>
      </c>
      <c r="I19" s="44">
        <v>72043</v>
      </c>
      <c r="J19" s="140">
        <f t="shared" si="0"/>
        <v>94.14924202822792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4">
        <v>11000</v>
      </c>
      <c r="H20" s="44">
        <v>10640</v>
      </c>
      <c r="I20" s="44">
        <v>10638</v>
      </c>
      <c r="J20" s="140">
        <f t="shared" si="0"/>
        <v>99.98120300751879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20000</v>
      </c>
      <c r="H21" s="78">
        <v>19600</v>
      </c>
      <c r="I21" s="78">
        <v>19522</v>
      </c>
      <c r="J21" s="140">
        <f t="shared" si="0"/>
        <v>99.60204081632654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1500</v>
      </c>
      <c r="H22" s="78">
        <v>950</v>
      </c>
      <c r="I22" s="78">
        <v>947</v>
      </c>
      <c r="J22" s="140">
        <f t="shared" si="0"/>
        <v>99.68421052631578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0</v>
      </c>
      <c r="H23" s="78">
        <v>0</v>
      </c>
      <c r="I23" s="78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16500</v>
      </c>
      <c r="H24" s="78">
        <v>16220</v>
      </c>
      <c r="I24" s="78">
        <v>16213</v>
      </c>
      <c r="J24" s="140">
        <f t="shared" si="0"/>
        <v>99.95684340320592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0</v>
      </c>
      <c r="H25" s="78">
        <v>0</v>
      </c>
      <c r="I25" s="78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78">
        <v>72000</v>
      </c>
      <c r="H26" s="78">
        <v>75570</v>
      </c>
      <c r="I26" s="78">
        <v>75431</v>
      </c>
      <c r="J26" s="140">
        <f t="shared" si="0"/>
        <v>99.81606457588991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78"/>
      <c r="H28" s="78"/>
      <c r="I28" s="78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78"/>
      <c r="H29" s="78"/>
      <c r="I29" s="78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78"/>
      <c r="H30" s="78"/>
      <c r="I30" s="78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78"/>
      <c r="H31" s="78"/>
      <c r="I31" s="78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78"/>
      <c r="H32" s="78"/>
      <c r="I32" s="78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78"/>
      <c r="H33" s="78"/>
      <c r="I33" s="78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78"/>
      <c r="H34" s="78"/>
      <c r="I34" s="78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95700</v>
      </c>
      <c r="H36" s="96">
        <f>SUM(H37:H39)</f>
        <v>89360</v>
      </c>
      <c r="I36" s="96">
        <f>SUM(I37:I39)</f>
        <v>89062</v>
      </c>
      <c r="J36" s="139">
        <f t="shared" si="0"/>
        <v>99.66651745747538</v>
      </c>
    </row>
    <row r="37" spans="2:11" ht="12.75" customHeight="1">
      <c r="B37" s="14"/>
      <c r="C37" s="15"/>
      <c r="D37" s="15"/>
      <c r="E37" s="16">
        <v>821200</v>
      </c>
      <c r="F37" s="15" t="s">
        <v>93</v>
      </c>
      <c r="G37" s="78">
        <v>78000</v>
      </c>
      <c r="H37" s="78">
        <v>77120</v>
      </c>
      <c r="I37" s="78">
        <v>76830</v>
      </c>
      <c r="J37" s="140">
        <f t="shared" si="0"/>
        <v>99.62396265560166</v>
      </c>
      <c r="K37" s="77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78">
        <v>17700</v>
      </c>
      <c r="H38" s="78">
        <v>12240</v>
      </c>
      <c r="I38" s="78">
        <v>12232</v>
      </c>
      <c r="J38" s="140">
        <f t="shared" si="0"/>
        <v>99.93464052287581</v>
      </c>
    </row>
    <row r="39" spans="2:10" ht="12.75" customHeight="1">
      <c r="B39" s="14"/>
      <c r="C39" s="15"/>
      <c r="D39" s="15"/>
      <c r="E39" s="16"/>
      <c r="F39" s="26"/>
      <c r="G39" s="78"/>
      <c r="H39" s="78"/>
      <c r="I39" s="78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96"/>
      <c r="H40" s="96"/>
      <c r="I40" s="96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705</v>
      </c>
      <c r="H41" s="25" t="s">
        <v>705</v>
      </c>
      <c r="I41" s="25" t="s">
        <v>754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2561450</v>
      </c>
      <c r="H42" s="20">
        <f>H7+H13+H17+H36</f>
        <v>2555110</v>
      </c>
      <c r="I42" s="20">
        <f>I7+I13+I17+I36</f>
        <v>2524425</v>
      </c>
      <c r="J42" s="139">
        <f t="shared" si="0"/>
        <v>98.79907322972397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B2:L57"/>
  <sheetViews>
    <sheetView workbookViewId="0" topLeftCell="B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175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129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568430</v>
      </c>
      <c r="H7" s="343">
        <f>SUM(H8:H11)</f>
        <v>568430</v>
      </c>
      <c r="I7" s="20">
        <f>SUM(I8:I11)</f>
        <v>549383</v>
      </c>
      <c r="J7" s="139">
        <f aca="true" t="shared" si="0" ref="J7:J42">IF(H7=0,"",I7/H7*100)</f>
        <v>96.64919163309466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465300+4500</f>
        <v>469800</v>
      </c>
      <c r="H8" s="345">
        <f>465300+4500</f>
        <v>469800</v>
      </c>
      <c r="I8" s="45">
        <v>457240</v>
      </c>
      <c r="J8" s="140">
        <f t="shared" si="0"/>
        <v>97.32652192422307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89810+500+32*260</f>
        <v>98630</v>
      </c>
      <c r="H9" s="345">
        <f>89810+500+32*260</f>
        <v>98630</v>
      </c>
      <c r="I9" s="45">
        <v>92143</v>
      </c>
      <c r="J9" s="140">
        <f t="shared" si="0"/>
        <v>93.42289364290784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51100</v>
      </c>
      <c r="H13" s="343">
        <f>H14</f>
        <v>51100</v>
      </c>
      <c r="I13" s="20">
        <f>I14</f>
        <v>50706</v>
      </c>
      <c r="J13" s="139">
        <f t="shared" si="0"/>
        <v>99.22896281800392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50500+600</f>
        <v>51100</v>
      </c>
      <c r="H14" s="345">
        <f>50500+600</f>
        <v>51100</v>
      </c>
      <c r="I14" s="45">
        <v>50706</v>
      </c>
      <c r="J14" s="140">
        <f t="shared" si="0"/>
        <v>99.22896281800392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51600</v>
      </c>
      <c r="H17" s="50">
        <f>SUM(H18:H27)</f>
        <v>51600</v>
      </c>
      <c r="I17" s="50">
        <f>SUM(I18:I27)</f>
        <v>49711</v>
      </c>
      <c r="J17" s="139">
        <f t="shared" si="0"/>
        <v>96.3391472868217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3500</v>
      </c>
      <c r="H18" s="45">
        <v>3500</v>
      </c>
      <c r="I18" s="45">
        <v>3378</v>
      </c>
      <c r="J18" s="140">
        <f t="shared" si="0"/>
        <v>96.51428571428572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20500</v>
      </c>
      <c r="H19" s="45">
        <v>20050</v>
      </c>
      <c r="I19" s="45">
        <v>18876</v>
      </c>
      <c r="J19" s="140">
        <f t="shared" si="0"/>
        <v>94.14463840399002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3300</v>
      </c>
      <c r="H20" s="45">
        <v>3300</v>
      </c>
      <c r="I20" s="45">
        <v>3055</v>
      </c>
      <c r="J20" s="140">
        <f t="shared" si="0"/>
        <v>92.57575757575758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8000</v>
      </c>
      <c r="H21" s="45">
        <v>8000</v>
      </c>
      <c r="I21" s="45">
        <v>7781</v>
      </c>
      <c r="J21" s="140">
        <f t="shared" si="0"/>
        <v>97.2625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300</v>
      </c>
      <c r="H22" s="45">
        <v>300</v>
      </c>
      <c r="I22" s="45">
        <v>280</v>
      </c>
      <c r="J22" s="140">
        <f t="shared" si="0"/>
        <v>93.33333333333333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8500</v>
      </c>
      <c r="H24" s="104">
        <v>8500</v>
      </c>
      <c r="I24" s="104">
        <v>8465</v>
      </c>
      <c r="J24" s="140">
        <f t="shared" si="0"/>
        <v>99.58823529411764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7500</v>
      </c>
      <c r="H26" s="104">
        <v>7950</v>
      </c>
      <c r="I26" s="104">
        <v>7876</v>
      </c>
      <c r="J26" s="140">
        <f t="shared" si="0"/>
        <v>99.06918238993711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55050</v>
      </c>
      <c r="H36" s="96">
        <f>SUM(H37:H39)</f>
        <v>53520</v>
      </c>
      <c r="I36" s="96">
        <f>SUM(I37:I39)</f>
        <v>53489</v>
      </c>
      <c r="J36" s="139">
        <f t="shared" si="0"/>
        <v>99.94207772795217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52000</v>
      </c>
      <c r="H37" s="104">
        <v>50470</v>
      </c>
      <c r="I37" s="104">
        <v>50469</v>
      </c>
      <c r="J37" s="140">
        <f t="shared" si="0"/>
        <v>99.9980186249257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3050</v>
      </c>
      <c r="H38" s="104">
        <v>3050</v>
      </c>
      <c r="I38" s="104">
        <v>3020</v>
      </c>
      <c r="J38" s="140">
        <f t="shared" si="0"/>
        <v>99.01639344262296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664</v>
      </c>
      <c r="H41" s="25" t="s">
        <v>664</v>
      </c>
      <c r="I41" s="25" t="s">
        <v>664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726180</v>
      </c>
      <c r="H42" s="20">
        <f>H7+H13+H17+H36</f>
        <v>724650</v>
      </c>
      <c r="I42" s="20">
        <f>I7+I13+I17+I36</f>
        <v>703289</v>
      </c>
      <c r="J42" s="139">
        <f t="shared" si="0"/>
        <v>97.0522321120541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  <row r="55" ht="12.75">
      <c r="B55" s="77"/>
    </row>
    <row r="56" ht="12.75">
      <c r="B56" s="77"/>
    </row>
    <row r="57" ht="12.75">
      <c r="B57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B2:L52"/>
  <sheetViews>
    <sheetView workbookViewId="0" topLeftCell="C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176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130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752770</v>
      </c>
      <c r="H7" s="343">
        <f>SUM(H8:H11)</f>
        <v>752710</v>
      </c>
      <c r="I7" s="96">
        <f>SUM(I8:I11)</f>
        <v>735294</v>
      </c>
      <c r="J7" s="139">
        <f aca="true" t="shared" si="0" ref="J7:J42">IF(H7=0,"",I7/H7*100)</f>
        <v>97.68622709941411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613060+2500+3090</f>
        <v>618650</v>
      </c>
      <c r="H8" s="345">
        <v>618590</v>
      </c>
      <c r="I8" s="104">
        <v>610352</v>
      </c>
      <c r="J8" s="140">
        <f t="shared" si="0"/>
        <v>98.66826169191225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119590+700+2910+42*260</f>
        <v>134120</v>
      </c>
      <c r="H9" s="345">
        <f>119590+700+2910+42*260</f>
        <v>134120</v>
      </c>
      <c r="I9" s="104">
        <v>124942</v>
      </c>
      <c r="J9" s="140">
        <f t="shared" si="0"/>
        <v>93.15687444079929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10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67320</v>
      </c>
      <c r="H13" s="343">
        <f>H14</f>
        <v>67380</v>
      </c>
      <c r="I13" s="96">
        <f>I14</f>
        <v>67372</v>
      </c>
      <c r="J13" s="139">
        <f t="shared" si="0"/>
        <v>99.98812704066489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66970+350</f>
        <v>67320</v>
      </c>
      <c r="H14" s="345">
        <v>67380</v>
      </c>
      <c r="I14" s="104">
        <v>67372</v>
      </c>
      <c r="J14" s="140">
        <f t="shared" si="0"/>
        <v>99.98812704066489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64350</v>
      </c>
      <c r="H17" s="50">
        <f>SUM(H18:H27)</f>
        <v>64350</v>
      </c>
      <c r="I17" s="50">
        <f>SUM(I18:I27)</f>
        <v>54901</v>
      </c>
      <c r="J17" s="139">
        <f t="shared" si="0"/>
        <v>85.31623931623932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4800</v>
      </c>
      <c r="H18" s="45">
        <v>4800</v>
      </c>
      <c r="I18" s="45">
        <v>4714</v>
      </c>
      <c r="J18" s="140">
        <f t="shared" si="0"/>
        <v>98.20833333333333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30000</v>
      </c>
      <c r="H19" s="45">
        <v>30000</v>
      </c>
      <c r="I19" s="45">
        <v>22006</v>
      </c>
      <c r="J19" s="140">
        <f t="shared" si="0"/>
        <v>73.35333333333334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104">
        <v>3050</v>
      </c>
      <c r="H20" s="104">
        <v>3050</v>
      </c>
      <c r="I20" s="104">
        <v>3046</v>
      </c>
      <c r="J20" s="140">
        <f t="shared" si="0"/>
        <v>99.8688524590164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8300</v>
      </c>
      <c r="H21" s="104">
        <v>8300</v>
      </c>
      <c r="I21" s="104">
        <v>7567</v>
      </c>
      <c r="J21" s="140">
        <f t="shared" si="0"/>
        <v>91.16867469879519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0</v>
      </c>
      <c r="H22" s="104">
        <v>0</v>
      </c>
      <c r="I22" s="10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9000</v>
      </c>
      <c r="H24" s="104">
        <v>9000</v>
      </c>
      <c r="I24" s="104">
        <v>8793</v>
      </c>
      <c r="J24" s="140">
        <f t="shared" si="0"/>
        <v>97.7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04">
        <v>9200</v>
      </c>
      <c r="H26" s="104">
        <v>9200</v>
      </c>
      <c r="I26" s="104">
        <v>8775</v>
      </c>
      <c r="J26" s="140">
        <f t="shared" si="0"/>
        <v>95.38043478260869</v>
      </c>
      <c r="K26" s="83"/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  <c r="K27" s="83"/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11000</v>
      </c>
      <c r="H36" s="96">
        <f>SUM(H37:H39)</f>
        <v>11000</v>
      </c>
      <c r="I36" s="96">
        <f>SUM(I37:I39)</f>
        <v>10880</v>
      </c>
      <c r="J36" s="139">
        <f t="shared" si="0"/>
        <v>98.9090909090909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10000</v>
      </c>
      <c r="H37" s="104">
        <v>10000</v>
      </c>
      <c r="I37" s="104">
        <v>9883</v>
      </c>
      <c r="J37" s="140">
        <f t="shared" si="0"/>
        <v>98.83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1000</v>
      </c>
      <c r="H38" s="104">
        <v>1000</v>
      </c>
      <c r="I38" s="104">
        <v>997</v>
      </c>
      <c r="J38" s="140">
        <f t="shared" si="0"/>
        <v>99.7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706</v>
      </c>
      <c r="H41" s="25" t="s">
        <v>706</v>
      </c>
      <c r="I41" s="25" t="s">
        <v>756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895440</v>
      </c>
      <c r="H42" s="20">
        <f>H7+H13+H17+H36</f>
        <v>895440</v>
      </c>
      <c r="I42" s="20">
        <f>I7+I13+I17+I36</f>
        <v>868447</v>
      </c>
      <c r="J42" s="139">
        <f t="shared" si="0"/>
        <v>96.98550433306531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30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29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B2:L53"/>
  <sheetViews>
    <sheetView workbookViewId="0" topLeftCell="C6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61" t="s">
        <v>177</v>
      </c>
      <c r="C2" s="461"/>
      <c r="D2" s="461"/>
      <c r="E2" s="461"/>
      <c r="F2" s="461"/>
      <c r="G2" s="461"/>
      <c r="H2" s="461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151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843450</v>
      </c>
      <c r="H7" s="343">
        <f>SUM(H8:H11)</f>
        <v>843450</v>
      </c>
      <c r="I7" s="20">
        <f>SUM(I8:I11)</f>
        <v>835339</v>
      </c>
      <c r="J7" s="139">
        <f aca="true" t="shared" si="0" ref="J7:J42">IF(H7=0,"",I7/H7*100)</f>
        <v>99.03835437785287</v>
      </c>
    </row>
    <row r="8" spans="2:12" ht="12.75" customHeight="1">
      <c r="B8" s="14"/>
      <c r="C8" s="15"/>
      <c r="D8" s="15"/>
      <c r="E8" s="16">
        <v>611100</v>
      </c>
      <c r="F8" s="26" t="s">
        <v>203</v>
      </c>
      <c r="G8" s="345">
        <f>677420+6500</f>
        <v>683920</v>
      </c>
      <c r="H8" s="345">
        <f>677420+6500</f>
        <v>683920</v>
      </c>
      <c r="I8" s="104">
        <v>680681</v>
      </c>
      <c r="J8" s="140">
        <f t="shared" si="0"/>
        <v>99.52640659726283</v>
      </c>
      <c r="K8" s="77"/>
      <c r="L8" s="83"/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147390+700+44*260</f>
        <v>159530</v>
      </c>
      <c r="H9" s="345">
        <f>147390+700+44*260</f>
        <v>159530</v>
      </c>
      <c r="I9" s="104">
        <v>154658</v>
      </c>
      <c r="J9" s="140">
        <f t="shared" si="0"/>
        <v>96.94602896007021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73070</v>
      </c>
      <c r="H13" s="343">
        <f>H14</f>
        <v>73070</v>
      </c>
      <c r="I13" s="20">
        <f>I14</f>
        <v>72607</v>
      </c>
      <c r="J13" s="139">
        <f t="shared" si="0"/>
        <v>99.36636102367594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72270+800</f>
        <v>73070</v>
      </c>
      <c r="H14" s="345">
        <f>72270+800</f>
        <v>73070</v>
      </c>
      <c r="I14" s="104">
        <v>72607</v>
      </c>
      <c r="J14" s="140">
        <f t="shared" si="0"/>
        <v>99.36636102367594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90400</v>
      </c>
      <c r="H17" s="50">
        <f>SUM(H18:H27)</f>
        <v>90400</v>
      </c>
      <c r="I17" s="50">
        <f>SUM(I18:I27)</f>
        <v>83550</v>
      </c>
      <c r="J17" s="139">
        <f t="shared" si="0"/>
        <v>92.42256637168141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4000</v>
      </c>
      <c r="H18" s="45">
        <v>4000</v>
      </c>
      <c r="I18" s="45">
        <v>3979</v>
      </c>
      <c r="J18" s="140">
        <f t="shared" si="0"/>
        <v>99.47500000000001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52000</v>
      </c>
      <c r="H19" s="45">
        <v>52000</v>
      </c>
      <c r="I19" s="45">
        <v>45209</v>
      </c>
      <c r="J19" s="140">
        <f t="shared" si="0"/>
        <v>86.94038461538462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4500</v>
      </c>
      <c r="H20" s="45">
        <v>4240</v>
      </c>
      <c r="I20" s="45">
        <v>4232</v>
      </c>
      <c r="J20" s="140">
        <f t="shared" si="0"/>
        <v>99.81132075471699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10000</v>
      </c>
      <c r="H21" s="45">
        <v>10930</v>
      </c>
      <c r="I21" s="45">
        <v>10924</v>
      </c>
      <c r="J21" s="140">
        <f t="shared" si="0"/>
        <v>99.94510521500457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1000</v>
      </c>
      <c r="H22" s="104">
        <v>820</v>
      </c>
      <c r="I22" s="104">
        <v>813</v>
      </c>
      <c r="J22" s="140">
        <f t="shared" si="0"/>
        <v>99.14634146341463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8000</v>
      </c>
      <c r="H24" s="104">
        <v>7570</v>
      </c>
      <c r="I24" s="104">
        <v>7567</v>
      </c>
      <c r="J24" s="140">
        <f t="shared" si="0"/>
        <v>99.96036988110964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900</v>
      </c>
      <c r="H25" s="104">
        <v>860</v>
      </c>
      <c r="I25" s="104">
        <v>856</v>
      </c>
      <c r="J25" s="140">
        <f t="shared" si="0"/>
        <v>99.53488372093024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10000</v>
      </c>
      <c r="H26" s="104">
        <v>9980</v>
      </c>
      <c r="I26" s="104">
        <v>9970</v>
      </c>
      <c r="J26" s="140">
        <f t="shared" si="0"/>
        <v>99.8997995991984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53">
        <v>0</v>
      </c>
      <c r="H27" s="153">
        <v>0</v>
      </c>
      <c r="I27" s="156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45"/>
      <c r="H33" s="45"/>
      <c r="I33" s="45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45"/>
      <c r="H34" s="45"/>
      <c r="I34" s="45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64000</v>
      </c>
      <c r="H36" s="96">
        <f>SUM(H37:H39)</f>
        <v>64000</v>
      </c>
      <c r="I36" s="96">
        <f>SUM(I37:I39)</f>
        <v>63393</v>
      </c>
      <c r="J36" s="139">
        <f t="shared" si="0"/>
        <v>99.0515625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f>7000+52000</f>
        <v>59000</v>
      </c>
      <c r="H37" s="104">
        <f>7000+52000</f>
        <v>59000</v>
      </c>
      <c r="I37" s="104">
        <v>58467</v>
      </c>
      <c r="J37" s="140">
        <f t="shared" si="0"/>
        <v>99.09661016949153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5000</v>
      </c>
      <c r="H38" s="104">
        <v>5000</v>
      </c>
      <c r="I38" s="104">
        <v>4926</v>
      </c>
      <c r="J38" s="140">
        <f t="shared" si="0"/>
        <v>98.52</v>
      </c>
    </row>
    <row r="39" spans="2:10" ht="12.75" customHeight="1">
      <c r="B39" s="14"/>
      <c r="C39" s="15"/>
      <c r="D39" s="15"/>
      <c r="E39" s="16"/>
      <c r="F39" s="26"/>
      <c r="G39" s="45"/>
      <c r="H39" s="45"/>
      <c r="I39" s="45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121" t="s">
        <v>647</v>
      </c>
      <c r="H41" s="121" t="s">
        <v>647</v>
      </c>
      <c r="I41" s="121" t="s">
        <v>757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1070920</v>
      </c>
      <c r="H42" s="20">
        <f>H7+H13+H17+H36</f>
        <v>1070920</v>
      </c>
      <c r="I42" s="20">
        <f>I7+I13+I17+I36</f>
        <v>1054889</v>
      </c>
      <c r="J42" s="139">
        <f t="shared" si="0"/>
        <v>98.5030627871363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B2:L54"/>
  <sheetViews>
    <sheetView workbookViewId="0" topLeftCell="C9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178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152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397520</v>
      </c>
      <c r="H7" s="343">
        <f>SUM(H8:H11)</f>
        <v>396010</v>
      </c>
      <c r="I7" s="96">
        <f>SUM(I8:I11)</f>
        <v>380957</v>
      </c>
      <c r="J7" s="139">
        <f aca="true" t="shared" si="0" ref="J7:J42">IF(H7=0,"",I7/H7*100)</f>
        <v>96.19883336279386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314910+3000</f>
        <v>317910</v>
      </c>
      <c r="H8" s="345">
        <v>316400</v>
      </c>
      <c r="I8" s="104">
        <v>306993</v>
      </c>
      <c r="J8" s="140">
        <f t="shared" si="0"/>
        <v>97.02686472819217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73850+300+21*260</f>
        <v>79610</v>
      </c>
      <c r="H9" s="345">
        <f>73850+300+21*260</f>
        <v>79610</v>
      </c>
      <c r="I9" s="104">
        <v>73964</v>
      </c>
      <c r="J9" s="140">
        <f t="shared" si="0"/>
        <v>92.90792613993217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10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32950</v>
      </c>
      <c r="H13" s="343">
        <f>H14</f>
        <v>34460</v>
      </c>
      <c r="I13" s="96">
        <f>I14</f>
        <v>34454</v>
      </c>
      <c r="J13" s="139">
        <f t="shared" si="0"/>
        <v>99.98258850841556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32550+400</f>
        <v>32950</v>
      </c>
      <c r="H14" s="345">
        <v>34460</v>
      </c>
      <c r="I14" s="104">
        <v>34454</v>
      </c>
      <c r="J14" s="140">
        <f t="shared" si="0"/>
        <v>99.98258850841556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10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48300</v>
      </c>
      <c r="H17" s="50">
        <f>SUM(H18:H27)</f>
        <v>48300</v>
      </c>
      <c r="I17" s="50">
        <f>SUM(I18:I27)</f>
        <v>46486</v>
      </c>
      <c r="J17" s="139">
        <f t="shared" si="0"/>
        <v>96.24430641821947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3500</v>
      </c>
      <c r="H18" s="45">
        <v>2950</v>
      </c>
      <c r="I18" s="45">
        <v>2937</v>
      </c>
      <c r="J18" s="140">
        <f t="shared" si="0"/>
        <v>99.5593220338983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18000</v>
      </c>
      <c r="H19" s="45">
        <v>16020</v>
      </c>
      <c r="I19" s="45">
        <v>14517</v>
      </c>
      <c r="J19" s="140">
        <f t="shared" si="0"/>
        <v>90.61797752808988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2800</v>
      </c>
      <c r="H20" s="45">
        <v>2700</v>
      </c>
      <c r="I20" s="45">
        <v>2620</v>
      </c>
      <c r="J20" s="140">
        <f t="shared" si="0"/>
        <v>97.03703703703704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9000</v>
      </c>
      <c r="H21" s="45">
        <v>10860</v>
      </c>
      <c r="I21" s="45">
        <v>10847</v>
      </c>
      <c r="J21" s="140">
        <f t="shared" si="0"/>
        <v>99.88029465930019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500</v>
      </c>
      <c r="H22" s="45">
        <v>500</v>
      </c>
      <c r="I22" s="45">
        <v>431</v>
      </c>
      <c r="J22" s="140">
        <f t="shared" si="0"/>
        <v>86.2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9600</v>
      </c>
      <c r="H24" s="45">
        <v>10150</v>
      </c>
      <c r="I24" s="45">
        <v>10026</v>
      </c>
      <c r="J24" s="140">
        <f t="shared" si="0"/>
        <v>98.77832512315271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4900</v>
      </c>
      <c r="H26" s="104">
        <v>5120</v>
      </c>
      <c r="I26" s="104">
        <v>5108</v>
      </c>
      <c r="J26" s="140">
        <f t="shared" si="0"/>
        <v>99.765625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2000</v>
      </c>
      <c r="H36" s="96">
        <f>SUM(H37:H39)</f>
        <v>2000</v>
      </c>
      <c r="I36" s="96">
        <f>SUM(I37:I39)</f>
        <v>2000</v>
      </c>
      <c r="J36" s="139">
        <f t="shared" si="0"/>
        <v>100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0</v>
      </c>
      <c r="H37" s="104">
        <v>0</v>
      </c>
      <c r="I37" s="104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2000</v>
      </c>
      <c r="H38" s="104">
        <v>2000</v>
      </c>
      <c r="I38" s="104">
        <v>2000</v>
      </c>
      <c r="J38" s="140">
        <f t="shared" si="0"/>
        <v>100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648</v>
      </c>
      <c r="H41" s="25" t="s">
        <v>648</v>
      </c>
      <c r="I41" s="25" t="s">
        <v>758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480770</v>
      </c>
      <c r="H42" s="20">
        <f>H7+H13+H17+H36</f>
        <v>480770</v>
      </c>
      <c r="I42" s="20">
        <f>I7+I13+I17+I36</f>
        <v>463897</v>
      </c>
      <c r="J42" s="139">
        <f t="shared" si="0"/>
        <v>96.49042161532542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4"/>
      <c r="J44" s="141"/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B2:L53"/>
  <sheetViews>
    <sheetView workbookViewId="0" topLeftCell="C9">
      <selection activeCell="L45" sqref="L4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179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153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547340</v>
      </c>
      <c r="H7" s="343">
        <f>SUM(H8:H11)</f>
        <v>547340</v>
      </c>
      <c r="I7" s="20">
        <f>SUM(I8:I11)</f>
        <v>518654</v>
      </c>
      <c r="J7" s="139">
        <f aca="true" t="shared" si="0" ref="J7:J44">IF(H7=0,"",I7/H7*100)</f>
        <v>94.75901633354039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440870+4500</f>
        <v>445370</v>
      </c>
      <c r="H8" s="345">
        <f>440870+4500</f>
        <v>445370</v>
      </c>
      <c r="I8" s="45">
        <v>420208</v>
      </c>
      <c r="J8" s="140">
        <f t="shared" si="0"/>
        <v>94.35031546803782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93730+700+29*260</f>
        <v>101970</v>
      </c>
      <c r="H9" s="345">
        <f>93730+700+29*260</f>
        <v>101970</v>
      </c>
      <c r="I9" s="45">
        <v>98446</v>
      </c>
      <c r="J9" s="140">
        <f t="shared" si="0"/>
        <v>96.54408159262529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48570</v>
      </c>
      <c r="H13" s="343">
        <f>H14</f>
        <v>48570</v>
      </c>
      <c r="I13" s="20">
        <f>I14</f>
        <v>47719</v>
      </c>
      <c r="J13" s="139">
        <f t="shared" si="0"/>
        <v>98.24788964381305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47970+600</f>
        <v>48570</v>
      </c>
      <c r="H14" s="345">
        <f>47970+600</f>
        <v>48570</v>
      </c>
      <c r="I14" s="45">
        <v>47719</v>
      </c>
      <c r="J14" s="140">
        <f t="shared" si="0"/>
        <v>98.24788964381305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62400</v>
      </c>
      <c r="H17" s="50">
        <f>SUM(H18:H27)</f>
        <v>62400</v>
      </c>
      <c r="I17" s="50">
        <f>SUM(I18:I27)</f>
        <v>60941</v>
      </c>
      <c r="J17" s="139">
        <f t="shared" si="0"/>
        <v>97.66185897435898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3500</v>
      </c>
      <c r="H18" s="45">
        <v>3500</v>
      </c>
      <c r="I18" s="45">
        <v>3318</v>
      </c>
      <c r="J18" s="140">
        <f t="shared" si="0"/>
        <v>94.8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30500</v>
      </c>
      <c r="H19" s="45">
        <v>30500</v>
      </c>
      <c r="I19" s="45">
        <v>29727</v>
      </c>
      <c r="J19" s="140">
        <f t="shared" si="0"/>
        <v>97.4655737704918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2900</v>
      </c>
      <c r="H20" s="45">
        <v>2900</v>
      </c>
      <c r="I20" s="45">
        <v>2895</v>
      </c>
      <c r="J20" s="140">
        <f t="shared" si="0"/>
        <v>99.82758620689656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7500</v>
      </c>
      <c r="H21" s="104">
        <v>7500</v>
      </c>
      <c r="I21" s="104">
        <v>7377</v>
      </c>
      <c r="J21" s="140">
        <f t="shared" si="0"/>
        <v>98.36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1000</v>
      </c>
      <c r="H22" s="104">
        <v>1000</v>
      </c>
      <c r="I22" s="104">
        <v>986</v>
      </c>
      <c r="J22" s="140">
        <f t="shared" si="0"/>
        <v>98.6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8000</v>
      </c>
      <c r="H24" s="104">
        <v>8000</v>
      </c>
      <c r="I24" s="104">
        <v>7918</v>
      </c>
      <c r="J24" s="140">
        <f t="shared" si="0"/>
        <v>98.97500000000001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9000</v>
      </c>
      <c r="H26" s="104">
        <v>9000</v>
      </c>
      <c r="I26" s="104">
        <v>8720</v>
      </c>
      <c r="J26" s="140">
        <f t="shared" si="0"/>
        <v>96.88888888888889</v>
      </c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  <c r="K27" s="83"/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2000</v>
      </c>
      <c r="H36" s="96">
        <f>SUM(H37:H39)</f>
        <v>2000</v>
      </c>
      <c r="I36" s="96">
        <f>SUM(I37:I39)</f>
        <v>1995</v>
      </c>
      <c r="J36" s="139">
        <f t="shared" si="0"/>
        <v>99.75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520</v>
      </c>
      <c r="H37" s="104">
        <v>520</v>
      </c>
      <c r="I37" s="104">
        <v>520</v>
      </c>
      <c r="J37" s="140">
        <f t="shared" si="0"/>
        <v>100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1480</v>
      </c>
      <c r="H38" s="104">
        <v>1480</v>
      </c>
      <c r="I38" s="104">
        <v>1475</v>
      </c>
      <c r="J38" s="140">
        <f t="shared" si="0"/>
        <v>99.66216216216216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707</v>
      </c>
      <c r="H41" s="25" t="s">
        <v>707</v>
      </c>
      <c r="I41" s="25" t="s">
        <v>759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660310</v>
      </c>
      <c r="H42" s="20">
        <f>H7+H13+H17+H36</f>
        <v>660310</v>
      </c>
      <c r="I42" s="20">
        <f>I7+I13+I17+I36</f>
        <v>629309</v>
      </c>
      <c r="J42" s="139">
        <f t="shared" si="0"/>
        <v>95.30508397570838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G42+'29'!G42+'28'!G42+'27'!G42+'26'!G42+'25'!G42+'24'!G42</f>
        <v>7594460</v>
      </c>
      <c r="H43" s="20">
        <f>H42+'29'!H42+'28'!H42+'27'!H42+'26'!H42+'25'!H42+'24'!H42</f>
        <v>7586590</v>
      </c>
      <c r="I43" s="20">
        <f>I42+'29'!I42+'28'!I42+'27'!I42+'26'!I42+'25'!I42+'24'!I42</f>
        <v>7396209</v>
      </c>
      <c r="J43" s="139">
        <f t="shared" si="0"/>
        <v>97.49055899949781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G43+'23'!G44+'20'!G55</f>
        <v>12958700</v>
      </c>
      <c r="H44" s="20">
        <f>H43+'23'!H44+'20'!H55</f>
        <v>12947080</v>
      </c>
      <c r="I44" s="20">
        <f>I43+'23'!I44+'20'!I55</f>
        <v>12648305</v>
      </c>
      <c r="J44" s="139">
        <f t="shared" si="0"/>
        <v>97.69233680490117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2:L43"/>
  <sheetViews>
    <sheetView workbookViewId="0" topLeftCell="C10">
      <selection activeCell="I37" sqref="I3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61" t="s">
        <v>184</v>
      </c>
      <c r="C2" s="461"/>
      <c r="D2" s="461"/>
      <c r="E2" s="461"/>
      <c r="F2" s="461"/>
      <c r="G2" s="461"/>
      <c r="H2" s="461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154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218280</v>
      </c>
      <c r="H7" s="343">
        <f>SUM(H8:H11)</f>
        <v>218280</v>
      </c>
      <c r="I7" s="20">
        <f>SUM(I8:I11)</f>
        <v>215749</v>
      </c>
      <c r="J7" s="139">
        <f aca="true" t="shared" si="0" ref="J7:J41">IF(H7=0,"",I7/H7*100)</f>
        <v>98.84048011728056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169970+1500</f>
        <v>171470</v>
      </c>
      <c r="H8" s="345">
        <f>169970+1500</f>
        <v>171470</v>
      </c>
      <c r="I8" s="104">
        <v>170057</v>
      </c>
      <c r="J8" s="140">
        <f t="shared" si="0"/>
        <v>99.17594914562315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43610+600+10*260</f>
        <v>46810</v>
      </c>
      <c r="H9" s="345">
        <f>43610+600+10*260</f>
        <v>46810</v>
      </c>
      <c r="I9" s="104">
        <v>45692</v>
      </c>
      <c r="J9" s="140">
        <f t="shared" si="0"/>
        <v>97.61162144840846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10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96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18460</v>
      </c>
      <c r="H13" s="343">
        <f>H14</f>
        <v>18460</v>
      </c>
      <c r="I13" s="96">
        <f>I14</f>
        <v>18211</v>
      </c>
      <c r="J13" s="139">
        <f t="shared" si="0"/>
        <v>98.65113759479956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18210+250</f>
        <v>18460</v>
      </c>
      <c r="H14" s="345">
        <f>18210+250</f>
        <v>18460</v>
      </c>
      <c r="I14" s="104">
        <v>18211</v>
      </c>
      <c r="J14" s="140">
        <f t="shared" si="0"/>
        <v>98.65113759479956</v>
      </c>
    </row>
    <row r="15" spans="2:10" ht="12.75" customHeight="1">
      <c r="B15" s="14"/>
      <c r="C15" s="15"/>
      <c r="D15" s="15"/>
      <c r="E15" s="16"/>
      <c r="F15" s="15"/>
      <c r="G15" s="104"/>
      <c r="H15" s="104"/>
      <c r="I15" s="10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96"/>
      <c r="H16" s="96"/>
      <c r="I16" s="96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96">
        <f>SUM(G18:G27)</f>
        <v>56800</v>
      </c>
      <c r="H17" s="96">
        <f>SUM(H18:H27)</f>
        <v>56800</v>
      </c>
      <c r="I17" s="96">
        <f>SUM(I18:I27)</f>
        <v>55000</v>
      </c>
      <c r="J17" s="139">
        <f t="shared" si="0"/>
        <v>96.83098591549296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04">
        <v>3500</v>
      </c>
      <c r="H18" s="104">
        <v>3500</v>
      </c>
      <c r="I18" s="104">
        <v>3064</v>
      </c>
      <c r="J18" s="140">
        <f t="shared" si="0"/>
        <v>87.54285714285714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04">
        <v>0</v>
      </c>
      <c r="H19" s="104">
        <v>0</v>
      </c>
      <c r="I19" s="10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104">
        <v>3300</v>
      </c>
      <c r="H20" s="104">
        <v>3400</v>
      </c>
      <c r="I20" s="104">
        <v>3328</v>
      </c>
      <c r="J20" s="140">
        <f t="shared" si="0"/>
        <v>97.88235294117648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04">
        <v>2500</v>
      </c>
      <c r="H21" s="104">
        <v>2000</v>
      </c>
      <c r="I21" s="104">
        <v>1705</v>
      </c>
      <c r="J21" s="140">
        <f t="shared" si="0"/>
        <v>85.25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04">
        <v>0</v>
      </c>
      <c r="H22" s="104">
        <v>0</v>
      </c>
      <c r="I22" s="10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6500</v>
      </c>
      <c r="H24" s="104">
        <v>4900</v>
      </c>
      <c r="I24" s="104">
        <v>4405</v>
      </c>
      <c r="J24" s="140">
        <f t="shared" si="0"/>
        <v>89.89795918367346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0</v>
      </c>
      <c r="H25" s="104">
        <v>0</v>
      </c>
      <c r="I25" s="104">
        <v>0</v>
      </c>
      <c r="J25" s="140">
        <f t="shared" si="0"/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04">
        <v>41000</v>
      </c>
      <c r="H26" s="104">
        <v>43000</v>
      </c>
      <c r="I26" s="104">
        <v>42498</v>
      </c>
      <c r="J26" s="140">
        <f t="shared" si="0"/>
        <v>98.83255813953488</v>
      </c>
      <c r="K26" s="95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/>
      <c r="H27" s="104"/>
      <c r="I27" s="104">
        <v>0</v>
      </c>
      <c r="J27" s="140">
        <f t="shared" si="0"/>
      </c>
    </row>
    <row r="28" spans="2:10" ht="12.75" customHeight="1">
      <c r="B28" s="14"/>
      <c r="C28" s="15"/>
      <c r="D28" s="15"/>
      <c r="E28" s="16"/>
      <c r="F28" s="15"/>
      <c r="G28" s="96"/>
      <c r="H28" s="96"/>
      <c r="I28" s="96"/>
      <c r="J28" s="140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207</v>
      </c>
      <c r="G29" s="96">
        <f>G30</f>
        <v>1000000</v>
      </c>
      <c r="H29" s="96">
        <f>H30</f>
        <v>1000000</v>
      </c>
      <c r="I29" s="96">
        <f>I30</f>
        <v>999399</v>
      </c>
      <c r="J29" s="139">
        <f t="shared" si="0"/>
        <v>99.93990000000001</v>
      </c>
    </row>
    <row r="30" spans="2:10" ht="12.75" customHeight="1">
      <c r="B30" s="14"/>
      <c r="C30" s="15"/>
      <c r="D30" s="15"/>
      <c r="E30" s="16">
        <v>614200</v>
      </c>
      <c r="F30" s="30" t="s">
        <v>118</v>
      </c>
      <c r="G30" s="104">
        <v>1000000</v>
      </c>
      <c r="H30" s="104">
        <v>1000000</v>
      </c>
      <c r="I30" s="104">
        <v>999399</v>
      </c>
      <c r="J30" s="140">
        <f t="shared" si="0"/>
        <v>99.93990000000001</v>
      </c>
    </row>
    <row r="31" spans="2:10" ht="12.75" customHeight="1">
      <c r="B31" s="14"/>
      <c r="C31" s="15"/>
      <c r="D31" s="15"/>
      <c r="E31" s="16"/>
      <c r="F31" s="26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s="1" customFormat="1" ht="12.75" customHeight="1">
      <c r="B33" s="17"/>
      <c r="C33" s="12"/>
      <c r="D33" s="12"/>
      <c r="E33" s="9">
        <v>821000</v>
      </c>
      <c r="F33" s="12" t="s">
        <v>92</v>
      </c>
      <c r="G33" s="96">
        <f>SUM(G34:G36)</f>
        <v>1200</v>
      </c>
      <c r="H33" s="96">
        <f>SUM(H34:H36)</f>
        <v>1200</v>
      </c>
      <c r="I33" s="96">
        <f>SUM(I34:I36)</f>
        <v>690</v>
      </c>
      <c r="J33" s="139">
        <f t="shared" si="0"/>
        <v>57.49999999999999</v>
      </c>
    </row>
    <row r="34" spans="2:10" ht="12.75" customHeight="1">
      <c r="B34" s="14"/>
      <c r="C34" s="15"/>
      <c r="D34" s="15"/>
      <c r="E34" s="16">
        <v>821200</v>
      </c>
      <c r="F34" s="15" t="s">
        <v>93</v>
      </c>
      <c r="G34" s="104">
        <v>0</v>
      </c>
      <c r="H34" s="104">
        <v>0</v>
      </c>
      <c r="I34" s="104">
        <v>0</v>
      </c>
      <c r="J34" s="140">
        <f t="shared" si="0"/>
      </c>
    </row>
    <row r="35" spans="2:10" ht="12.75" customHeight="1">
      <c r="B35" s="14"/>
      <c r="C35" s="15"/>
      <c r="D35" s="15"/>
      <c r="E35" s="16">
        <v>821300</v>
      </c>
      <c r="F35" s="15" t="s">
        <v>94</v>
      </c>
      <c r="G35" s="104">
        <v>1200</v>
      </c>
      <c r="H35" s="104">
        <v>1200</v>
      </c>
      <c r="I35" s="104">
        <v>690</v>
      </c>
      <c r="J35" s="140">
        <f t="shared" si="0"/>
        <v>57.49999999999999</v>
      </c>
    </row>
    <row r="36" spans="2:10" ht="12.75" customHeight="1">
      <c r="B36" s="14"/>
      <c r="C36" s="15"/>
      <c r="D36" s="15"/>
      <c r="E36" s="16"/>
      <c r="F36" s="26"/>
      <c r="G36" s="104"/>
      <c r="H36" s="104"/>
      <c r="I36" s="104"/>
      <c r="J36" s="140">
        <f t="shared" si="0"/>
      </c>
    </row>
    <row r="37" spans="2:10" ht="12.75" customHeight="1">
      <c r="B37" s="14"/>
      <c r="C37" s="15"/>
      <c r="D37" s="15"/>
      <c r="E37" s="16"/>
      <c r="F37" s="15"/>
      <c r="G37" s="104"/>
      <c r="H37" s="104"/>
      <c r="I37" s="104"/>
      <c r="J37" s="140">
        <f t="shared" si="0"/>
      </c>
    </row>
    <row r="38" spans="2:10" s="1" customFormat="1" ht="12.75" customHeight="1">
      <c r="B38" s="17"/>
      <c r="C38" s="12"/>
      <c r="D38" s="12"/>
      <c r="E38" s="9"/>
      <c r="F38" s="12" t="s">
        <v>95</v>
      </c>
      <c r="G38" s="20">
        <v>10</v>
      </c>
      <c r="H38" s="20">
        <v>10</v>
      </c>
      <c r="I38" s="20">
        <v>10</v>
      </c>
      <c r="J38" s="140"/>
    </row>
    <row r="39" spans="2:10" s="1" customFormat="1" ht="12.75" customHeight="1">
      <c r="B39" s="17"/>
      <c r="C39" s="12"/>
      <c r="D39" s="12"/>
      <c r="E39" s="9"/>
      <c r="F39" s="12" t="s">
        <v>116</v>
      </c>
      <c r="G39" s="20">
        <f>G7+G13+G17+G29+G33</f>
        <v>1294740</v>
      </c>
      <c r="H39" s="20">
        <f>H7+H13+H17+H29+H33</f>
        <v>1294740</v>
      </c>
      <c r="I39" s="20">
        <f>I7+I13+I17+I29+I33</f>
        <v>1289049</v>
      </c>
      <c r="J39" s="139">
        <f t="shared" si="0"/>
        <v>99.56045229157978</v>
      </c>
    </row>
    <row r="40" spans="2:10" s="1" customFormat="1" ht="12.75" customHeight="1">
      <c r="B40" s="17"/>
      <c r="C40" s="12"/>
      <c r="D40" s="12"/>
      <c r="E40" s="9"/>
      <c r="F40" s="12" t="s">
        <v>96</v>
      </c>
      <c r="G40" s="20">
        <f aca="true" t="shared" si="1" ref="G40:I41">G39</f>
        <v>1294740</v>
      </c>
      <c r="H40" s="20">
        <f t="shared" si="1"/>
        <v>1294740</v>
      </c>
      <c r="I40" s="20">
        <f t="shared" si="1"/>
        <v>1289049</v>
      </c>
      <c r="J40" s="139">
        <f t="shared" si="0"/>
        <v>99.56045229157978</v>
      </c>
    </row>
    <row r="41" spans="2:10" s="1" customFormat="1" ht="12.75" customHeight="1">
      <c r="B41" s="17"/>
      <c r="C41" s="12"/>
      <c r="D41" s="12"/>
      <c r="E41" s="9"/>
      <c r="F41" s="12" t="s">
        <v>97</v>
      </c>
      <c r="G41" s="20">
        <f t="shared" si="1"/>
        <v>1294740</v>
      </c>
      <c r="H41" s="20">
        <f t="shared" si="1"/>
        <v>1294740</v>
      </c>
      <c r="I41" s="20">
        <f t="shared" si="1"/>
        <v>1289049</v>
      </c>
      <c r="J41" s="139">
        <f t="shared" si="0"/>
        <v>99.56045229157978</v>
      </c>
    </row>
    <row r="42" spans="2:10" ht="12.75" customHeight="1" thickBot="1">
      <c r="B42" s="21"/>
      <c r="C42" s="22"/>
      <c r="D42" s="22"/>
      <c r="E42" s="23"/>
      <c r="F42" s="22"/>
      <c r="G42" s="49"/>
      <c r="H42" s="49"/>
      <c r="I42" s="46"/>
      <c r="J42" s="143"/>
    </row>
    <row r="43" ht="12.75">
      <c r="I43" s="85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B2:L49"/>
  <sheetViews>
    <sheetView workbookViewId="0" topLeftCell="A8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156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155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SUM(G8:G10)</f>
        <v>90130</v>
      </c>
      <c r="H7" s="343">
        <f>SUM(H8:H10)</f>
        <v>90130</v>
      </c>
      <c r="I7" s="20">
        <f>SUM(I8:I10)</f>
        <v>88221</v>
      </c>
      <c r="J7" s="139">
        <f aca="true" t="shared" si="0" ref="J7:J43">IF(H7=0,"",I7/H7*100)</f>
        <v>97.88194829690447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4">
        <f>71470+400</f>
        <v>71870</v>
      </c>
      <c r="H8" s="344">
        <f>71470+400</f>
        <v>71870</v>
      </c>
      <c r="I8" s="78">
        <v>71506</v>
      </c>
      <c r="J8" s="140">
        <f t="shared" si="0"/>
        <v>99.49352998469459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4">
        <f>16020+900+300+4*260</f>
        <v>18260</v>
      </c>
      <c r="H9" s="344">
        <f>16020+900+300+4*260</f>
        <v>18260</v>
      </c>
      <c r="I9" s="78">
        <v>16715</v>
      </c>
      <c r="J9" s="140">
        <f t="shared" si="0"/>
        <v>91.53888280394304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15"/>
      <c r="G11" s="344"/>
      <c r="H11" s="344"/>
      <c r="I11" s="44"/>
      <c r="J11" s="140">
        <f t="shared" si="0"/>
      </c>
    </row>
    <row r="12" spans="2:10" ht="12.75" customHeight="1">
      <c r="B12" s="17"/>
      <c r="C12" s="12"/>
      <c r="D12" s="12"/>
      <c r="E12" s="9">
        <v>612000</v>
      </c>
      <c r="F12" s="12" t="s">
        <v>167</v>
      </c>
      <c r="G12" s="343">
        <f>G13</f>
        <v>7980</v>
      </c>
      <c r="H12" s="343">
        <f>H13</f>
        <v>7980</v>
      </c>
      <c r="I12" s="20">
        <f>I13</f>
        <v>7922</v>
      </c>
      <c r="J12" s="139">
        <f t="shared" si="0"/>
        <v>99.27318295739347</v>
      </c>
    </row>
    <row r="13" spans="2:10" s="1" customFormat="1" ht="12.75" customHeight="1">
      <c r="B13" s="14"/>
      <c r="C13" s="15"/>
      <c r="D13" s="15"/>
      <c r="E13" s="16">
        <v>612100</v>
      </c>
      <c r="F13" s="18" t="s">
        <v>85</v>
      </c>
      <c r="G13" s="344">
        <f>7920+60</f>
        <v>7980</v>
      </c>
      <c r="H13" s="344">
        <f>7920+60</f>
        <v>7980</v>
      </c>
      <c r="I13" s="78">
        <v>7922</v>
      </c>
      <c r="J13" s="140">
        <f t="shared" si="0"/>
        <v>99.27318295739347</v>
      </c>
    </row>
    <row r="14" spans="2:10" ht="12.75" customHeight="1">
      <c r="B14" s="14"/>
      <c r="C14" s="15"/>
      <c r="D14" s="15"/>
      <c r="E14" s="16"/>
      <c r="F14" s="15"/>
      <c r="G14" s="44"/>
      <c r="H14" s="44"/>
      <c r="I14" s="44"/>
      <c r="J14" s="140">
        <f t="shared" si="0"/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7"/>
      <c r="C16" s="12"/>
      <c r="D16" s="12"/>
      <c r="E16" s="9">
        <v>613000</v>
      </c>
      <c r="F16" s="12" t="s">
        <v>169</v>
      </c>
      <c r="G16" s="50">
        <f>SUM(G17:G26)</f>
        <v>18800</v>
      </c>
      <c r="H16" s="50">
        <f>SUM(H17:H26)</f>
        <v>18800</v>
      </c>
      <c r="I16" s="50">
        <f>SUM(I17:I26)</f>
        <v>14788</v>
      </c>
      <c r="J16" s="139">
        <f t="shared" si="0"/>
        <v>78.6595744680851</v>
      </c>
    </row>
    <row r="17" spans="2:10" s="1" customFormat="1" ht="12.75" customHeight="1">
      <c r="B17" s="14"/>
      <c r="C17" s="15"/>
      <c r="D17" s="15"/>
      <c r="E17" s="16">
        <v>613100</v>
      </c>
      <c r="F17" s="15" t="s">
        <v>86</v>
      </c>
      <c r="G17" s="78">
        <v>400</v>
      </c>
      <c r="H17" s="78">
        <v>400</v>
      </c>
      <c r="I17" s="78">
        <v>248</v>
      </c>
      <c r="J17" s="140">
        <f t="shared" si="0"/>
        <v>62</v>
      </c>
    </row>
    <row r="18" spans="2:10" ht="12.75" customHeight="1">
      <c r="B18" s="14"/>
      <c r="C18" s="15"/>
      <c r="D18" s="15"/>
      <c r="E18" s="16">
        <v>613200</v>
      </c>
      <c r="F18" s="15" t="s">
        <v>87</v>
      </c>
      <c r="G18" s="78">
        <v>5500</v>
      </c>
      <c r="H18" s="78">
        <v>5500</v>
      </c>
      <c r="I18" s="78">
        <v>5366</v>
      </c>
      <c r="J18" s="140">
        <f t="shared" si="0"/>
        <v>97.56363636363636</v>
      </c>
    </row>
    <row r="19" spans="2:10" ht="12.75" customHeight="1">
      <c r="B19" s="14"/>
      <c r="C19" s="15"/>
      <c r="D19" s="15"/>
      <c r="E19" s="16">
        <v>613300</v>
      </c>
      <c r="F19" s="26" t="s">
        <v>205</v>
      </c>
      <c r="G19" s="78">
        <v>3600</v>
      </c>
      <c r="H19" s="78">
        <v>3600</v>
      </c>
      <c r="I19" s="78">
        <v>3012</v>
      </c>
      <c r="J19" s="140">
        <f t="shared" si="0"/>
        <v>83.66666666666667</v>
      </c>
    </row>
    <row r="20" spans="2:10" ht="12.75" customHeight="1">
      <c r="B20" s="14"/>
      <c r="C20" s="15"/>
      <c r="D20" s="15"/>
      <c r="E20" s="16">
        <v>613400</v>
      </c>
      <c r="F20" s="15" t="s">
        <v>170</v>
      </c>
      <c r="G20" s="78">
        <v>1500</v>
      </c>
      <c r="H20" s="78">
        <v>1500</v>
      </c>
      <c r="I20" s="78">
        <v>1264</v>
      </c>
      <c r="J20" s="140">
        <f t="shared" si="0"/>
        <v>84.26666666666667</v>
      </c>
    </row>
    <row r="21" spans="2:10" ht="12.75" customHeight="1">
      <c r="B21" s="14"/>
      <c r="C21" s="15"/>
      <c r="D21" s="15"/>
      <c r="E21" s="16">
        <v>613500</v>
      </c>
      <c r="F21" s="15" t="s">
        <v>88</v>
      </c>
      <c r="G21" s="78">
        <v>0</v>
      </c>
      <c r="H21" s="78">
        <v>0</v>
      </c>
      <c r="I21" s="78">
        <v>0</v>
      </c>
      <c r="J21" s="140">
        <f t="shared" si="0"/>
      </c>
    </row>
    <row r="22" spans="2:10" ht="12.75" customHeight="1">
      <c r="B22" s="14"/>
      <c r="C22" s="15"/>
      <c r="D22" s="15"/>
      <c r="E22" s="16">
        <v>613600</v>
      </c>
      <c r="F22" s="26" t="s">
        <v>206</v>
      </c>
      <c r="G22" s="78">
        <v>0</v>
      </c>
      <c r="H22" s="78">
        <v>0</v>
      </c>
      <c r="I22" s="78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613700</v>
      </c>
      <c r="F23" s="15" t="s">
        <v>89</v>
      </c>
      <c r="G23" s="78">
        <v>500</v>
      </c>
      <c r="H23" s="78">
        <v>500</v>
      </c>
      <c r="I23" s="78">
        <v>245</v>
      </c>
      <c r="J23" s="140">
        <f t="shared" si="0"/>
        <v>49</v>
      </c>
    </row>
    <row r="24" spans="2:10" ht="12.75" customHeight="1">
      <c r="B24" s="14"/>
      <c r="C24" s="15"/>
      <c r="D24" s="15"/>
      <c r="E24" s="16">
        <v>613800</v>
      </c>
      <c r="F24" s="15" t="s">
        <v>171</v>
      </c>
      <c r="G24" s="78">
        <v>0</v>
      </c>
      <c r="H24" s="78">
        <v>0</v>
      </c>
      <c r="I24" s="78">
        <v>0</v>
      </c>
      <c r="J24" s="140">
        <f t="shared" si="0"/>
      </c>
    </row>
    <row r="25" spans="2:10" ht="12.75" customHeight="1">
      <c r="B25" s="14"/>
      <c r="C25" s="15"/>
      <c r="D25" s="15"/>
      <c r="E25" s="16">
        <v>613900</v>
      </c>
      <c r="F25" s="15" t="s">
        <v>172</v>
      </c>
      <c r="G25" s="78">
        <v>7300</v>
      </c>
      <c r="H25" s="78">
        <v>7300</v>
      </c>
      <c r="I25" s="78">
        <v>4653</v>
      </c>
      <c r="J25" s="140">
        <f t="shared" si="0"/>
        <v>63.73972602739726</v>
      </c>
    </row>
    <row r="26" spans="2:10" ht="12.75" customHeight="1">
      <c r="B26" s="14"/>
      <c r="C26" s="15"/>
      <c r="D26" s="15"/>
      <c r="E26" s="16">
        <v>613900</v>
      </c>
      <c r="F26" s="26" t="s">
        <v>690</v>
      </c>
      <c r="G26" s="78">
        <v>0</v>
      </c>
      <c r="H26" s="78">
        <v>0</v>
      </c>
      <c r="I26" s="78">
        <v>0</v>
      </c>
      <c r="J26" s="140">
        <f t="shared" si="0"/>
      </c>
    </row>
    <row r="27" spans="2:10" ht="12.75" customHeight="1">
      <c r="B27" s="17"/>
      <c r="C27" s="12"/>
      <c r="D27" s="12"/>
      <c r="E27" s="9"/>
      <c r="F27" s="12"/>
      <c r="G27" s="96"/>
      <c r="H27" s="96"/>
      <c r="I27" s="96"/>
      <c r="J27" s="140">
        <f t="shared" si="0"/>
      </c>
    </row>
    <row r="28" spans="2:10" s="1" customFormat="1" ht="12.75" customHeight="1">
      <c r="B28" s="14"/>
      <c r="C28" s="15"/>
      <c r="D28" s="31"/>
      <c r="E28" s="16"/>
      <c r="F28" s="30"/>
      <c r="G28" s="78"/>
      <c r="H28" s="78"/>
      <c r="I28" s="78"/>
      <c r="J28" s="140">
        <f t="shared" si="0"/>
      </c>
    </row>
    <row r="29" spans="2:10" ht="12.75" customHeight="1">
      <c r="B29" s="14"/>
      <c r="C29" s="15"/>
      <c r="D29" s="15"/>
      <c r="E29" s="60"/>
      <c r="F29" s="30"/>
      <c r="G29" s="78"/>
      <c r="H29" s="78"/>
      <c r="I29" s="78"/>
      <c r="J29" s="140">
        <f t="shared" si="0"/>
      </c>
    </row>
    <row r="30" spans="2:10" ht="12.75" customHeight="1">
      <c r="B30" s="14"/>
      <c r="C30" s="15"/>
      <c r="D30" s="15"/>
      <c r="E30" s="16"/>
      <c r="F30" s="15"/>
      <c r="G30" s="78"/>
      <c r="H30" s="78"/>
      <c r="I30" s="78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78"/>
      <c r="H31" s="78"/>
      <c r="I31" s="78"/>
      <c r="J31" s="140">
        <f t="shared" si="0"/>
      </c>
    </row>
    <row r="32" spans="2:10" ht="12.75" customHeight="1">
      <c r="B32" s="14"/>
      <c r="C32" s="15"/>
      <c r="D32" s="15"/>
      <c r="E32" s="9"/>
      <c r="F32" s="12"/>
      <c r="G32" s="78"/>
      <c r="H32" s="78"/>
      <c r="I32" s="78"/>
      <c r="J32" s="140">
        <f t="shared" si="0"/>
      </c>
    </row>
    <row r="33" spans="2:10" ht="12.75" customHeight="1">
      <c r="B33" s="14"/>
      <c r="C33" s="15"/>
      <c r="D33" s="15"/>
      <c r="E33" s="16"/>
      <c r="F33" s="26"/>
      <c r="G33" s="78"/>
      <c r="H33" s="78"/>
      <c r="I33" s="78"/>
      <c r="J33" s="140">
        <f t="shared" si="0"/>
      </c>
    </row>
    <row r="34" spans="2:10" ht="12.75" customHeight="1">
      <c r="B34" s="14"/>
      <c r="C34" s="15"/>
      <c r="D34" s="15"/>
      <c r="E34" s="16"/>
      <c r="F34" s="15"/>
      <c r="G34" s="78"/>
      <c r="H34" s="78"/>
      <c r="I34" s="78"/>
      <c r="J34" s="140">
        <f t="shared" si="0"/>
      </c>
    </row>
    <row r="35" spans="2:10" ht="12.75" customHeight="1">
      <c r="B35" s="17"/>
      <c r="C35" s="12"/>
      <c r="D35" s="12"/>
      <c r="E35" s="9">
        <v>821000</v>
      </c>
      <c r="F35" s="12" t="s">
        <v>92</v>
      </c>
      <c r="G35" s="96">
        <f>SUM(G36:G37)</f>
        <v>7000</v>
      </c>
      <c r="H35" s="96">
        <f>SUM(H36:H37)</f>
        <v>7000</v>
      </c>
      <c r="I35" s="96">
        <f>SUM(I36:I37)</f>
        <v>6984</v>
      </c>
      <c r="J35" s="139">
        <f t="shared" si="0"/>
        <v>99.77142857142857</v>
      </c>
    </row>
    <row r="36" spans="2:10" s="1" customFormat="1" ht="12.75" customHeight="1">
      <c r="B36" s="14"/>
      <c r="C36" s="15"/>
      <c r="D36" s="15"/>
      <c r="E36" s="16">
        <v>821200</v>
      </c>
      <c r="F36" s="15" t="s">
        <v>93</v>
      </c>
      <c r="G36" s="78">
        <v>7000</v>
      </c>
      <c r="H36" s="78">
        <v>7000</v>
      </c>
      <c r="I36" s="78">
        <v>6984</v>
      </c>
      <c r="J36" s="140">
        <f t="shared" si="0"/>
        <v>99.77142857142857</v>
      </c>
    </row>
    <row r="37" spans="2:10" ht="12.75" customHeight="1">
      <c r="B37" s="14"/>
      <c r="C37" s="15"/>
      <c r="D37" s="15"/>
      <c r="E37" s="16">
        <v>821300</v>
      </c>
      <c r="F37" s="15" t="s">
        <v>94</v>
      </c>
      <c r="G37" s="78">
        <v>0</v>
      </c>
      <c r="H37" s="78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/>
      <c r="F38" s="26"/>
      <c r="G38" s="78"/>
      <c r="H38" s="78"/>
      <c r="I38" s="78"/>
      <c r="J38" s="140">
        <f t="shared" si="0"/>
      </c>
    </row>
    <row r="39" spans="2:10" ht="12.75" customHeight="1">
      <c r="B39" s="14"/>
      <c r="C39" s="15"/>
      <c r="D39" s="15"/>
      <c r="E39" s="16"/>
      <c r="F39" s="15"/>
      <c r="G39" s="78"/>
      <c r="H39" s="78"/>
      <c r="I39" s="78"/>
      <c r="J39" s="140">
        <f t="shared" si="0"/>
      </c>
    </row>
    <row r="40" spans="2:10" ht="12.75" customHeight="1">
      <c r="B40" s="17"/>
      <c r="C40" s="12"/>
      <c r="D40" s="12"/>
      <c r="E40" s="9"/>
      <c r="F40" s="12" t="s">
        <v>95</v>
      </c>
      <c r="G40" s="96">
        <v>4</v>
      </c>
      <c r="H40" s="96">
        <v>4</v>
      </c>
      <c r="I40" s="96">
        <v>4</v>
      </c>
      <c r="J40" s="140"/>
    </row>
    <row r="41" spans="2:10" s="1" customFormat="1" ht="12.75" customHeight="1">
      <c r="B41" s="17"/>
      <c r="C41" s="12"/>
      <c r="D41" s="12"/>
      <c r="E41" s="9"/>
      <c r="F41" s="12" t="s">
        <v>116</v>
      </c>
      <c r="G41" s="20">
        <f>G7+G12+G16+G35</f>
        <v>123910</v>
      </c>
      <c r="H41" s="20">
        <f>H7+H12+H16+H35</f>
        <v>123910</v>
      </c>
      <c r="I41" s="20">
        <f>I7+I12+I16+I35</f>
        <v>117915</v>
      </c>
      <c r="J41" s="139">
        <f t="shared" si="0"/>
        <v>95.16181099184892</v>
      </c>
    </row>
    <row r="42" spans="2:10" s="1" customFormat="1" ht="12.75" customHeight="1">
      <c r="B42" s="17"/>
      <c r="C42" s="12"/>
      <c r="D42" s="12"/>
      <c r="E42" s="9"/>
      <c r="F42" s="12" t="s">
        <v>96</v>
      </c>
      <c r="G42" s="20">
        <f aca="true" t="shared" si="1" ref="G42:I43">G41</f>
        <v>123910</v>
      </c>
      <c r="H42" s="20">
        <f t="shared" si="1"/>
        <v>123910</v>
      </c>
      <c r="I42" s="20">
        <f t="shared" si="1"/>
        <v>117915</v>
      </c>
      <c r="J42" s="139">
        <f t="shared" si="0"/>
        <v>95.16181099184892</v>
      </c>
    </row>
    <row r="43" spans="2:10" s="1" customFormat="1" ht="12.75" customHeight="1">
      <c r="B43" s="17"/>
      <c r="C43" s="12"/>
      <c r="D43" s="12"/>
      <c r="E43" s="9"/>
      <c r="F43" s="12" t="s">
        <v>97</v>
      </c>
      <c r="G43" s="20">
        <f t="shared" si="1"/>
        <v>123910</v>
      </c>
      <c r="H43" s="20">
        <f t="shared" si="1"/>
        <v>123910</v>
      </c>
      <c r="I43" s="20">
        <f t="shared" si="1"/>
        <v>117915</v>
      </c>
      <c r="J43" s="139">
        <f t="shared" si="0"/>
        <v>95.16181099184892</v>
      </c>
    </row>
    <row r="44" spans="2:10" s="1" customFormat="1" ht="12.75" customHeight="1" thickBot="1">
      <c r="B44" s="21"/>
      <c r="C44" s="22"/>
      <c r="D44" s="22"/>
      <c r="E44" s="23"/>
      <c r="F44" s="22"/>
      <c r="G44" s="36"/>
      <c r="H44" s="49"/>
      <c r="I44" s="46"/>
      <c r="J44" s="143"/>
    </row>
    <row r="45" ht="12.75" customHeight="1"/>
    <row r="46" ht="12.75">
      <c r="B46" s="77"/>
    </row>
    <row r="47" ht="12.75">
      <c r="B47" s="77"/>
    </row>
    <row r="48" ht="12.75">
      <c r="B48" s="77"/>
    </row>
    <row r="49" ht="12.75">
      <c r="B49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B2:L54"/>
  <sheetViews>
    <sheetView workbookViewId="0" topLeftCell="A10">
      <selection activeCell="I40" sqref="I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157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158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202490</v>
      </c>
      <c r="H7" s="343">
        <f>SUM(H8:H11)</f>
        <v>202490</v>
      </c>
      <c r="I7" s="20">
        <f>SUM(I8:I11)</f>
        <v>200187</v>
      </c>
      <c r="J7" s="139">
        <f aca="true" t="shared" si="0" ref="J7:J42">IF(H7=0,"",I7/H7*100)</f>
        <v>98.86265988443874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4">
        <f>157270+1500+1820</f>
        <v>160590</v>
      </c>
      <c r="H8" s="344">
        <f>157270+1500+1820</f>
        <v>160590</v>
      </c>
      <c r="I8" s="78">
        <v>159241</v>
      </c>
      <c r="J8" s="140">
        <f t="shared" si="0"/>
        <v>99.15997260103369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4">
        <f>38120+500+420+11*260</f>
        <v>41900</v>
      </c>
      <c r="H9" s="344">
        <f>38120+500+420+11*260</f>
        <v>41900</v>
      </c>
      <c r="I9" s="78">
        <v>40946</v>
      </c>
      <c r="J9" s="140">
        <f t="shared" si="0"/>
        <v>97.72315035799522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4"/>
      <c r="H11" s="34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17340</v>
      </c>
      <c r="H13" s="343">
        <f>H14</f>
        <v>17340</v>
      </c>
      <c r="I13" s="20">
        <f>I14</f>
        <v>17101</v>
      </c>
      <c r="J13" s="139">
        <f t="shared" si="0"/>
        <v>98.62168396770473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4">
        <f>16890+250+200</f>
        <v>17340</v>
      </c>
      <c r="H14" s="344">
        <f>16890+250+200</f>
        <v>17340</v>
      </c>
      <c r="I14" s="44">
        <v>17101</v>
      </c>
      <c r="J14" s="140">
        <f t="shared" si="0"/>
        <v>98.62168396770473</v>
      </c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50"/>
      <c r="H16" s="50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47100</v>
      </c>
      <c r="H17" s="50">
        <f>SUM(H18:H27)</f>
        <v>47100</v>
      </c>
      <c r="I17" s="50">
        <f>SUM(I18:I27)</f>
        <v>44040</v>
      </c>
      <c r="J17" s="139">
        <f t="shared" si="0"/>
        <v>93.5031847133758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1500</v>
      </c>
      <c r="H18" s="44">
        <v>1250</v>
      </c>
      <c r="I18" s="44">
        <v>1137</v>
      </c>
      <c r="J18" s="140">
        <f t="shared" si="0"/>
        <v>90.96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9000</v>
      </c>
      <c r="H19" s="44">
        <v>9400</v>
      </c>
      <c r="I19" s="44">
        <v>9261</v>
      </c>
      <c r="J19" s="140">
        <f t="shared" si="0"/>
        <v>98.52127659574468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78">
        <v>3500</v>
      </c>
      <c r="H20" s="78">
        <v>3500</v>
      </c>
      <c r="I20" s="78">
        <v>3362</v>
      </c>
      <c r="J20" s="140">
        <f t="shared" si="0"/>
        <v>96.05714285714285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78">
        <v>1200</v>
      </c>
      <c r="H21" s="78">
        <v>1200</v>
      </c>
      <c r="I21" s="78">
        <v>1178</v>
      </c>
      <c r="J21" s="140">
        <f t="shared" si="0"/>
        <v>98.16666666666667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78">
        <v>1000</v>
      </c>
      <c r="H22" s="78">
        <v>1000</v>
      </c>
      <c r="I22" s="78">
        <v>912</v>
      </c>
      <c r="J22" s="140">
        <f t="shared" si="0"/>
        <v>91.2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78">
        <v>0</v>
      </c>
      <c r="H23" s="78">
        <v>0</v>
      </c>
      <c r="I23" s="78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78">
        <v>2500</v>
      </c>
      <c r="H24" s="78">
        <v>2900</v>
      </c>
      <c r="I24" s="78">
        <v>2886</v>
      </c>
      <c r="J24" s="140">
        <f t="shared" si="0"/>
        <v>99.51724137931033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78">
        <v>400</v>
      </c>
      <c r="H25" s="78">
        <v>400</v>
      </c>
      <c r="I25" s="78">
        <v>0</v>
      </c>
      <c r="J25" s="140">
        <f t="shared" si="0"/>
        <v>0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78">
        <v>28000</v>
      </c>
      <c r="H26" s="78">
        <v>27450</v>
      </c>
      <c r="I26" s="78">
        <v>25304</v>
      </c>
      <c r="J26" s="140">
        <f t="shared" si="0"/>
        <v>92.18214936247723</v>
      </c>
      <c r="K26" s="77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78">
        <v>0</v>
      </c>
      <c r="H27" s="78">
        <v>0</v>
      </c>
      <c r="I27" s="78">
        <v>0</v>
      </c>
      <c r="J27" s="140">
        <f t="shared" si="0"/>
      </c>
    </row>
    <row r="28" spans="2:10" ht="12.75" customHeight="1">
      <c r="B28" s="14"/>
      <c r="C28" s="15"/>
      <c r="D28" s="15"/>
      <c r="E28" s="16"/>
      <c r="F28" s="15"/>
      <c r="G28" s="96"/>
      <c r="H28" s="96"/>
      <c r="I28" s="96"/>
      <c r="J28" s="140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207</v>
      </c>
      <c r="G29" s="96">
        <f>G30</f>
        <v>230000</v>
      </c>
      <c r="H29" s="96">
        <f>H30</f>
        <v>230000</v>
      </c>
      <c r="I29" s="96">
        <f>I30</f>
        <v>228757</v>
      </c>
      <c r="J29" s="139">
        <f t="shared" si="0"/>
        <v>99.4595652173913</v>
      </c>
    </row>
    <row r="30" spans="2:10" ht="12.75" customHeight="1">
      <c r="B30" s="14"/>
      <c r="C30" s="15"/>
      <c r="D30" s="15"/>
      <c r="E30" s="16">
        <v>614200</v>
      </c>
      <c r="F30" s="26" t="s">
        <v>119</v>
      </c>
      <c r="G30" s="78">
        <v>230000</v>
      </c>
      <c r="H30" s="78">
        <v>230000</v>
      </c>
      <c r="I30" s="78">
        <v>228757</v>
      </c>
      <c r="J30" s="140">
        <f t="shared" si="0"/>
        <v>99.4595652173913</v>
      </c>
    </row>
    <row r="31" spans="2:10" ht="12.75" customHeight="1">
      <c r="B31" s="14"/>
      <c r="C31" s="15"/>
      <c r="D31" s="15"/>
      <c r="E31" s="9"/>
      <c r="F31" s="12"/>
      <c r="G31" s="78"/>
      <c r="H31" s="78"/>
      <c r="I31" s="78"/>
      <c r="J31" s="140">
        <f t="shared" si="0"/>
      </c>
    </row>
    <row r="32" spans="2:10" ht="12.75" customHeight="1">
      <c r="B32" s="14"/>
      <c r="C32" s="15"/>
      <c r="D32" s="15"/>
      <c r="E32" s="16"/>
      <c r="F32" s="26"/>
      <c r="G32" s="78"/>
      <c r="H32" s="78"/>
      <c r="I32" s="78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78"/>
      <c r="H33" s="78"/>
      <c r="I33" s="78"/>
      <c r="J33" s="140">
        <f t="shared" si="0"/>
      </c>
    </row>
    <row r="34" spans="2:10" ht="12.75" customHeight="1">
      <c r="B34" s="17"/>
      <c r="C34" s="12"/>
      <c r="D34" s="12"/>
      <c r="E34" s="9">
        <v>821000</v>
      </c>
      <c r="F34" s="12" t="s">
        <v>92</v>
      </c>
      <c r="G34" s="96">
        <f>SUM(G35:G37)</f>
        <v>22280</v>
      </c>
      <c r="H34" s="96">
        <f>SUM(H35:H37)</f>
        <v>22280</v>
      </c>
      <c r="I34" s="96">
        <f>SUM(I35:I37)</f>
        <v>22173</v>
      </c>
      <c r="J34" s="139">
        <f t="shared" si="0"/>
        <v>99.5197486535009</v>
      </c>
    </row>
    <row r="35" spans="2:10" ht="12.75" customHeight="1">
      <c r="B35" s="14"/>
      <c r="C35" s="15"/>
      <c r="D35" s="15"/>
      <c r="E35" s="16">
        <v>821200</v>
      </c>
      <c r="F35" s="15" t="s">
        <v>93</v>
      </c>
      <c r="G35" s="104">
        <v>0</v>
      </c>
      <c r="H35" s="104">
        <v>0</v>
      </c>
      <c r="I35" s="104">
        <v>0</v>
      </c>
      <c r="J35" s="140">
        <f t="shared" si="0"/>
      </c>
    </row>
    <row r="36" spans="2:10" s="1" customFormat="1" ht="12.75" customHeight="1">
      <c r="B36" s="14"/>
      <c r="C36" s="15"/>
      <c r="D36" s="15"/>
      <c r="E36" s="16">
        <v>821300</v>
      </c>
      <c r="F36" s="15" t="s">
        <v>94</v>
      </c>
      <c r="G36" s="78">
        <v>22280</v>
      </c>
      <c r="H36" s="78">
        <v>22280</v>
      </c>
      <c r="I36" s="78">
        <v>22173</v>
      </c>
      <c r="J36" s="140">
        <f t="shared" si="0"/>
        <v>99.5197486535009</v>
      </c>
    </row>
    <row r="37" spans="2:10" ht="12.75" customHeight="1">
      <c r="B37" s="14"/>
      <c r="C37" s="15"/>
      <c r="D37" s="15"/>
      <c r="E37" s="16"/>
      <c r="F37" s="26"/>
      <c r="G37" s="78"/>
      <c r="H37" s="78"/>
      <c r="I37" s="78"/>
      <c r="J37" s="140">
        <f t="shared" si="0"/>
      </c>
    </row>
    <row r="38" spans="2:10" ht="12.75" customHeight="1">
      <c r="B38" s="14"/>
      <c r="C38" s="15"/>
      <c r="D38" s="15"/>
      <c r="E38" s="16"/>
      <c r="F38" s="15"/>
      <c r="G38" s="44"/>
      <c r="H38" s="44"/>
      <c r="I38" s="44"/>
      <c r="J38" s="140">
        <f t="shared" si="0"/>
      </c>
    </row>
    <row r="39" spans="2:10" ht="12.75" customHeight="1">
      <c r="B39" s="17"/>
      <c r="C39" s="12"/>
      <c r="D39" s="12"/>
      <c r="E39" s="9"/>
      <c r="F39" s="12" t="s">
        <v>95</v>
      </c>
      <c r="G39" s="20">
        <v>11</v>
      </c>
      <c r="H39" s="20">
        <v>11</v>
      </c>
      <c r="I39" s="20">
        <v>12</v>
      </c>
      <c r="J39" s="140"/>
    </row>
    <row r="40" spans="2:10" ht="12.75" customHeight="1">
      <c r="B40" s="17"/>
      <c r="C40" s="12"/>
      <c r="D40" s="12"/>
      <c r="E40" s="9"/>
      <c r="F40" s="12" t="s">
        <v>116</v>
      </c>
      <c r="G40" s="20">
        <f>G7+G13+G17+G29+G34</f>
        <v>519210</v>
      </c>
      <c r="H40" s="20">
        <f>H7+H13+H17+H29+H34</f>
        <v>519210</v>
      </c>
      <c r="I40" s="20">
        <f>I7+I13+I17+I29+I34</f>
        <v>512258</v>
      </c>
      <c r="J40" s="139">
        <f t="shared" si="0"/>
        <v>98.66104273800582</v>
      </c>
    </row>
    <row r="41" spans="2:10" s="1" customFormat="1" ht="12.75" customHeight="1">
      <c r="B41" s="17"/>
      <c r="C41" s="12"/>
      <c r="D41" s="12"/>
      <c r="E41" s="9"/>
      <c r="F41" s="12" t="s">
        <v>96</v>
      </c>
      <c r="G41" s="20">
        <f aca="true" t="shared" si="1" ref="G41:I42">G40</f>
        <v>519210</v>
      </c>
      <c r="H41" s="20">
        <f t="shared" si="1"/>
        <v>519210</v>
      </c>
      <c r="I41" s="20">
        <f t="shared" si="1"/>
        <v>512258</v>
      </c>
      <c r="J41" s="139">
        <f t="shared" si="0"/>
        <v>98.66104273800582</v>
      </c>
    </row>
    <row r="42" spans="2:10" s="1" customFormat="1" ht="12.75" customHeight="1">
      <c r="B42" s="17"/>
      <c r="C42" s="12"/>
      <c r="D42" s="12"/>
      <c r="E42" s="9"/>
      <c r="F42" s="12" t="s">
        <v>97</v>
      </c>
      <c r="G42" s="20">
        <f t="shared" si="1"/>
        <v>519210</v>
      </c>
      <c r="H42" s="20">
        <f t="shared" si="1"/>
        <v>519210</v>
      </c>
      <c r="I42" s="20">
        <f t="shared" si="1"/>
        <v>512258</v>
      </c>
      <c r="J42" s="139">
        <f t="shared" si="0"/>
        <v>98.66104273800582</v>
      </c>
    </row>
    <row r="43" spans="2:10" s="1" customFormat="1" ht="12.75" customHeight="1" thickBot="1">
      <c r="B43" s="21"/>
      <c r="C43" s="22"/>
      <c r="D43" s="22"/>
      <c r="E43" s="23"/>
      <c r="F43" s="22"/>
      <c r="G43" s="36"/>
      <c r="H43" s="49"/>
      <c r="I43" s="159"/>
      <c r="J43" s="158"/>
    </row>
    <row r="44" spans="2:10" s="1" customFormat="1" ht="12.75" customHeight="1">
      <c r="B44" s="13"/>
      <c r="C44" s="13"/>
      <c r="D44" s="13"/>
      <c r="E44" s="24"/>
      <c r="F44" s="13"/>
      <c r="G44" s="13"/>
      <c r="H44" s="75"/>
      <c r="I44" s="81"/>
      <c r="J44" s="135"/>
    </row>
    <row r="45" spans="2:8" ht="12.75" customHeight="1">
      <c r="B45" s="77"/>
      <c r="H45" s="75"/>
    </row>
    <row r="46" ht="12.75">
      <c r="B46" s="77"/>
    </row>
    <row r="47" ht="12.75">
      <c r="B47" s="77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  <row r="53" ht="12.75">
      <c r="B53" s="77"/>
    </row>
    <row r="54" ht="12.75">
      <c r="B54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B2:L52"/>
  <sheetViews>
    <sheetView workbookViewId="0" topLeftCell="A6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159</v>
      </c>
      <c r="C2" s="461"/>
      <c r="D2" s="461"/>
      <c r="E2" s="461"/>
      <c r="F2" s="461"/>
      <c r="G2" s="461"/>
      <c r="H2" s="461"/>
      <c r="I2" s="252"/>
      <c r="J2" s="253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160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498370</v>
      </c>
      <c r="H7" s="343">
        <f>SUM(H8:H11)</f>
        <v>498370</v>
      </c>
      <c r="I7" s="20">
        <f>SUM(I8:I11)</f>
        <v>490368</v>
      </c>
      <c r="J7" s="139">
        <f aca="true" t="shared" si="0" ref="J7:J44">IF(H7=0,"",I7/H7*100)</f>
        <v>98.39436563196018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418060+3000</f>
        <v>421060</v>
      </c>
      <c r="H8" s="345">
        <f>418060+3000</f>
        <v>421060</v>
      </c>
      <c r="I8" s="45">
        <v>417480</v>
      </c>
      <c r="J8" s="140">
        <f t="shared" si="0"/>
        <v>99.14976487911461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67650+1000+4500+16*260</f>
        <v>77310</v>
      </c>
      <c r="H9" s="345">
        <f>67650+1000+4500+16*260</f>
        <v>77310</v>
      </c>
      <c r="I9" s="45">
        <v>72888</v>
      </c>
      <c r="J9" s="140">
        <f t="shared" si="0"/>
        <v>94.28017074117191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45480</v>
      </c>
      <c r="H13" s="343">
        <f>H14</f>
        <v>45480</v>
      </c>
      <c r="I13" s="20">
        <f>I14</f>
        <v>44692</v>
      </c>
      <c r="J13" s="139">
        <f t="shared" si="0"/>
        <v>98.26737027264731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45030+450</f>
        <v>45480</v>
      </c>
      <c r="H14" s="345">
        <f>45030+450</f>
        <v>45480</v>
      </c>
      <c r="I14" s="45">
        <v>44692</v>
      </c>
      <c r="J14" s="140">
        <f t="shared" si="0"/>
        <v>98.26737027264731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116000</v>
      </c>
      <c r="H17" s="50">
        <f>SUM(H18:H27)</f>
        <v>116000</v>
      </c>
      <c r="I17" s="50">
        <f>SUM(I18:I27)</f>
        <v>104719</v>
      </c>
      <c r="J17" s="139">
        <f t="shared" si="0"/>
        <v>90.275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4000</v>
      </c>
      <c r="H18" s="45">
        <v>4000</v>
      </c>
      <c r="I18" s="45">
        <v>3513</v>
      </c>
      <c r="J18" s="140">
        <f t="shared" si="0"/>
        <v>87.825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31000</v>
      </c>
      <c r="H19" s="45">
        <v>29190</v>
      </c>
      <c r="I19" s="45">
        <v>25521</v>
      </c>
      <c r="J19" s="140">
        <f t="shared" si="0"/>
        <v>87.4306269270298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17000</v>
      </c>
      <c r="H20" s="45">
        <v>17000</v>
      </c>
      <c r="I20" s="45">
        <v>10164</v>
      </c>
      <c r="J20" s="140">
        <f t="shared" si="0"/>
        <v>59.78823529411764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7500</v>
      </c>
      <c r="H21" s="45">
        <v>8350</v>
      </c>
      <c r="I21" s="45">
        <v>8278</v>
      </c>
      <c r="J21" s="140">
        <f t="shared" si="0"/>
        <v>99.1377245508982</v>
      </c>
    </row>
    <row r="22" spans="2:11" ht="12.75" customHeight="1">
      <c r="B22" s="14"/>
      <c r="C22" s="15"/>
      <c r="D22" s="15"/>
      <c r="E22" s="16">
        <v>613500</v>
      </c>
      <c r="F22" s="15" t="s">
        <v>88</v>
      </c>
      <c r="G22" s="104">
        <v>4600</v>
      </c>
      <c r="H22" s="104">
        <v>4600</v>
      </c>
      <c r="I22" s="104">
        <v>4555</v>
      </c>
      <c r="J22" s="140">
        <f t="shared" si="0"/>
        <v>99.02173913043478</v>
      </c>
      <c r="K22" s="77"/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04">
        <v>9000</v>
      </c>
      <c r="H24" s="104">
        <v>9250</v>
      </c>
      <c r="I24" s="104">
        <v>9226</v>
      </c>
      <c r="J24" s="140">
        <f t="shared" si="0"/>
        <v>99.74054054054055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900</v>
      </c>
      <c r="H25" s="104">
        <v>900</v>
      </c>
      <c r="I25" s="104">
        <v>781</v>
      </c>
      <c r="J25" s="140">
        <f t="shared" si="0"/>
        <v>86.77777777777777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04">
        <v>42000</v>
      </c>
      <c r="H26" s="104">
        <v>42710</v>
      </c>
      <c r="I26" s="104">
        <v>42681</v>
      </c>
      <c r="J26" s="140">
        <f t="shared" si="0"/>
        <v>99.93210021072349</v>
      </c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3000</v>
      </c>
      <c r="H36" s="96">
        <f>SUM(H37:H39)</f>
        <v>3000</v>
      </c>
      <c r="I36" s="96">
        <f>SUM(I37:I39)</f>
        <v>2957</v>
      </c>
      <c r="J36" s="139">
        <f t="shared" si="0"/>
        <v>98.56666666666666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0</v>
      </c>
      <c r="H37" s="104">
        <v>0</v>
      </c>
      <c r="I37" s="104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3000</v>
      </c>
      <c r="H38" s="104">
        <v>3000</v>
      </c>
      <c r="I38" s="104">
        <v>2957</v>
      </c>
      <c r="J38" s="140">
        <f t="shared" si="0"/>
        <v>98.56666666666666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16</v>
      </c>
      <c r="H41" s="20">
        <v>16</v>
      </c>
      <c r="I41" s="20">
        <v>16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662850</v>
      </c>
      <c r="H42" s="20">
        <f>H7+H13+H17+H36</f>
        <v>662850</v>
      </c>
      <c r="I42" s="20">
        <f>I7+I13+I17+I36</f>
        <v>642736</v>
      </c>
      <c r="J42" s="139">
        <f t="shared" si="0"/>
        <v>96.96552764577204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662850</v>
      </c>
      <c r="H43" s="20">
        <f t="shared" si="1"/>
        <v>662850</v>
      </c>
      <c r="I43" s="20">
        <f t="shared" si="1"/>
        <v>642736</v>
      </c>
      <c r="J43" s="139">
        <f t="shared" si="0"/>
        <v>96.96552764577204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662850</v>
      </c>
      <c r="H44" s="20">
        <f t="shared" si="1"/>
        <v>662850</v>
      </c>
      <c r="I44" s="20">
        <f t="shared" si="1"/>
        <v>642736</v>
      </c>
      <c r="J44" s="139">
        <f t="shared" si="0"/>
        <v>96.96552764577204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8" ht="12.75">
      <c r="B48" s="77"/>
    </row>
    <row r="49" ht="12.75">
      <c r="B49" s="77"/>
    </row>
    <row r="50" ht="12.75">
      <c r="B50" s="77"/>
    </row>
    <row r="51" ht="12.75">
      <c r="B51" s="77"/>
    </row>
    <row r="52" ht="12.75">
      <c r="B52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2:L227"/>
  <sheetViews>
    <sheetView workbookViewId="0" topLeftCell="B182">
      <selection activeCell="H206" sqref="H206"/>
    </sheetView>
  </sheetViews>
  <sheetFormatPr defaultColWidth="9.140625" defaultRowHeight="12.75"/>
  <cols>
    <col min="1" max="1" width="0.42578125" style="0" hidden="1" customWidth="1"/>
    <col min="2" max="2" width="13.28125" style="422" customWidth="1"/>
    <col min="3" max="3" width="64.57421875" style="423" customWidth="1"/>
    <col min="4" max="5" width="15.28125" style="423" customWidth="1"/>
    <col min="6" max="6" width="8.57421875" style="423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  <col min="11" max="11" width="13.140625" style="0" bestFit="1" customWidth="1"/>
  </cols>
  <sheetData>
    <row r="2" spans="2:6" ht="18.75" thickBot="1">
      <c r="B2" s="448" t="s">
        <v>77</v>
      </c>
      <c r="C2" s="448"/>
      <c r="D2" s="448"/>
      <c r="E2" s="449"/>
      <c r="F2" s="449"/>
    </row>
    <row r="3" spans="2:7" ht="76.5" customHeight="1">
      <c r="B3" s="384" t="s">
        <v>189</v>
      </c>
      <c r="C3" s="385" t="s">
        <v>82</v>
      </c>
      <c r="D3" s="386" t="s">
        <v>674</v>
      </c>
      <c r="E3" s="386" t="s">
        <v>675</v>
      </c>
      <c r="F3" s="387" t="s">
        <v>320</v>
      </c>
      <c r="G3" s="250"/>
    </row>
    <row r="4" spans="2:12" ht="12.75" customHeight="1">
      <c r="B4" s="388">
        <v>1</v>
      </c>
      <c r="C4" s="389">
        <v>2</v>
      </c>
      <c r="D4" s="389">
        <v>3</v>
      </c>
      <c r="E4" s="390">
        <v>4</v>
      </c>
      <c r="F4" s="391">
        <v>5</v>
      </c>
      <c r="H4" s="281"/>
      <c r="I4" s="281"/>
      <c r="J4" s="281"/>
      <c r="K4" s="281"/>
      <c r="L4" s="281"/>
    </row>
    <row r="5" spans="2:12" s="52" customFormat="1" ht="17.25" customHeight="1">
      <c r="B5" s="392">
        <v>710000</v>
      </c>
      <c r="C5" s="374" t="s">
        <v>188</v>
      </c>
      <c r="D5" s="393">
        <f>D6+D15+D19+D27+D37+D46+D50</f>
        <v>35193230</v>
      </c>
      <c r="E5" s="393">
        <f>E6+E15+E19+E27+E37+E46+E50</f>
        <v>34924232</v>
      </c>
      <c r="F5" s="293">
        <f aca="true" t="shared" si="0" ref="F5:F10">IF(D5=0,"",E5/D5*100)</f>
        <v>99.2356541300699</v>
      </c>
      <c r="G5" s="198"/>
      <c r="H5" s="282"/>
      <c r="I5" s="283"/>
      <c r="J5" s="283"/>
      <c r="K5" s="283"/>
      <c r="L5" s="283"/>
    </row>
    <row r="6" spans="2:12" s="189" customFormat="1" ht="15" customHeight="1">
      <c r="B6" s="314">
        <v>711000</v>
      </c>
      <c r="C6" s="315" t="s">
        <v>193</v>
      </c>
      <c r="D6" s="316">
        <f>D7+D12</f>
        <v>3764320</v>
      </c>
      <c r="E6" s="316">
        <f>E7+E12</f>
        <v>3928766</v>
      </c>
      <c r="F6" s="294">
        <f t="shared" si="0"/>
        <v>104.3685446508267</v>
      </c>
      <c r="G6" s="188"/>
      <c r="H6" s="284"/>
      <c r="I6" s="284"/>
      <c r="J6" s="285"/>
      <c r="K6" s="286"/>
      <c r="L6" s="286"/>
    </row>
    <row r="7" spans="2:12" s="189" customFormat="1" ht="12.75" customHeight="1">
      <c r="B7" s="190">
        <v>711100</v>
      </c>
      <c r="C7" s="191" t="s">
        <v>334</v>
      </c>
      <c r="D7" s="186">
        <f>SUM(D8:D11)</f>
        <v>3870</v>
      </c>
      <c r="E7" s="186">
        <f>SUM(E8:E11)</f>
        <v>3426</v>
      </c>
      <c r="F7" s="195">
        <f t="shared" si="0"/>
        <v>88.52713178294573</v>
      </c>
      <c r="G7" s="188"/>
      <c r="H7" s="284"/>
      <c r="I7" s="286"/>
      <c r="J7" s="286"/>
      <c r="K7" s="286"/>
      <c r="L7" s="286"/>
    </row>
    <row r="8" spans="2:12" ht="12.75" customHeight="1">
      <c r="B8" s="394">
        <v>711111</v>
      </c>
      <c r="C8" s="375" t="s">
        <v>335</v>
      </c>
      <c r="D8" s="395">
        <v>3700</v>
      </c>
      <c r="E8" s="395">
        <v>3320</v>
      </c>
      <c r="F8" s="396">
        <f t="shared" si="0"/>
        <v>89.72972972972974</v>
      </c>
      <c r="G8" s="90"/>
      <c r="H8" s="287"/>
      <c r="I8" s="281"/>
      <c r="J8" s="281"/>
      <c r="K8" s="281"/>
      <c r="L8" s="281"/>
    </row>
    <row r="9" spans="2:12" ht="12.75" customHeight="1">
      <c r="B9" s="394">
        <v>711113</v>
      </c>
      <c r="C9" s="375" t="s">
        <v>719</v>
      </c>
      <c r="D9" s="395">
        <v>0</v>
      </c>
      <c r="E9" s="395">
        <v>10</v>
      </c>
      <c r="F9" s="396">
        <f t="shared" si="0"/>
      </c>
      <c r="G9" s="90"/>
      <c r="H9" s="287"/>
      <c r="I9" s="281"/>
      <c r="J9" s="281"/>
      <c r="K9" s="281"/>
      <c r="L9" s="281"/>
    </row>
    <row r="10" spans="2:12" ht="12.75" customHeight="1">
      <c r="B10" s="394">
        <v>711114</v>
      </c>
      <c r="C10" s="375" t="s">
        <v>613</v>
      </c>
      <c r="D10" s="395">
        <v>50</v>
      </c>
      <c r="E10" s="395">
        <v>0</v>
      </c>
      <c r="F10" s="396">
        <f t="shared" si="0"/>
        <v>0</v>
      </c>
      <c r="G10" s="90"/>
      <c r="H10" s="287"/>
      <c r="I10" s="281"/>
      <c r="J10" s="281"/>
      <c r="K10" s="281"/>
      <c r="L10" s="281"/>
    </row>
    <row r="11" spans="2:9" ht="12.75" customHeight="1">
      <c r="B11" s="394">
        <v>711115</v>
      </c>
      <c r="C11" s="375" t="s">
        <v>336</v>
      </c>
      <c r="D11" s="397">
        <v>120</v>
      </c>
      <c r="E11" s="397">
        <v>96</v>
      </c>
      <c r="F11" s="396">
        <f aca="true" t="shared" si="1" ref="F11:F74">IF(D11=0,"",E11/D11*100)</f>
        <v>80</v>
      </c>
      <c r="G11" s="90"/>
      <c r="H11" s="287"/>
      <c r="I11" s="281"/>
    </row>
    <row r="12" spans="2:9" s="189" customFormat="1" ht="12.75" customHeight="1">
      <c r="B12" s="190">
        <v>711200</v>
      </c>
      <c r="C12" s="191" t="s">
        <v>339</v>
      </c>
      <c r="D12" s="186">
        <f>SUM(D13:D14)</f>
        <v>3760450</v>
      </c>
      <c r="E12" s="186">
        <f>SUM(E13:E14)</f>
        <v>3925340</v>
      </c>
      <c r="F12" s="195">
        <f t="shared" si="1"/>
        <v>104.38484755813799</v>
      </c>
      <c r="G12" s="188"/>
      <c r="H12" s="287"/>
      <c r="I12" s="281"/>
    </row>
    <row r="13" spans="2:9" ht="12.75" customHeight="1">
      <c r="B13" s="394">
        <v>711211</v>
      </c>
      <c r="C13" s="375" t="s">
        <v>337</v>
      </c>
      <c r="D13" s="397">
        <v>3707150</v>
      </c>
      <c r="E13" s="397">
        <v>3867047</v>
      </c>
      <c r="F13" s="396">
        <f t="shared" si="1"/>
        <v>104.31320556222434</v>
      </c>
      <c r="G13" s="90"/>
      <c r="H13" s="287"/>
      <c r="I13" s="281"/>
    </row>
    <row r="14" spans="2:9" ht="12.75" customHeight="1">
      <c r="B14" s="394">
        <v>711212</v>
      </c>
      <c r="C14" s="375" t="s">
        <v>338</v>
      </c>
      <c r="D14" s="397">
        <v>53300</v>
      </c>
      <c r="E14" s="397">
        <v>58293</v>
      </c>
      <c r="F14" s="396">
        <f t="shared" si="1"/>
        <v>109.36772983114447</v>
      </c>
      <c r="G14" s="90"/>
      <c r="H14" s="287"/>
      <c r="I14" s="281"/>
    </row>
    <row r="15" spans="2:8" s="189" customFormat="1" ht="15" customHeight="1">
      <c r="B15" s="314">
        <v>713000</v>
      </c>
      <c r="C15" s="317" t="s">
        <v>340</v>
      </c>
      <c r="D15" s="316">
        <f>D16</f>
        <v>1450</v>
      </c>
      <c r="E15" s="316">
        <f>E16</f>
        <v>1360</v>
      </c>
      <c r="F15" s="294">
        <f t="shared" si="1"/>
        <v>93.79310344827586</v>
      </c>
      <c r="G15" s="188"/>
      <c r="H15" s="192"/>
    </row>
    <row r="16" spans="2:7" s="189" customFormat="1" ht="12.75" customHeight="1">
      <c r="B16" s="190">
        <v>713100</v>
      </c>
      <c r="C16" s="196" t="s">
        <v>438</v>
      </c>
      <c r="D16" s="197">
        <f>SUM(D17:D18)</f>
        <v>1450</v>
      </c>
      <c r="E16" s="197">
        <f>SUM(E17:E18)</f>
        <v>1360</v>
      </c>
      <c r="F16" s="195">
        <f t="shared" si="1"/>
        <v>93.79310344827586</v>
      </c>
      <c r="G16" s="188"/>
    </row>
    <row r="17" spans="2:7" ht="12.75" customHeight="1">
      <c r="B17" s="394">
        <v>713111</v>
      </c>
      <c r="C17" s="375" t="s">
        <v>341</v>
      </c>
      <c r="D17" s="395">
        <v>1400</v>
      </c>
      <c r="E17" s="395">
        <v>1360</v>
      </c>
      <c r="F17" s="396">
        <f t="shared" si="1"/>
        <v>97.14285714285714</v>
      </c>
      <c r="G17" s="90"/>
    </row>
    <row r="18" spans="2:7" ht="12.75" customHeight="1">
      <c r="B18" s="394">
        <v>713113</v>
      </c>
      <c r="C18" s="375" t="s">
        <v>342</v>
      </c>
      <c r="D18" s="395">
        <v>50</v>
      </c>
      <c r="E18" s="395">
        <v>0</v>
      </c>
      <c r="F18" s="396">
        <f t="shared" si="1"/>
        <v>0</v>
      </c>
      <c r="G18" s="90"/>
    </row>
    <row r="19" spans="2:8" s="189" customFormat="1" ht="12.75" customHeight="1">
      <c r="B19" s="314">
        <v>714000</v>
      </c>
      <c r="C19" s="317" t="s">
        <v>194</v>
      </c>
      <c r="D19" s="316">
        <f>D20</f>
        <v>388650</v>
      </c>
      <c r="E19" s="316">
        <f>E20</f>
        <v>371556</v>
      </c>
      <c r="F19" s="294">
        <f t="shared" si="1"/>
        <v>95.60169818602856</v>
      </c>
      <c r="G19" s="188"/>
      <c r="H19" s="188"/>
    </row>
    <row r="20" spans="2:7" s="189" customFormat="1" ht="12.75" customHeight="1">
      <c r="B20" s="190">
        <v>714100</v>
      </c>
      <c r="C20" s="196" t="s">
        <v>437</v>
      </c>
      <c r="D20" s="197">
        <f>SUM(D21:D26)</f>
        <v>388650</v>
      </c>
      <c r="E20" s="197">
        <f>SUM(E21:E26)</f>
        <v>371556</v>
      </c>
      <c r="F20" s="195">
        <f t="shared" si="1"/>
        <v>95.60169818602856</v>
      </c>
      <c r="G20" s="188"/>
    </row>
    <row r="21" spans="2:8" ht="12.75" customHeight="1">
      <c r="B21" s="394">
        <v>714111</v>
      </c>
      <c r="C21" s="375" t="s">
        <v>343</v>
      </c>
      <c r="D21" s="395">
        <v>41900</v>
      </c>
      <c r="E21" s="395">
        <v>39464</v>
      </c>
      <c r="F21" s="396">
        <f t="shared" si="1"/>
        <v>94.18615751789976</v>
      </c>
      <c r="G21" s="90"/>
      <c r="H21" s="90"/>
    </row>
    <row r="22" spans="2:7" ht="12.75" customHeight="1">
      <c r="B22" s="394">
        <v>714112</v>
      </c>
      <c r="C22" s="375" t="s">
        <v>344</v>
      </c>
      <c r="D22" s="397">
        <v>5500</v>
      </c>
      <c r="E22" s="397">
        <v>5485</v>
      </c>
      <c r="F22" s="396">
        <f t="shared" si="1"/>
        <v>99.72727272727273</v>
      </c>
      <c r="G22" s="90"/>
    </row>
    <row r="23" spans="2:7" ht="12.75" customHeight="1">
      <c r="B23" s="394">
        <v>714113</v>
      </c>
      <c r="C23" s="375" t="s">
        <v>345</v>
      </c>
      <c r="D23" s="395">
        <v>50</v>
      </c>
      <c r="E23" s="395">
        <v>33</v>
      </c>
      <c r="F23" s="396">
        <f t="shared" si="1"/>
        <v>66</v>
      </c>
      <c r="G23" s="90"/>
    </row>
    <row r="24" spans="2:7" ht="12.75" customHeight="1">
      <c r="B24" s="394">
        <v>714121</v>
      </c>
      <c r="C24" s="375" t="s">
        <v>346</v>
      </c>
      <c r="D24" s="397">
        <v>13200</v>
      </c>
      <c r="E24" s="397">
        <v>12396</v>
      </c>
      <c r="F24" s="396">
        <f t="shared" si="1"/>
        <v>93.9090909090909</v>
      </c>
      <c r="G24" s="90"/>
    </row>
    <row r="25" spans="2:7" ht="12.75" customHeight="1">
      <c r="B25" s="394">
        <v>714131</v>
      </c>
      <c r="C25" s="375" t="s">
        <v>347</v>
      </c>
      <c r="D25" s="397">
        <v>232400</v>
      </c>
      <c r="E25" s="397">
        <v>226948</v>
      </c>
      <c r="F25" s="396">
        <f t="shared" si="1"/>
        <v>97.65404475043029</v>
      </c>
      <c r="G25" s="90"/>
    </row>
    <row r="26" spans="2:7" ht="12.75" customHeight="1">
      <c r="B26" s="394">
        <v>714132</v>
      </c>
      <c r="C26" s="375" t="s">
        <v>348</v>
      </c>
      <c r="D26" s="395">
        <v>95600</v>
      </c>
      <c r="E26" s="395">
        <v>87230</v>
      </c>
      <c r="F26" s="396">
        <f t="shared" si="1"/>
        <v>91.24476987447699</v>
      </c>
      <c r="G26" s="90"/>
    </row>
    <row r="27" spans="2:8" s="189" customFormat="1" ht="25.5" customHeight="1">
      <c r="B27" s="314">
        <v>715000</v>
      </c>
      <c r="C27" s="315" t="s">
        <v>349</v>
      </c>
      <c r="D27" s="316">
        <f>D28+D33+D35</f>
        <v>2330</v>
      </c>
      <c r="E27" s="316">
        <f>E28+E33+E35</f>
        <v>2491</v>
      </c>
      <c r="F27" s="294">
        <f t="shared" si="1"/>
        <v>106.9098712446352</v>
      </c>
      <c r="G27" s="188"/>
      <c r="H27" s="192"/>
    </row>
    <row r="28" spans="2:7" s="189" customFormat="1" ht="26.25" customHeight="1">
      <c r="B28" s="190">
        <v>715100</v>
      </c>
      <c r="C28" s="376" t="s">
        <v>353</v>
      </c>
      <c r="D28" s="186">
        <f>SUM(D29:D32)</f>
        <v>580</v>
      </c>
      <c r="E28" s="186">
        <f>SUM(E29:E32)</f>
        <v>433</v>
      </c>
      <c r="F28" s="195">
        <f t="shared" si="1"/>
        <v>74.6551724137931</v>
      </c>
      <c r="G28" s="188"/>
    </row>
    <row r="29" spans="2:7" ht="12.75" customHeight="1">
      <c r="B29" s="394">
        <v>715131</v>
      </c>
      <c r="C29" s="375" t="s">
        <v>350</v>
      </c>
      <c r="D29" s="395">
        <v>130</v>
      </c>
      <c r="E29" s="395">
        <v>126</v>
      </c>
      <c r="F29" s="396">
        <f t="shared" si="1"/>
        <v>96.92307692307692</v>
      </c>
      <c r="G29" s="90"/>
    </row>
    <row r="30" spans="2:7" ht="12.75" customHeight="1">
      <c r="B30" s="394">
        <v>715132</v>
      </c>
      <c r="C30" s="375" t="s">
        <v>614</v>
      </c>
      <c r="D30" s="395">
        <v>50</v>
      </c>
      <c r="E30" s="395">
        <v>0</v>
      </c>
      <c r="F30" s="396">
        <f t="shared" si="1"/>
        <v>0</v>
      </c>
      <c r="G30" s="90"/>
    </row>
    <row r="31" spans="2:7" ht="12.75" customHeight="1">
      <c r="B31" s="394">
        <v>715137</v>
      </c>
      <c r="C31" s="375" t="s">
        <v>351</v>
      </c>
      <c r="D31" s="395">
        <v>50</v>
      </c>
      <c r="E31" s="395">
        <v>0</v>
      </c>
      <c r="F31" s="396">
        <f t="shared" si="1"/>
        <v>0</v>
      </c>
      <c r="G31" s="90"/>
    </row>
    <row r="32" spans="2:7" ht="12.75" customHeight="1">
      <c r="B32" s="394">
        <v>715141</v>
      </c>
      <c r="C32" s="375" t="s">
        <v>352</v>
      </c>
      <c r="D32" s="395">
        <v>350</v>
      </c>
      <c r="E32" s="395">
        <v>307</v>
      </c>
      <c r="F32" s="396">
        <f t="shared" si="1"/>
        <v>87.71428571428571</v>
      </c>
      <c r="G32" s="90"/>
    </row>
    <row r="33" spans="2:7" s="189" customFormat="1" ht="12.75" customHeight="1">
      <c r="B33" s="190">
        <v>715200</v>
      </c>
      <c r="C33" s="377" t="s">
        <v>354</v>
      </c>
      <c r="D33" s="186">
        <f>D34</f>
        <v>1500</v>
      </c>
      <c r="E33" s="186">
        <f>E34</f>
        <v>1882</v>
      </c>
      <c r="F33" s="195">
        <f t="shared" si="1"/>
        <v>125.46666666666665</v>
      </c>
      <c r="G33" s="188"/>
    </row>
    <row r="34" spans="2:10" ht="12.75" customHeight="1">
      <c r="B34" s="394">
        <v>715211</v>
      </c>
      <c r="C34" s="375" t="s">
        <v>355</v>
      </c>
      <c r="D34" s="395">
        <v>1500</v>
      </c>
      <c r="E34" s="395">
        <v>1882</v>
      </c>
      <c r="F34" s="396">
        <f t="shared" si="1"/>
        <v>125.46666666666665</v>
      </c>
      <c r="G34" s="90"/>
      <c r="H34" s="281"/>
      <c r="I34" s="281"/>
      <c r="J34" s="281"/>
    </row>
    <row r="35" spans="2:10" s="189" customFormat="1" ht="15" customHeight="1">
      <c r="B35" s="190">
        <v>715900</v>
      </c>
      <c r="C35" s="377" t="s">
        <v>356</v>
      </c>
      <c r="D35" s="186">
        <f>D36</f>
        <v>250</v>
      </c>
      <c r="E35" s="186">
        <f>E36</f>
        <v>176</v>
      </c>
      <c r="F35" s="195">
        <f t="shared" si="1"/>
        <v>70.39999999999999</v>
      </c>
      <c r="G35" s="188"/>
      <c r="H35" s="286"/>
      <c r="I35" s="286"/>
      <c r="J35" s="286"/>
    </row>
    <row r="36" spans="2:10" ht="27" customHeight="1">
      <c r="B36" s="394">
        <v>715914</v>
      </c>
      <c r="C36" s="378" t="s">
        <v>357</v>
      </c>
      <c r="D36" s="397">
        <v>250</v>
      </c>
      <c r="E36" s="397">
        <v>176</v>
      </c>
      <c r="F36" s="396">
        <f t="shared" si="1"/>
        <v>70.39999999999999</v>
      </c>
      <c r="G36" s="90"/>
      <c r="H36" s="281"/>
      <c r="I36" s="281"/>
      <c r="J36" s="281"/>
    </row>
    <row r="37" spans="2:11" s="189" customFormat="1" ht="15" customHeight="1">
      <c r="B37" s="314">
        <v>716000</v>
      </c>
      <c r="C37" s="317" t="s">
        <v>195</v>
      </c>
      <c r="D37" s="316">
        <f>D38</f>
        <v>2566390</v>
      </c>
      <c r="E37" s="316">
        <f>E38</f>
        <v>2612607</v>
      </c>
      <c r="F37" s="294">
        <f t="shared" si="1"/>
        <v>101.80085645595565</v>
      </c>
      <c r="G37" s="188"/>
      <c r="H37" s="288"/>
      <c r="I37" s="289"/>
      <c r="J37" s="290"/>
      <c r="K37" s="291"/>
    </row>
    <row r="38" spans="2:11" s="189" customFormat="1" ht="12.75" customHeight="1">
      <c r="B38" s="190">
        <v>716100</v>
      </c>
      <c r="C38" s="377" t="s">
        <v>358</v>
      </c>
      <c r="D38" s="186">
        <f>SUM(D39:D45)</f>
        <v>2566390</v>
      </c>
      <c r="E38" s="186">
        <f>SUM(E39:E45)</f>
        <v>2612607</v>
      </c>
      <c r="F38" s="195">
        <f t="shared" si="1"/>
        <v>101.80085645595565</v>
      </c>
      <c r="G38" s="188"/>
      <c r="H38" s="288"/>
      <c r="I38" s="289"/>
      <c r="J38" s="289"/>
      <c r="K38" s="292"/>
    </row>
    <row r="39" spans="2:11" ht="12.75" customHeight="1">
      <c r="B39" s="394">
        <v>716111</v>
      </c>
      <c r="C39" s="375" t="s">
        <v>360</v>
      </c>
      <c r="D39" s="397">
        <v>1788600</v>
      </c>
      <c r="E39" s="397">
        <v>1829826</v>
      </c>
      <c r="F39" s="396">
        <f t="shared" si="1"/>
        <v>102.3049312311305</v>
      </c>
      <c r="G39" s="90"/>
      <c r="H39" s="232"/>
      <c r="I39" s="289"/>
      <c r="J39" s="289"/>
      <c r="K39" s="292"/>
    </row>
    <row r="40" spans="2:11" ht="12.75" customHeight="1">
      <c r="B40" s="394">
        <v>716112</v>
      </c>
      <c r="C40" s="375" t="s">
        <v>361</v>
      </c>
      <c r="D40" s="397">
        <v>102200</v>
      </c>
      <c r="E40" s="397">
        <v>120505</v>
      </c>
      <c r="F40" s="396">
        <f t="shared" si="1"/>
        <v>117.91095890410959</v>
      </c>
      <c r="G40" s="90"/>
      <c r="H40" s="232"/>
      <c r="I40" s="289"/>
      <c r="J40" s="289"/>
      <c r="K40" s="292"/>
    </row>
    <row r="41" spans="2:11" ht="12.75" customHeight="1">
      <c r="B41" s="394">
        <v>716113</v>
      </c>
      <c r="C41" s="375" t="s">
        <v>362</v>
      </c>
      <c r="D41" s="397">
        <v>25300</v>
      </c>
      <c r="E41" s="397">
        <v>25730</v>
      </c>
      <c r="F41" s="396">
        <f t="shared" si="1"/>
        <v>101.699604743083</v>
      </c>
      <c r="G41" s="90"/>
      <c r="H41" s="232"/>
      <c r="I41" s="289"/>
      <c r="J41" s="289"/>
      <c r="K41" s="292"/>
    </row>
    <row r="42" spans="2:10" ht="12.75" customHeight="1">
      <c r="B42" s="394">
        <v>716114</v>
      </c>
      <c r="C42" s="375" t="s">
        <v>363</v>
      </c>
      <c r="D42" s="397">
        <v>190</v>
      </c>
      <c r="E42" s="397">
        <v>172</v>
      </c>
      <c r="F42" s="396">
        <f t="shared" si="1"/>
        <v>90.52631578947368</v>
      </c>
      <c r="G42" s="90"/>
      <c r="H42" s="232"/>
      <c r="I42" s="289"/>
      <c r="J42" s="281"/>
    </row>
    <row r="43" spans="2:9" ht="12.75" customHeight="1">
      <c r="B43" s="394">
        <v>716115</v>
      </c>
      <c r="C43" s="378" t="s">
        <v>364</v>
      </c>
      <c r="D43" s="397">
        <v>269200</v>
      </c>
      <c r="E43" s="397">
        <v>268371</v>
      </c>
      <c r="F43" s="396">
        <f t="shared" si="1"/>
        <v>99.69205052005944</v>
      </c>
      <c r="G43" s="90"/>
      <c r="H43" s="232"/>
      <c r="I43" s="289"/>
    </row>
    <row r="44" spans="2:9" ht="12.75" customHeight="1">
      <c r="B44" s="394">
        <v>716116</v>
      </c>
      <c r="C44" s="375" t="s">
        <v>365</v>
      </c>
      <c r="D44" s="397">
        <v>265400</v>
      </c>
      <c r="E44" s="397">
        <v>254687</v>
      </c>
      <c r="F44" s="396">
        <f t="shared" si="1"/>
        <v>95.96345139412207</v>
      </c>
      <c r="G44" s="90"/>
      <c r="H44" s="232"/>
      <c r="I44" s="289"/>
    </row>
    <row r="45" spans="2:9" ht="12.75" customHeight="1">
      <c r="B45" s="394">
        <v>716117</v>
      </c>
      <c r="C45" s="375" t="s">
        <v>359</v>
      </c>
      <c r="D45" s="397">
        <v>115500</v>
      </c>
      <c r="E45" s="397">
        <v>113316</v>
      </c>
      <c r="F45" s="396">
        <f t="shared" si="1"/>
        <v>98.10909090909091</v>
      </c>
      <c r="G45" s="90"/>
      <c r="H45" s="232"/>
      <c r="I45" s="289"/>
    </row>
    <row r="46" spans="2:9" s="189" customFormat="1" ht="15" customHeight="1">
      <c r="B46" s="314">
        <v>717000</v>
      </c>
      <c r="C46" s="317" t="s">
        <v>196</v>
      </c>
      <c r="D46" s="316">
        <f>D47</f>
        <v>28469880</v>
      </c>
      <c r="E46" s="316">
        <f>E47</f>
        <v>28007266</v>
      </c>
      <c r="F46" s="294">
        <f t="shared" si="1"/>
        <v>98.37507569403174</v>
      </c>
      <c r="G46" s="188"/>
      <c r="H46" s="288"/>
      <c r="I46" s="288"/>
    </row>
    <row r="47" spans="2:9" s="189" customFormat="1" ht="12.75" customHeight="1">
      <c r="B47" s="190">
        <v>717100</v>
      </c>
      <c r="C47" s="377" t="s">
        <v>366</v>
      </c>
      <c r="D47" s="186">
        <f>SUM(D48:D49)</f>
        <v>28469880</v>
      </c>
      <c r="E47" s="186">
        <f>SUM(E48:E49)</f>
        <v>28007266</v>
      </c>
      <c r="F47" s="195">
        <f t="shared" si="1"/>
        <v>98.37507569403174</v>
      </c>
      <c r="G47" s="188"/>
      <c r="H47" s="288"/>
      <c r="I47" s="288"/>
    </row>
    <row r="48" spans="2:9" ht="12.75" customHeight="1">
      <c r="B48" s="394">
        <v>717121</v>
      </c>
      <c r="C48" s="375" t="s">
        <v>367</v>
      </c>
      <c r="D48" s="397">
        <v>27754600</v>
      </c>
      <c r="E48" s="397">
        <v>27303607</v>
      </c>
      <c r="F48" s="396">
        <f t="shared" si="1"/>
        <v>98.3750693578722</v>
      </c>
      <c r="G48" s="90"/>
      <c r="H48" s="288"/>
      <c r="I48" s="288"/>
    </row>
    <row r="49" spans="2:9" ht="12.75" customHeight="1">
      <c r="B49" s="394">
        <v>717131</v>
      </c>
      <c r="C49" s="375" t="s">
        <v>368</v>
      </c>
      <c r="D49" s="397">
        <v>715280</v>
      </c>
      <c r="E49" s="397">
        <v>703659</v>
      </c>
      <c r="F49" s="396">
        <f t="shared" si="1"/>
        <v>98.37532155239906</v>
      </c>
      <c r="G49" s="90"/>
      <c r="H49" s="288"/>
      <c r="I49" s="288"/>
    </row>
    <row r="50" spans="2:9" s="189" customFormat="1" ht="15" customHeight="1">
      <c r="B50" s="314">
        <v>719000</v>
      </c>
      <c r="C50" s="317" t="s">
        <v>197</v>
      </c>
      <c r="D50" s="316">
        <f>D51</f>
        <v>210</v>
      </c>
      <c r="E50" s="316">
        <f>E51</f>
        <v>186</v>
      </c>
      <c r="F50" s="294">
        <f t="shared" si="1"/>
        <v>88.57142857142857</v>
      </c>
      <c r="G50" s="188"/>
      <c r="H50" s="286"/>
      <c r="I50" s="286"/>
    </row>
    <row r="51" spans="2:9" s="189" customFormat="1" ht="12.75" customHeight="1">
      <c r="B51" s="190">
        <v>719100</v>
      </c>
      <c r="C51" s="377" t="s">
        <v>369</v>
      </c>
      <c r="D51" s="186">
        <f>SUM(D52:D54)</f>
        <v>210</v>
      </c>
      <c r="E51" s="186">
        <f>SUM(E52:E54)</f>
        <v>186</v>
      </c>
      <c r="F51" s="195">
        <f t="shared" si="1"/>
        <v>88.57142857142857</v>
      </c>
      <c r="G51" s="188"/>
      <c r="H51" s="286"/>
      <c r="I51" s="286"/>
    </row>
    <row r="52" spans="1:9" ht="12.75" customHeight="1" thickBot="1">
      <c r="A52" s="249"/>
      <c r="B52" s="394">
        <v>719111</v>
      </c>
      <c r="C52" s="375" t="s">
        <v>369</v>
      </c>
      <c r="D52" s="395">
        <v>90</v>
      </c>
      <c r="E52" s="395">
        <v>80</v>
      </c>
      <c r="F52" s="396">
        <f t="shared" si="1"/>
        <v>88.88888888888889</v>
      </c>
      <c r="G52" s="90"/>
      <c r="H52" s="281"/>
      <c r="I52" s="281"/>
    </row>
    <row r="53" spans="2:9" ht="12.75" customHeight="1">
      <c r="B53" s="398">
        <v>719114</v>
      </c>
      <c r="C53" s="379" t="s">
        <v>370</v>
      </c>
      <c r="D53" s="399">
        <v>50</v>
      </c>
      <c r="E53" s="399">
        <v>43</v>
      </c>
      <c r="F53" s="400">
        <f t="shared" si="1"/>
        <v>86</v>
      </c>
      <c r="H53" s="281"/>
      <c r="I53" s="281"/>
    </row>
    <row r="54" spans="2:9" ht="25.5">
      <c r="B54" s="394">
        <v>719115</v>
      </c>
      <c r="C54" s="378" t="s">
        <v>371</v>
      </c>
      <c r="D54" s="395">
        <v>70</v>
      </c>
      <c r="E54" s="395">
        <v>63</v>
      </c>
      <c r="F54" s="372">
        <f t="shared" si="1"/>
        <v>90</v>
      </c>
      <c r="G54" s="164"/>
      <c r="H54" s="281"/>
      <c r="I54" s="281"/>
    </row>
    <row r="55" spans="2:9" ht="12.75">
      <c r="B55" s="394"/>
      <c r="C55" s="366"/>
      <c r="D55" s="395"/>
      <c r="E55" s="395"/>
      <c r="F55" s="372">
        <f t="shared" si="1"/>
      </c>
      <c r="G55" s="164"/>
      <c r="H55" s="281"/>
      <c r="I55" s="281"/>
    </row>
    <row r="56" spans="2:7" ht="15">
      <c r="B56" s="392">
        <v>720000</v>
      </c>
      <c r="C56" s="374" t="s">
        <v>192</v>
      </c>
      <c r="D56" s="393">
        <f>D57+D70+D139</f>
        <v>2727620</v>
      </c>
      <c r="E56" s="393">
        <f>E57+E70+E139</f>
        <v>2620290</v>
      </c>
      <c r="F56" s="293">
        <f t="shared" si="1"/>
        <v>96.06506771471099</v>
      </c>
      <c r="G56" s="165"/>
    </row>
    <row r="57" spans="2:6" ht="25.5">
      <c r="B57" s="314">
        <v>721000</v>
      </c>
      <c r="C57" s="318" t="s">
        <v>215</v>
      </c>
      <c r="D57" s="316">
        <f>D58+D61+D66+D68</f>
        <v>80430</v>
      </c>
      <c r="E57" s="316">
        <f>E58+E61+E66+E68</f>
        <v>112698</v>
      </c>
      <c r="F57" s="294">
        <f t="shared" si="1"/>
        <v>140.1193584483402</v>
      </c>
    </row>
    <row r="58" spans="2:6" ht="12.75">
      <c r="B58" s="190">
        <v>721100</v>
      </c>
      <c r="C58" s="377" t="s">
        <v>372</v>
      </c>
      <c r="D58" s="186">
        <f>SUM(D59:D60)</f>
        <v>68600</v>
      </c>
      <c r="E58" s="186">
        <f>SUM(E59:E60)</f>
        <v>98871</v>
      </c>
      <c r="F58" s="187">
        <f t="shared" si="1"/>
        <v>144.1268221574344</v>
      </c>
    </row>
    <row r="59" spans="2:6" ht="12.75">
      <c r="B59" s="394">
        <v>721112</v>
      </c>
      <c r="C59" s="375" t="s">
        <v>373</v>
      </c>
      <c r="D59" s="395">
        <v>300</v>
      </c>
      <c r="E59" s="395">
        <v>283</v>
      </c>
      <c r="F59" s="372">
        <f t="shared" si="1"/>
        <v>94.33333333333334</v>
      </c>
    </row>
    <row r="60" spans="2:9" ht="12.75">
      <c r="B60" s="394">
        <v>721121</v>
      </c>
      <c r="C60" s="375" t="s">
        <v>731</v>
      </c>
      <c r="D60" s="397">
        <v>68300</v>
      </c>
      <c r="E60" s="397">
        <v>98588</v>
      </c>
      <c r="F60" s="311">
        <f t="shared" si="1"/>
        <v>144.34553440702783</v>
      </c>
      <c r="I60" s="70"/>
    </row>
    <row r="61" spans="2:6" ht="12.75">
      <c r="B61" s="190">
        <v>721200</v>
      </c>
      <c r="C61" s="377" t="s">
        <v>374</v>
      </c>
      <c r="D61" s="186">
        <f>SUM(D62:D65)</f>
        <v>11700</v>
      </c>
      <c r="E61" s="197">
        <f>SUM(E62:E65)</f>
        <v>13789</v>
      </c>
      <c r="F61" s="187">
        <f t="shared" si="1"/>
        <v>117.85470085470084</v>
      </c>
    </row>
    <row r="62" spans="2:6" ht="12.75">
      <c r="B62" s="394">
        <v>721211</v>
      </c>
      <c r="C62" s="375" t="s">
        <v>375</v>
      </c>
      <c r="D62" s="395">
        <v>1700</v>
      </c>
      <c r="E62" s="395">
        <v>1462</v>
      </c>
      <c r="F62" s="372">
        <f t="shared" si="1"/>
        <v>86</v>
      </c>
    </row>
    <row r="63" spans="2:6" ht="12.75">
      <c r="B63" s="394">
        <v>721225</v>
      </c>
      <c r="C63" s="375" t="s">
        <v>637</v>
      </c>
      <c r="D63" s="397">
        <v>10000</v>
      </c>
      <c r="E63" s="397">
        <v>8006</v>
      </c>
      <c r="F63" s="372">
        <f t="shared" si="1"/>
        <v>80.06</v>
      </c>
    </row>
    <row r="64" spans="2:6" ht="12.75">
      <c r="B64" s="394">
        <v>721227</v>
      </c>
      <c r="C64" s="375" t="s">
        <v>662</v>
      </c>
      <c r="D64" s="397">
        <v>0</v>
      </c>
      <c r="E64" s="397">
        <v>4321</v>
      </c>
      <c r="F64" s="372">
        <f t="shared" si="1"/>
      </c>
    </row>
    <row r="65" spans="2:6" ht="12.75">
      <c r="B65" s="394">
        <v>721233</v>
      </c>
      <c r="C65" s="375" t="s">
        <v>638</v>
      </c>
      <c r="D65" s="395">
        <v>0</v>
      </c>
      <c r="E65" s="395">
        <v>0</v>
      </c>
      <c r="F65" s="372">
        <f t="shared" si="1"/>
      </c>
    </row>
    <row r="66" spans="2:6" ht="12.75">
      <c r="B66" s="190">
        <v>721300</v>
      </c>
      <c r="C66" s="377" t="s">
        <v>376</v>
      </c>
      <c r="D66" s="186">
        <f>SUM(D67:D67)</f>
        <v>30</v>
      </c>
      <c r="E66" s="186">
        <f>SUM(E67:E67)</f>
        <v>25</v>
      </c>
      <c r="F66" s="187">
        <f t="shared" si="1"/>
        <v>83.33333333333334</v>
      </c>
    </row>
    <row r="67" spans="2:6" ht="12.75">
      <c r="B67" s="394">
        <v>721312</v>
      </c>
      <c r="C67" s="375" t="s">
        <v>377</v>
      </c>
      <c r="D67" s="395">
        <v>30</v>
      </c>
      <c r="E67" s="395">
        <v>25</v>
      </c>
      <c r="F67" s="372">
        <f t="shared" si="1"/>
        <v>83.33333333333334</v>
      </c>
    </row>
    <row r="68" spans="2:6" ht="12.75">
      <c r="B68" s="190">
        <v>721500</v>
      </c>
      <c r="C68" s="377" t="s">
        <v>378</v>
      </c>
      <c r="D68" s="186">
        <f>D69</f>
        <v>100</v>
      </c>
      <c r="E68" s="186">
        <f>E69</f>
        <v>13</v>
      </c>
      <c r="F68" s="187">
        <f t="shared" si="1"/>
        <v>13</v>
      </c>
    </row>
    <row r="69" spans="2:6" ht="12.75">
      <c r="B69" s="394">
        <v>721511</v>
      </c>
      <c r="C69" s="375" t="s">
        <v>378</v>
      </c>
      <c r="D69" s="395">
        <v>100</v>
      </c>
      <c r="E69" s="395">
        <v>13</v>
      </c>
      <c r="F69" s="372">
        <f t="shared" si="1"/>
        <v>13</v>
      </c>
    </row>
    <row r="70" spans="2:6" ht="12.75">
      <c r="B70" s="314">
        <v>722000</v>
      </c>
      <c r="C70" s="315" t="s">
        <v>439</v>
      </c>
      <c r="D70" s="319">
        <f>D71+D73+D75+D91+D128+D135</f>
        <v>2177400</v>
      </c>
      <c r="E70" s="319">
        <f>E71+E73+E75+E91+E128+E135</f>
        <v>2042856</v>
      </c>
      <c r="F70" s="294">
        <f t="shared" si="1"/>
        <v>93.82088729677596</v>
      </c>
    </row>
    <row r="71" spans="2:6" ht="12.75">
      <c r="B71" s="190">
        <v>722100</v>
      </c>
      <c r="C71" s="199" t="s">
        <v>379</v>
      </c>
      <c r="D71" s="197">
        <f>D72</f>
        <v>119800</v>
      </c>
      <c r="E71" s="197">
        <f>E72</f>
        <v>118810</v>
      </c>
      <c r="F71" s="187">
        <f t="shared" si="1"/>
        <v>99.17362270450751</v>
      </c>
    </row>
    <row r="72" spans="2:6" ht="12.75">
      <c r="B72" s="394">
        <v>722121</v>
      </c>
      <c r="C72" s="380" t="s">
        <v>380</v>
      </c>
      <c r="D72" s="397">
        <v>119800</v>
      </c>
      <c r="E72" s="397">
        <v>118810</v>
      </c>
      <c r="F72" s="372">
        <f t="shared" si="1"/>
        <v>99.17362270450751</v>
      </c>
    </row>
    <row r="73" spans="2:6" ht="12.75">
      <c r="B73" s="190">
        <v>722200</v>
      </c>
      <c r="C73" s="199" t="s">
        <v>381</v>
      </c>
      <c r="D73" s="197">
        <f>D74</f>
        <v>364600</v>
      </c>
      <c r="E73" s="197">
        <f>E74</f>
        <v>375897</v>
      </c>
      <c r="F73" s="187">
        <f t="shared" si="1"/>
        <v>103.09846407021392</v>
      </c>
    </row>
    <row r="74" spans="2:6" ht="12.75">
      <c r="B74" s="394">
        <v>722221</v>
      </c>
      <c r="C74" s="380" t="s">
        <v>382</v>
      </c>
      <c r="D74" s="397">
        <v>364600</v>
      </c>
      <c r="E74" s="397">
        <v>375897</v>
      </c>
      <c r="F74" s="372">
        <f t="shared" si="1"/>
        <v>103.09846407021392</v>
      </c>
    </row>
    <row r="75" spans="2:6" ht="12.75">
      <c r="B75" s="190">
        <v>722400</v>
      </c>
      <c r="C75" s="199" t="s">
        <v>383</v>
      </c>
      <c r="D75" s="197">
        <f>D76+D82+D86</f>
        <v>529440</v>
      </c>
      <c r="E75" s="197">
        <f>E76+E82+E86</f>
        <v>318618</v>
      </c>
      <c r="F75" s="187">
        <f aca="true" t="shared" si="2" ref="F75:F142">IF(D75=0,"",E75/D75*100)</f>
        <v>60.180190389845876</v>
      </c>
    </row>
    <row r="76" spans="2:6" ht="12.75">
      <c r="B76" s="200">
        <v>722420</v>
      </c>
      <c r="C76" s="381" t="s">
        <v>384</v>
      </c>
      <c r="D76" s="193">
        <f>D77+D78+D80+D81</f>
        <v>352340</v>
      </c>
      <c r="E76" s="193">
        <f>E77+E78+E80+E81</f>
        <v>189115</v>
      </c>
      <c r="F76" s="187">
        <f t="shared" si="2"/>
        <v>53.674008060396204</v>
      </c>
    </row>
    <row r="77" spans="2:6" ht="12.75">
      <c r="B77" s="394">
        <v>722421</v>
      </c>
      <c r="C77" s="380" t="s">
        <v>384</v>
      </c>
      <c r="D77" s="397">
        <v>20</v>
      </c>
      <c r="E77" s="397">
        <v>10</v>
      </c>
      <c r="F77" s="372">
        <f>IF(D77=0,"",E77/D77*100)</f>
        <v>50</v>
      </c>
    </row>
    <row r="78" spans="2:6" ht="12.75">
      <c r="B78" s="394">
        <v>722422</v>
      </c>
      <c r="C78" s="380" t="s">
        <v>471</v>
      </c>
      <c r="D78" s="397">
        <f>D79</f>
        <v>346700</v>
      </c>
      <c r="E78" s="397">
        <f>E79</f>
        <v>182164</v>
      </c>
      <c r="F78" s="372">
        <f t="shared" si="2"/>
        <v>52.54225555235074</v>
      </c>
    </row>
    <row r="79" spans="2:6" ht="12.75">
      <c r="B79" s="394"/>
      <c r="C79" s="382" t="s">
        <v>732</v>
      </c>
      <c r="D79" s="397">
        <v>346700</v>
      </c>
      <c r="E79" s="397">
        <v>182164</v>
      </c>
      <c r="F79" s="372">
        <f t="shared" si="2"/>
        <v>52.54225555235074</v>
      </c>
    </row>
    <row r="80" spans="2:6" ht="12.75">
      <c r="B80" s="394">
        <v>722424</v>
      </c>
      <c r="C80" s="380" t="s">
        <v>387</v>
      </c>
      <c r="D80" s="397">
        <v>5600</v>
      </c>
      <c r="E80" s="397">
        <v>5437</v>
      </c>
      <c r="F80" s="372">
        <f t="shared" si="2"/>
        <v>97.08928571428571</v>
      </c>
    </row>
    <row r="81" spans="2:6" ht="12.75">
      <c r="B81" s="394">
        <v>722429</v>
      </c>
      <c r="C81" s="380" t="s">
        <v>385</v>
      </c>
      <c r="D81" s="397">
        <v>20</v>
      </c>
      <c r="E81" s="397">
        <v>1504</v>
      </c>
      <c r="F81" s="372">
        <f t="shared" si="2"/>
        <v>7520</v>
      </c>
    </row>
    <row r="82" spans="2:6" ht="12.75">
      <c r="B82" s="200">
        <v>722450</v>
      </c>
      <c r="C82" s="381" t="s">
        <v>386</v>
      </c>
      <c r="D82" s="193">
        <f>SUM(D83:D85)</f>
        <v>7300</v>
      </c>
      <c r="E82" s="193">
        <f>SUM(E83:E85)</f>
        <v>7002</v>
      </c>
      <c r="F82" s="187">
        <f t="shared" si="2"/>
        <v>95.91780821917808</v>
      </c>
    </row>
    <row r="83" spans="2:6" ht="12.75">
      <c r="B83" s="394">
        <v>722451</v>
      </c>
      <c r="C83" s="380" t="s">
        <v>388</v>
      </c>
      <c r="D83" s="397">
        <v>5000</v>
      </c>
      <c r="E83" s="397">
        <v>4672</v>
      </c>
      <c r="F83" s="372">
        <f t="shared" si="2"/>
        <v>93.44</v>
      </c>
    </row>
    <row r="84" spans="2:6" ht="12.75">
      <c r="B84" s="394">
        <v>722454</v>
      </c>
      <c r="C84" s="380" t="s">
        <v>389</v>
      </c>
      <c r="D84" s="397">
        <v>2300</v>
      </c>
      <c r="E84" s="397">
        <v>2330</v>
      </c>
      <c r="F84" s="372">
        <f t="shared" si="2"/>
        <v>101.30434782608695</v>
      </c>
    </row>
    <row r="85" spans="2:9" ht="12.75">
      <c r="B85" s="394">
        <v>722455</v>
      </c>
      <c r="C85" s="382" t="s">
        <v>738</v>
      </c>
      <c r="D85" s="397">
        <v>0</v>
      </c>
      <c r="E85" s="397">
        <v>0</v>
      </c>
      <c r="F85" s="372">
        <f>IF(D85=0,"",E85/D85*100)</f>
      </c>
      <c r="I85" s="70"/>
    </row>
    <row r="86" spans="2:6" ht="25.5">
      <c r="B86" s="200">
        <v>722470</v>
      </c>
      <c r="C86" s="383" t="s">
        <v>440</v>
      </c>
      <c r="D86" s="193">
        <f>D87+D89+D90</f>
        <v>169800</v>
      </c>
      <c r="E86" s="193">
        <f>E87+E89+E90</f>
        <v>122501</v>
      </c>
      <c r="F86" s="187">
        <f t="shared" si="2"/>
        <v>72.14428739693759</v>
      </c>
    </row>
    <row r="87" spans="2:10" ht="12.75">
      <c r="B87" s="394">
        <v>722471</v>
      </c>
      <c r="C87" s="380" t="s">
        <v>390</v>
      </c>
      <c r="D87" s="397">
        <f>D88</f>
        <v>146100</v>
      </c>
      <c r="E87" s="397">
        <f>E88</f>
        <v>94729</v>
      </c>
      <c r="F87" s="372">
        <f t="shared" si="2"/>
        <v>64.8384668035592</v>
      </c>
      <c r="I87" s="70"/>
      <c r="J87" s="90"/>
    </row>
    <row r="88" spans="2:6" ht="12.75">
      <c r="B88" s="394"/>
      <c r="C88" s="382" t="s">
        <v>732</v>
      </c>
      <c r="D88" s="397">
        <v>146100</v>
      </c>
      <c r="E88" s="397">
        <v>94729</v>
      </c>
      <c r="F88" s="372">
        <f t="shared" si="2"/>
        <v>64.8384668035592</v>
      </c>
    </row>
    <row r="89" spans="2:6" ht="25.5">
      <c r="B89" s="394">
        <v>722472</v>
      </c>
      <c r="C89" s="382" t="s">
        <v>391</v>
      </c>
      <c r="D89" s="397">
        <v>18500</v>
      </c>
      <c r="E89" s="397">
        <v>22592</v>
      </c>
      <c r="F89" s="372">
        <f t="shared" si="2"/>
        <v>122.11891891891892</v>
      </c>
    </row>
    <row r="90" spans="2:6" ht="25.5">
      <c r="B90" s="394">
        <v>722479</v>
      </c>
      <c r="C90" s="382" t="s">
        <v>615</v>
      </c>
      <c r="D90" s="397">
        <v>5200</v>
      </c>
      <c r="E90" s="397">
        <v>5180</v>
      </c>
      <c r="F90" s="372">
        <f t="shared" si="2"/>
        <v>99.61538461538461</v>
      </c>
    </row>
    <row r="91" spans="2:6" ht="12.75">
      <c r="B91" s="190">
        <v>722500</v>
      </c>
      <c r="C91" s="199" t="s">
        <v>723</v>
      </c>
      <c r="D91" s="197">
        <f>D92+D96+D107+D112+D114+D121</f>
        <v>756270</v>
      </c>
      <c r="E91" s="197">
        <f>E92+E96+E107+E112+E114+E121</f>
        <v>818363</v>
      </c>
      <c r="F91" s="187">
        <f t="shared" si="2"/>
        <v>108.21042749282664</v>
      </c>
    </row>
    <row r="92" spans="2:6" ht="25.5">
      <c r="B92" s="200">
        <v>722510</v>
      </c>
      <c r="C92" s="401" t="s">
        <v>441</v>
      </c>
      <c r="D92" s="193">
        <f>SUM(D93:D95)</f>
        <v>9770</v>
      </c>
      <c r="E92" s="193">
        <f>SUM(E93:E95)</f>
        <v>10441</v>
      </c>
      <c r="F92" s="187">
        <f t="shared" si="2"/>
        <v>106.86796315250768</v>
      </c>
    </row>
    <row r="93" spans="2:6" ht="25.5">
      <c r="B93" s="394">
        <v>722514</v>
      </c>
      <c r="C93" s="373" t="s">
        <v>406</v>
      </c>
      <c r="D93" s="397">
        <v>3540</v>
      </c>
      <c r="E93" s="397">
        <v>3520</v>
      </c>
      <c r="F93" s="372">
        <f t="shared" si="2"/>
        <v>99.43502824858757</v>
      </c>
    </row>
    <row r="94" spans="2:6" ht="12.75">
      <c r="B94" s="394">
        <v>722515</v>
      </c>
      <c r="C94" s="367" t="s">
        <v>392</v>
      </c>
      <c r="D94" s="397">
        <v>6200</v>
      </c>
      <c r="E94" s="397">
        <v>6921</v>
      </c>
      <c r="F94" s="372">
        <f t="shared" si="2"/>
        <v>111.62903225806451</v>
      </c>
    </row>
    <row r="95" spans="2:6" ht="12.75">
      <c r="B95" s="394">
        <v>722516</v>
      </c>
      <c r="C95" s="367" t="s">
        <v>393</v>
      </c>
      <c r="D95" s="397">
        <v>30</v>
      </c>
      <c r="E95" s="397">
        <v>0</v>
      </c>
      <c r="F95" s="372">
        <f t="shared" si="2"/>
        <v>0</v>
      </c>
    </row>
    <row r="96" spans="2:6" ht="12.75">
      <c r="B96" s="200">
        <v>722520</v>
      </c>
      <c r="C96" s="402" t="s">
        <v>394</v>
      </c>
      <c r="D96" s="193">
        <f>D97+D99+D100+D101+D102+D104+D105+D106+D103</f>
        <v>208060</v>
      </c>
      <c r="E96" s="193">
        <f>E97+E99+E100+E101+E102+E104+E105+E106+E103</f>
        <v>218865</v>
      </c>
      <c r="F96" s="187">
        <f t="shared" si="2"/>
        <v>105.19321349610689</v>
      </c>
    </row>
    <row r="97" spans="2:6" ht="25.5">
      <c r="B97" s="394">
        <v>722521</v>
      </c>
      <c r="C97" s="373" t="s">
        <v>407</v>
      </c>
      <c r="D97" s="397">
        <f>D98</f>
        <v>92900</v>
      </c>
      <c r="E97" s="397">
        <f>E98</f>
        <v>92587</v>
      </c>
      <c r="F97" s="372">
        <f t="shared" si="2"/>
        <v>99.66307857911733</v>
      </c>
    </row>
    <row r="98" spans="2:6" ht="12.75">
      <c r="B98" s="394"/>
      <c r="C98" s="382" t="s">
        <v>733</v>
      </c>
      <c r="D98" s="397">
        <v>92900</v>
      </c>
      <c r="E98" s="397">
        <v>92587</v>
      </c>
      <c r="F98" s="372">
        <f t="shared" si="2"/>
        <v>99.66307857911733</v>
      </c>
    </row>
    <row r="99" spans="2:6" ht="25.5">
      <c r="B99" s="398">
        <v>722522</v>
      </c>
      <c r="C99" s="403" t="s">
        <v>408</v>
      </c>
      <c r="D99" s="404">
        <v>31500</v>
      </c>
      <c r="E99" s="404">
        <v>32853</v>
      </c>
      <c r="F99" s="405">
        <f t="shared" si="2"/>
        <v>104.29523809523809</v>
      </c>
    </row>
    <row r="100" spans="2:6" ht="25.5">
      <c r="B100" s="394">
        <v>722523</v>
      </c>
      <c r="C100" s="373" t="s">
        <v>409</v>
      </c>
      <c r="D100" s="397">
        <v>6000</v>
      </c>
      <c r="E100" s="397">
        <v>6193</v>
      </c>
      <c r="F100" s="396">
        <f t="shared" si="2"/>
        <v>103.21666666666667</v>
      </c>
    </row>
    <row r="101" spans="2:6" ht="25.5">
      <c r="B101" s="394">
        <v>722524</v>
      </c>
      <c r="C101" s="373" t="s">
        <v>410</v>
      </c>
      <c r="D101" s="397">
        <v>500</v>
      </c>
      <c r="E101" s="397">
        <v>469</v>
      </c>
      <c r="F101" s="396">
        <f t="shared" si="2"/>
        <v>93.8</v>
      </c>
    </row>
    <row r="102" spans="2:6" ht="25.5">
      <c r="B102" s="394">
        <v>722525</v>
      </c>
      <c r="C102" s="373" t="s">
        <v>411</v>
      </c>
      <c r="D102" s="397">
        <v>100</v>
      </c>
      <c r="E102" s="397">
        <v>95</v>
      </c>
      <c r="F102" s="396">
        <f t="shared" si="2"/>
        <v>95</v>
      </c>
    </row>
    <row r="103" spans="2:6" ht="13.5" customHeight="1">
      <c r="B103" s="394">
        <v>722526</v>
      </c>
      <c r="C103" s="373" t="s">
        <v>730</v>
      </c>
      <c r="D103" s="397">
        <v>0</v>
      </c>
      <c r="E103" s="397">
        <v>30</v>
      </c>
      <c r="F103" s="312">
        <f>IF(D103=0,"",E103/D103*100)</f>
      </c>
    </row>
    <row r="104" spans="2:6" ht="12.75">
      <c r="B104" s="394">
        <v>722527</v>
      </c>
      <c r="C104" s="367" t="s">
        <v>616</v>
      </c>
      <c r="D104" s="397">
        <v>5190</v>
      </c>
      <c r="E104" s="397">
        <v>7144</v>
      </c>
      <c r="F104" s="312">
        <f t="shared" si="2"/>
        <v>137.64932562620425</v>
      </c>
    </row>
    <row r="105" spans="2:6" ht="12.75">
      <c r="B105" s="394">
        <v>722528</v>
      </c>
      <c r="C105" s="367" t="s">
        <v>395</v>
      </c>
      <c r="D105" s="397">
        <v>970</v>
      </c>
      <c r="E105" s="397">
        <v>1090</v>
      </c>
      <c r="F105" s="396">
        <f t="shared" si="2"/>
        <v>112.37113402061856</v>
      </c>
    </row>
    <row r="106" spans="2:6" ht="12.75">
      <c r="B106" s="394">
        <v>722529</v>
      </c>
      <c r="C106" s="367" t="s">
        <v>396</v>
      </c>
      <c r="D106" s="397">
        <v>70900</v>
      </c>
      <c r="E106" s="397">
        <v>78404</v>
      </c>
      <c r="F106" s="396">
        <f t="shared" si="2"/>
        <v>110.58392101551482</v>
      </c>
    </row>
    <row r="107" spans="2:6" ht="12.75">
      <c r="B107" s="200">
        <v>722530</v>
      </c>
      <c r="C107" s="402" t="s">
        <v>397</v>
      </c>
      <c r="D107" s="193">
        <f>SUM(D108:D111)</f>
        <v>345660</v>
      </c>
      <c r="E107" s="193">
        <f>SUM(E108:E111)</f>
        <v>334992</v>
      </c>
      <c r="F107" s="195">
        <f t="shared" si="2"/>
        <v>96.91373025516403</v>
      </c>
    </row>
    <row r="108" spans="2:6" ht="12.75">
      <c r="B108" s="394">
        <v>722531</v>
      </c>
      <c r="C108" s="367" t="s">
        <v>398</v>
      </c>
      <c r="D108" s="397">
        <v>97400</v>
      </c>
      <c r="E108" s="397">
        <v>88024</v>
      </c>
      <c r="F108" s="396">
        <f t="shared" si="2"/>
        <v>90.37371663244353</v>
      </c>
    </row>
    <row r="109" spans="2:6" ht="12.75">
      <c r="B109" s="394">
        <v>722532</v>
      </c>
      <c r="C109" s="367" t="s">
        <v>399</v>
      </c>
      <c r="D109" s="397">
        <v>248200</v>
      </c>
      <c r="E109" s="397">
        <v>246968</v>
      </c>
      <c r="F109" s="396">
        <f t="shared" si="2"/>
        <v>99.50362610797744</v>
      </c>
    </row>
    <row r="110" spans="2:6" ht="12.75">
      <c r="B110" s="394">
        <v>722538</v>
      </c>
      <c r="C110" s="367" t="s">
        <v>400</v>
      </c>
      <c r="D110" s="397">
        <v>50</v>
      </c>
      <c r="E110" s="397">
        <v>0</v>
      </c>
      <c r="F110" s="396">
        <f t="shared" si="2"/>
        <v>0</v>
      </c>
    </row>
    <row r="111" spans="2:6" ht="12.75">
      <c r="B111" s="394">
        <v>722539</v>
      </c>
      <c r="C111" s="367" t="s">
        <v>639</v>
      </c>
      <c r="D111" s="397">
        <v>10</v>
      </c>
      <c r="E111" s="397">
        <v>0</v>
      </c>
      <c r="F111" s="396">
        <f t="shared" si="2"/>
        <v>0</v>
      </c>
    </row>
    <row r="112" spans="2:6" ht="12.75">
      <c r="B112" s="200">
        <v>722540</v>
      </c>
      <c r="C112" s="402" t="s">
        <v>401</v>
      </c>
      <c r="D112" s="193">
        <f>D113</f>
        <v>2900</v>
      </c>
      <c r="E112" s="193">
        <f>E113</f>
        <v>1975</v>
      </c>
      <c r="F112" s="195">
        <f t="shared" si="2"/>
        <v>68.10344827586206</v>
      </c>
    </row>
    <row r="113" spans="2:6" ht="12.75">
      <c r="B113" s="394">
        <v>722541</v>
      </c>
      <c r="C113" s="367" t="s">
        <v>402</v>
      </c>
      <c r="D113" s="397">
        <v>2900</v>
      </c>
      <c r="E113" s="397">
        <v>1975</v>
      </c>
      <c r="F113" s="396">
        <f t="shared" si="2"/>
        <v>68.10344827586206</v>
      </c>
    </row>
    <row r="114" spans="2:8" ht="12.75">
      <c r="B114" s="200">
        <v>722550</v>
      </c>
      <c r="C114" s="402" t="s">
        <v>403</v>
      </c>
      <c r="D114" s="193">
        <f>D115+D117+D119</f>
        <v>160000</v>
      </c>
      <c r="E114" s="193">
        <f>E115+E117+E119</f>
        <v>158780</v>
      </c>
      <c r="F114" s="195">
        <f t="shared" si="2"/>
        <v>99.2375</v>
      </c>
      <c r="H114" s="90"/>
    </row>
    <row r="115" spans="2:6" ht="12.75">
      <c r="B115" s="394">
        <v>722551</v>
      </c>
      <c r="C115" s="367" t="s">
        <v>404</v>
      </c>
      <c r="D115" s="397">
        <f>D116</f>
        <v>10980</v>
      </c>
      <c r="E115" s="397">
        <f>E116</f>
        <v>10979</v>
      </c>
      <c r="F115" s="396">
        <f t="shared" si="2"/>
        <v>99.99089253187614</v>
      </c>
    </row>
    <row r="116" spans="2:9" ht="12.75">
      <c r="B116" s="394"/>
      <c r="C116" s="382" t="s">
        <v>733</v>
      </c>
      <c r="D116" s="397">
        <v>10980</v>
      </c>
      <c r="E116" s="397">
        <v>10979</v>
      </c>
      <c r="F116" s="396">
        <f t="shared" si="2"/>
        <v>99.99089253187614</v>
      </c>
      <c r="I116" s="70"/>
    </row>
    <row r="117" spans="2:6" ht="12.75">
      <c r="B117" s="394">
        <v>722555</v>
      </c>
      <c r="C117" s="373" t="s">
        <v>729</v>
      </c>
      <c r="D117" s="397">
        <f>D118</f>
        <v>149020</v>
      </c>
      <c r="E117" s="397">
        <f>E118</f>
        <v>147801</v>
      </c>
      <c r="F117" s="396">
        <f t="shared" si="2"/>
        <v>99.1819889947658</v>
      </c>
    </row>
    <row r="118" spans="2:9" ht="12.75">
      <c r="B118" s="394"/>
      <c r="C118" s="382" t="s">
        <v>733</v>
      </c>
      <c r="D118" s="397">
        <v>149020</v>
      </c>
      <c r="E118" s="397">
        <v>147801</v>
      </c>
      <c r="F118" s="396">
        <f t="shared" si="2"/>
        <v>99.1819889947658</v>
      </c>
      <c r="I118" s="70"/>
    </row>
    <row r="119" spans="2:6" ht="12.75">
      <c r="B119" s="394">
        <v>722556</v>
      </c>
      <c r="C119" s="373" t="s">
        <v>728</v>
      </c>
      <c r="D119" s="397">
        <f>D120</f>
        <v>0</v>
      </c>
      <c r="E119" s="397">
        <f>E120</f>
        <v>0</v>
      </c>
      <c r="F119" s="396">
        <f t="shared" si="2"/>
      </c>
    </row>
    <row r="120" spans="2:9" ht="12.75">
      <c r="B120" s="394"/>
      <c r="C120" s="382" t="s">
        <v>733</v>
      </c>
      <c r="D120" s="397">
        <v>0</v>
      </c>
      <c r="E120" s="397">
        <v>0</v>
      </c>
      <c r="F120" s="396">
        <f t="shared" si="2"/>
      </c>
      <c r="I120" s="70"/>
    </row>
    <row r="121" spans="2:6" ht="12.75">
      <c r="B121" s="200">
        <v>722580</v>
      </c>
      <c r="C121" s="402" t="s">
        <v>412</v>
      </c>
      <c r="D121" s="193">
        <f>D122+D124+D125+D126+D127</f>
        <v>29880</v>
      </c>
      <c r="E121" s="193">
        <f>E122+E124+E125+E126+E127</f>
        <v>93310</v>
      </c>
      <c r="F121" s="195">
        <f t="shared" si="2"/>
        <v>312.2824631860777</v>
      </c>
    </row>
    <row r="122" spans="2:6" ht="25.5">
      <c r="B122" s="394">
        <v>722581</v>
      </c>
      <c r="C122" s="373" t="s">
        <v>413</v>
      </c>
      <c r="D122" s="397">
        <f>D123</f>
        <v>23430</v>
      </c>
      <c r="E122" s="397">
        <f>E123</f>
        <v>86474</v>
      </c>
      <c r="F122" s="396">
        <f t="shared" si="2"/>
        <v>369.0738369611609</v>
      </c>
    </row>
    <row r="123" spans="2:6" ht="12.75">
      <c r="B123" s="394"/>
      <c r="C123" s="382" t="s">
        <v>734</v>
      </c>
      <c r="D123" s="397">
        <v>23430</v>
      </c>
      <c r="E123" s="397">
        <v>86474</v>
      </c>
      <c r="F123" s="396">
        <f t="shared" si="2"/>
        <v>369.0738369611609</v>
      </c>
    </row>
    <row r="124" spans="2:6" ht="38.25">
      <c r="B124" s="394">
        <v>722582</v>
      </c>
      <c r="C124" s="373" t="s">
        <v>414</v>
      </c>
      <c r="D124" s="397">
        <v>3600</v>
      </c>
      <c r="E124" s="397">
        <v>3999</v>
      </c>
      <c r="F124" s="396">
        <f t="shared" si="2"/>
        <v>111.08333333333333</v>
      </c>
    </row>
    <row r="125" spans="2:6" ht="12.75">
      <c r="B125" s="394">
        <v>722583</v>
      </c>
      <c r="C125" s="373" t="s">
        <v>725</v>
      </c>
      <c r="D125" s="397">
        <v>1500</v>
      </c>
      <c r="E125" s="397">
        <v>1496</v>
      </c>
      <c r="F125" s="396">
        <f t="shared" si="2"/>
        <v>99.73333333333333</v>
      </c>
    </row>
    <row r="126" spans="2:6" ht="12.75">
      <c r="B126" s="394">
        <v>722584</v>
      </c>
      <c r="C126" s="373" t="s">
        <v>726</v>
      </c>
      <c r="D126" s="397">
        <v>950</v>
      </c>
      <c r="E126" s="397">
        <v>944</v>
      </c>
      <c r="F126" s="396">
        <f t="shared" si="2"/>
        <v>99.36842105263159</v>
      </c>
    </row>
    <row r="127" spans="2:6" ht="15" customHeight="1">
      <c r="B127" s="394">
        <v>722585</v>
      </c>
      <c r="C127" s="373" t="s">
        <v>727</v>
      </c>
      <c r="D127" s="397">
        <v>400</v>
      </c>
      <c r="E127" s="397">
        <v>397</v>
      </c>
      <c r="F127" s="396">
        <f t="shared" si="2"/>
        <v>99.25</v>
      </c>
    </row>
    <row r="128" spans="2:6" ht="12.75">
      <c r="B128" s="190">
        <v>722600</v>
      </c>
      <c r="C128" s="199" t="s">
        <v>405</v>
      </c>
      <c r="D128" s="197">
        <f>SUM(D129:D134)</f>
        <v>406420</v>
      </c>
      <c r="E128" s="197">
        <f>SUM(E129:E134)</f>
        <v>410445</v>
      </c>
      <c r="F128" s="195">
        <f t="shared" si="2"/>
        <v>100.99035480537376</v>
      </c>
    </row>
    <row r="129" spans="2:6" ht="12.75">
      <c r="B129" s="394">
        <v>722611</v>
      </c>
      <c r="C129" s="367" t="s">
        <v>415</v>
      </c>
      <c r="D129" s="397">
        <v>139500</v>
      </c>
      <c r="E129" s="397">
        <v>140540</v>
      </c>
      <c r="F129" s="396">
        <f t="shared" si="2"/>
        <v>100.74551971326164</v>
      </c>
    </row>
    <row r="130" spans="2:6" ht="12.75">
      <c r="B130" s="394">
        <v>722612</v>
      </c>
      <c r="C130" s="367" t="s">
        <v>416</v>
      </c>
      <c r="D130" s="397">
        <v>52200</v>
      </c>
      <c r="E130" s="397">
        <v>47566</v>
      </c>
      <c r="F130" s="396">
        <f t="shared" si="2"/>
        <v>91.12260536398468</v>
      </c>
    </row>
    <row r="131" spans="2:6" ht="12.75">
      <c r="B131" s="394">
        <v>722613</v>
      </c>
      <c r="C131" s="367" t="s">
        <v>417</v>
      </c>
      <c r="D131" s="397">
        <v>9500</v>
      </c>
      <c r="E131" s="397">
        <v>9160</v>
      </c>
      <c r="F131" s="396">
        <f t="shared" si="2"/>
        <v>96.42105263157895</v>
      </c>
    </row>
    <row r="132" spans="2:6" ht="12.75">
      <c r="B132" s="394">
        <v>722621</v>
      </c>
      <c r="C132" s="367" t="s">
        <v>418</v>
      </c>
      <c r="D132" s="397">
        <v>151200</v>
      </c>
      <c r="E132" s="397">
        <v>155432</v>
      </c>
      <c r="F132" s="396">
        <f t="shared" si="2"/>
        <v>102.7989417989418</v>
      </c>
    </row>
    <row r="133" spans="2:6" ht="12.75">
      <c r="B133" s="394">
        <v>722631</v>
      </c>
      <c r="C133" s="367" t="s">
        <v>419</v>
      </c>
      <c r="D133" s="397">
        <v>54000</v>
      </c>
      <c r="E133" s="397">
        <v>57747</v>
      </c>
      <c r="F133" s="396">
        <f t="shared" si="2"/>
        <v>106.9388888888889</v>
      </c>
    </row>
    <row r="134" spans="2:6" ht="12.75">
      <c r="B134" s="394">
        <v>722632</v>
      </c>
      <c r="C134" s="367" t="s">
        <v>640</v>
      </c>
      <c r="D134" s="397">
        <v>20</v>
      </c>
      <c r="E134" s="397">
        <v>0</v>
      </c>
      <c r="F134" s="396">
        <f t="shared" si="2"/>
        <v>0</v>
      </c>
    </row>
    <row r="135" spans="2:6" ht="12.75">
      <c r="B135" s="200">
        <v>722700</v>
      </c>
      <c r="C135" s="199" t="s">
        <v>420</v>
      </c>
      <c r="D135" s="197">
        <f>SUM(D136:D138)</f>
        <v>870</v>
      </c>
      <c r="E135" s="197">
        <f>SUM(E136:E138)</f>
        <v>723</v>
      </c>
      <c r="F135" s="396">
        <f t="shared" si="2"/>
        <v>83.10344827586206</v>
      </c>
    </row>
    <row r="136" spans="2:6" ht="12.75">
      <c r="B136" s="394">
        <v>722719</v>
      </c>
      <c r="C136" s="367" t="s">
        <v>617</v>
      </c>
      <c r="D136" s="397">
        <v>50</v>
      </c>
      <c r="E136" s="397">
        <v>0</v>
      </c>
      <c r="F136" s="396">
        <f t="shared" si="2"/>
        <v>0</v>
      </c>
    </row>
    <row r="137" spans="2:6" ht="12.75">
      <c r="B137" s="394">
        <v>722732</v>
      </c>
      <c r="C137" s="367" t="s">
        <v>421</v>
      </c>
      <c r="D137" s="397">
        <v>20</v>
      </c>
      <c r="E137" s="397">
        <v>0</v>
      </c>
      <c r="F137" s="396">
        <f t="shared" si="2"/>
        <v>0</v>
      </c>
    </row>
    <row r="138" spans="2:6" ht="12.75">
      <c r="B138" s="394">
        <v>722791</v>
      </c>
      <c r="C138" s="367" t="s">
        <v>422</v>
      </c>
      <c r="D138" s="397">
        <v>800</v>
      </c>
      <c r="E138" s="397">
        <v>723</v>
      </c>
      <c r="F138" s="396">
        <f t="shared" si="2"/>
        <v>90.375</v>
      </c>
    </row>
    <row r="139" spans="2:6" ht="12.75">
      <c r="B139" s="314">
        <v>723000</v>
      </c>
      <c r="C139" s="315" t="s">
        <v>198</v>
      </c>
      <c r="D139" s="316">
        <f>D140</f>
        <v>469790</v>
      </c>
      <c r="E139" s="316">
        <f>E140</f>
        <v>464736</v>
      </c>
      <c r="F139" s="294">
        <f t="shared" si="2"/>
        <v>98.92420017454607</v>
      </c>
    </row>
    <row r="140" spans="2:6" ht="12.75">
      <c r="B140" s="190">
        <v>723100</v>
      </c>
      <c r="C140" s="401" t="s">
        <v>423</v>
      </c>
      <c r="D140" s="193">
        <f>SUM(D141:D144)</f>
        <v>469790</v>
      </c>
      <c r="E140" s="193">
        <f>SUM(E141:E144)</f>
        <v>464736</v>
      </c>
      <c r="F140" s="396">
        <f t="shared" si="2"/>
        <v>98.92420017454607</v>
      </c>
    </row>
    <row r="141" spans="2:6" ht="12.75">
      <c r="B141" s="394">
        <v>723121</v>
      </c>
      <c r="C141" s="366" t="s">
        <v>424</v>
      </c>
      <c r="D141" s="395">
        <v>70</v>
      </c>
      <c r="E141" s="395">
        <v>150</v>
      </c>
      <c r="F141" s="396">
        <f t="shared" si="2"/>
        <v>214.28571428571428</v>
      </c>
    </row>
    <row r="142" spans="2:6" ht="12.75">
      <c r="B142" s="394">
        <v>723122</v>
      </c>
      <c r="C142" s="366" t="s">
        <v>425</v>
      </c>
      <c r="D142" s="397">
        <v>20</v>
      </c>
      <c r="E142" s="397">
        <v>30</v>
      </c>
      <c r="F142" s="396">
        <f t="shared" si="2"/>
        <v>150</v>
      </c>
    </row>
    <row r="143" spans="2:6" ht="25.5">
      <c r="B143" s="394">
        <v>723123</v>
      </c>
      <c r="C143" s="406" t="s">
        <v>427</v>
      </c>
      <c r="D143" s="395">
        <v>465200</v>
      </c>
      <c r="E143" s="395">
        <v>458987</v>
      </c>
      <c r="F143" s="396">
        <f aca="true" t="shared" si="3" ref="F143:F201">IF(D143=0,"",E143/D143*100)</f>
        <v>98.66444539982803</v>
      </c>
    </row>
    <row r="144" spans="2:6" ht="12.75">
      <c r="B144" s="398">
        <v>723129</v>
      </c>
      <c r="C144" s="407" t="s">
        <v>426</v>
      </c>
      <c r="D144" s="399">
        <v>4500</v>
      </c>
      <c r="E144" s="399">
        <v>5569</v>
      </c>
      <c r="F144" s="400">
        <f t="shared" si="3"/>
        <v>123.75555555555555</v>
      </c>
    </row>
    <row r="145" spans="2:6" ht="12.75">
      <c r="B145" s="394"/>
      <c r="C145" s="406"/>
      <c r="D145" s="395"/>
      <c r="E145" s="395"/>
      <c r="F145" s="372">
        <f t="shared" si="3"/>
      </c>
    </row>
    <row r="146" spans="2:8" ht="15">
      <c r="B146" s="450" t="s">
        <v>469</v>
      </c>
      <c r="C146" s="451"/>
      <c r="D146" s="408">
        <f>D5+D56</f>
        <v>37920850</v>
      </c>
      <c r="E146" s="408">
        <f>E5+E56</f>
        <v>37544522</v>
      </c>
      <c r="F146" s="295">
        <f t="shared" si="3"/>
        <v>99.00759608500337</v>
      </c>
      <c r="H146" s="90"/>
    </row>
    <row r="147" spans="2:6" ht="12.75">
      <c r="B147" s="409"/>
      <c r="C147" s="410"/>
      <c r="D147" s="395"/>
      <c r="E147" s="395"/>
      <c r="F147" s="372">
        <f t="shared" si="3"/>
      </c>
    </row>
    <row r="148" spans="2:8" ht="15">
      <c r="B148" s="392">
        <v>730000</v>
      </c>
      <c r="C148" s="411" t="s">
        <v>525</v>
      </c>
      <c r="D148" s="393">
        <f>D149+D157+D172</f>
        <v>1703220</v>
      </c>
      <c r="E148" s="393">
        <f>E149+E157+E172</f>
        <v>1461387</v>
      </c>
      <c r="F148" s="293">
        <f t="shared" si="3"/>
        <v>85.80142318666995</v>
      </c>
      <c r="H148" s="90"/>
    </row>
    <row r="149" spans="2:6" ht="25.5">
      <c r="B149" s="314">
        <v>731000</v>
      </c>
      <c r="C149" s="315" t="s">
        <v>507</v>
      </c>
      <c r="D149" s="316">
        <f>D150</f>
        <v>142910</v>
      </c>
      <c r="E149" s="316">
        <f>E150</f>
        <v>89886</v>
      </c>
      <c r="F149" s="294">
        <f t="shared" si="3"/>
        <v>62.89692813658946</v>
      </c>
    </row>
    <row r="150" spans="2:6" ht="12.75">
      <c r="B150" s="200">
        <v>731100</v>
      </c>
      <c r="C150" s="381" t="s">
        <v>508</v>
      </c>
      <c r="D150" s="193">
        <f>D151+D154</f>
        <v>142910</v>
      </c>
      <c r="E150" s="193">
        <f>E151+E154</f>
        <v>89886</v>
      </c>
      <c r="F150" s="187">
        <f t="shared" si="3"/>
        <v>62.89692813658946</v>
      </c>
    </row>
    <row r="151" spans="2:6" ht="12.75">
      <c r="B151" s="394">
        <v>731111</v>
      </c>
      <c r="C151" s="375" t="s">
        <v>657</v>
      </c>
      <c r="D151" s="395">
        <f>SUM(D152:D153)</f>
        <v>20280</v>
      </c>
      <c r="E151" s="395">
        <f>SUM(E152:E153)</f>
        <v>20276</v>
      </c>
      <c r="F151" s="372">
        <f>IF(D151=0,"",E151/D151*100)</f>
        <v>99.98027613412229</v>
      </c>
    </row>
    <row r="152" spans="2:6" ht="12.75">
      <c r="B152" s="394"/>
      <c r="C152" s="382" t="s">
        <v>655</v>
      </c>
      <c r="D152" s="397">
        <v>0</v>
      </c>
      <c r="E152" s="397">
        <v>0</v>
      </c>
      <c r="F152" s="372">
        <f>IF(D152=0,"",E152/D152*100)</f>
      </c>
    </row>
    <row r="153" spans="2:6" ht="12.75">
      <c r="B153" s="394"/>
      <c r="C153" s="382" t="s">
        <v>683</v>
      </c>
      <c r="D153" s="397">
        <v>20280</v>
      </c>
      <c r="E153" s="397">
        <v>20276</v>
      </c>
      <c r="F153" s="372">
        <f>IF(D153=0,"",E153/D153*100)</f>
        <v>99.98027613412229</v>
      </c>
    </row>
    <row r="154" spans="2:6" ht="12.75">
      <c r="B154" s="394">
        <v>731121</v>
      </c>
      <c r="C154" s="375" t="s">
        <v>509</v>
      </c>
      <c r="D154" s="395">
        <f>SUM(D155:D156)</f>
        <v>122630</v>
      </c>
      <c r="E154" s="395">
        <f>SUM(E155:E156)</f>
        <v>69610</v>
      </c>
      <c r="F154" s="372">
        <f t="shared" si="3"/>
        <v>56.76425018347876</v>
      </c>
    </row>
    <row r="155" spans="2:6" ht="12.75">
      <c r="B155" s="394"/>
      <c r="C155" s="382" t="s">
        <v>618</v>
      </c>
      <c r="D155" s="397">
        <v>11690</v>
      </c>
      <c r="E155" s="397">
        <v>10567</v>
      </c>
      <c r="F155" s="372">
        <f t="shared" si="3"/>
        <v>90.39349871685201</v>
      </c>
    </row>
    <row r="156" spans="2:6" ht="12.75">
      <c r="B156" s="394"/>
      <c r="C156" s="382" t="s">
        <v>619</v>
      </c>
      <c r="D156" s="397">
        <v>110940</v>
      </c>
      <c r="E156" s="397">
        <v>59043</v>
      </c>
      <c r="F156" s="372">
        <f t="shared" si="3"/>
        <v>53.22065981611682</v>
      </c>
    </row>
    <row r="157" spans="2:8" ht="12.75">
      <c r="B157" s="412">
        <v>732000</v>
      </c>
      <c r="C157" s="315" t="s">
        <v>510</v>
      </c>
      <c r="D157" s="316">
        <f>D158</f>
        <v>1560310</v>
      </c>
      <c r="E157" s="316">
        <f>E158</f>
        <v>1371501</v>
      </c>
      <c r="F157" s="294">
        <f t="shared" si="3"/>
        <v>87.8992636078728</v>
      </c>
      <c r="H157" s="90"/>
    </row>
    <row r="158" spans="2:6" ht="12.75">
      <c r="B158" s="200">
        <v>732100</v>
      </c>
      <c r="C158" s="381" t="s">
        <v>511</v>
      </c>
      <c r="D158" s="193">
        <f>D159+D170</f>
        <v>1560310</v>
      </c>
      <c r="E158" s="193">
        <f>E159+E170</f>
        <v>1371501</v>
      </c>
      <c r="F158" s="187">
        <f t="shared" si="3"/>
        <v>87.8992636078728</v>
      </c>
    </row>
    <row r="159" spans="2:6" ht="12.75">
      <c r="B159" s="190">
        <v>732110</v>
      </c>
      <c r="C159" s="196" t="s">
        <v>512</v>
      </c>
      <c r="D159" s="197">
        <f>D160</f>
        <v>1545310</v>
      </c>
      <c r="E159" s="197">
        <f>E160</f>
        <v>1353963</v>
      </c>
      <c r="F159" s="187">
        <f t="shared" si="3"/>
        <v>87.61756540758812</v>
      </c>
    </row>
    <row r="160" spans="2:6" ht="12.75">
      <c r="B160" s="394">
        <v>732112</v>
      </c>
      <c r="C160" s="375" t="s">
        <v>513</v>
      </c>
      <c r="D160" s="395">
        <f>SUM(D161:D169)</f>
        <v>1545310</v>
      </c>
      <c r="E160" s="395">
        <f>SUM(E161:E169)</f>
        <v>1353963</v>
      </c>
      <c r="F160" s="372">
        <f t="shared" si="3"/>
        <v>87.61756540758812</v>
      </c>
    </row>
    <row r="161" spans="2:6" ht="12.75">
      <c r="B161" s="394"/>
      <c r="C161" s="382" t="s">
        <v>641</v>
      </c>
      <c r="D161" s="397">
        <v>52230</v>
      </c>
      <c r="E161" s="397">
        <v>61301</v>
      </c>
      <c r="F161" s="372">
        <f t="shared" si="3"/>
        <v>117.36741336396707</v>
      </c>
    </row>
    <row r="162" spans="2:6" ht="12.75">
      <c r="B162" s="394"/>
      <c r="C162" s="382" t="s">
        <v>724</v>
      </c>
      <c r="D162" s="397">
        <v>267900</v>
      </c>
      <c r="E162" s="397">
        <v>267487</v>
      </c>
      <c r="F162" s="372">
        <f t="shared" si="3"/>
        <v>99.84583799925345</v>
      </c>
    </row>
    <row r="163" spans="2:6" ht="12.75">
      <c r="B163" s="394"/>
      <c r="C163" s="382" t="s">
        <v>739</v>
      </c>
      <c r="D163" s="397">
        <v>8600</v>
      </c>
      <c r="E163" s="397">
        <v>8600</v>
      </c>
      <c r="F163" s="372">
        <f>IF(D163=0,"",E163/D163*100)</f>
        <v>100</v>
      </c>
    </row>
    <row r="164" spans="2:6" ht="15.75" customHeight="1">
      <c r="B164" s="394"/>
      <c r="C164" s="382" t="s">
        <v>740</v>
      </c>
      <c r="D164" s="397">
        <v>15080</v>
      </c>
      <c r="E164" s="397">
        <v>15075</v>
      </c>
      <c r="F164" s="372">
        <f t="shared" si="3"/>
        <v>99.96684350132627</v>
      </c>
    </row>
    <row r="165" spans="2:6" ht="15.75" customHeight="1">
      <c r="B165" s="394"/>
      <c r="C165" s="382" t="s">
        <v>741</v>
      </c>
      <c r="D165" s="397">
        <v>0</v>
      </c>
      <c r="E165" s="397">
        <v>0</v>
      </c>
      <c r="F165" s="372">
        <f>IF(D165=0,"",E165/D165*100)</f>
      </c>
    </row>
    <row r="166" spans="2:6" ht="15.75" customHeight="1">
      <c r="B166" s="394"/>
      <c r="C166" s="382" t="s">
        <v>742</v>
      </c>
      <c r="D166" s="397">
        <v>1500</v>
      </c>
      <c r="E166" s="397">
        <v>1500</v>
      </c>
      <c r="F166" s="372">
        <f>IF(D166=0,"",E166/D166*100)</f>
        <v>100</v>
      </c>
    </row>
    <row r="167" spans="2:6" ht="15.75" customHeight="1">
      <c r="B167" s="394"/>
      <c r="C167" s="382" t="s">
        <v>743</v>
      </c>
      <c r="D167" s="397">
        <v>0</v>
      </c>
      <c r="E167" s="397">
        <v>0</v>
      </c>
      <c r="F167" s="372">
        <f>IF(D167=0,"",E167/D167*100)</f>
      </c>
    </row>
    <row r="168" spans="2:6" ht="14.25" customHeight="1">
      <c r="B168" s="394"/>
      <c r="C168" s="382" t="s">
        <v>642</v>
      </c>
      <c r="D168" s="397">
        <v>0</v>
      </c>
      <c r="E168" s="397">
        <v>0</v>
      </c>
      <c r="F168" s="372">
        <f>IF(D168=0,"",E168/D168*100)</f>
      </c>
    </row>
    <row r="169" spans="2:6" ht="15" customHeight="1">
      <c r="B169" s="394"/>
      <c r="C169" s="382" t="s">
        <v>465</v>
      </c>
      <c r="D169" s="397">
        <v>1200000</v>
      </c>
      <c r="E169" s="397">
        <v>1000000</v>
      </c>
      <c r="F169" s="372">
        <f t="shared" si="3"/>
        <v>83.33333333333334</v>
      </c>
    </row>
    <row r="170" spans="2:6" ht="12.75">
      <c r="B170" s="190">
        <v>732120</v>
      </c>
      <c r="C170" s="196" t="s">
        <v>514</v>
      </c>
      <c r="D170" s="197">
        <f>SUM(D171:D171)</f>
        <v>15000</v>
      </c>
      <c r="E170" s="197">
        <f>SUM(E171:E171)</f>
        <v>17538</v>
      </c>
      <c r="F170" s="187">
        <f t="shared" si="3"/>
        <v>116.92</v>
      </c>
    </row>
    <row r="171" spans="2:6" ht="14.25" customHeight="1">
      <c r="B171" s="394">
        <v>732125</v>
      </c>
      <c r="C171" s="380" t="s">
        <v>684</v>
      </c>
      <c r="D171" s="395">
        <v>15000</v>
      </c>
      <c r="E171" s="395">
        <v>17538</v>
      </c>
      <c r="F171" s="372">
        <f t="shared" si="3"/>
        <v>116.92</v>
      </c>
    </row>
    <row r="172" spans="2:6" ht="12.75">
      <c r="B172" s="412">
        <v>733000</v>
      </c>
      <c r="C172" s="315" t="s">
        <v>428</v>
      </c>
      <c r="D172" s="316">
        <f>D173</f>
        <v>0</v>
      </c>
      <c r="E172" s="316">
        <f>E173</f>
        <v>0</v>
      </c>
      <c r="F172" s="294">
        <f t="shared" si="3"/>
      </c>
    </row>
    <row r="173" spans="2:6" ht="12.75">
      <c r="B173" s="200">
        <v>733100</v>
      </c>
      <c r="C173" s="381" t="s">
        <v>429</v>
      </c>
      <c r="D173" s="193">
        <f>D174+D177</f>
        <v>0</v>
      </c>
      <c r="E173" s="193">
        <f>E174+E177</f>
        <v>0</v>
      </c>
      <c r="F173" s="187">
        <f t="shared" si="3"/>
      </c>
    </row>
    <row r="174" spans="2:6" ht="12.75">
      <c r="B174" s="190">
        <v>733110</v>
      </c>
      <c r="C174" s="196" t="s">
        <v>430</v>
      </c>
      <c r="D174" s="197">
        <f>SUM(D175:D176)</f>
        <v>0</v>
      </c>
      <c r="E174" s="197">
        <f>SUM(E175:E176)</f>
        <v>0</v>
      </c>
      <c r="F174" s="187">
        <f t="shared" si="3"/>
      </c>
    </row>
    <row r="175" spans="2:6" ht="12.75">
      <c r="B175" s="394">
        <v>733112</v>
      </c>
      <c r="C175" s="382" t="s">
        <v>744</v>
      </c>
      <c r="D175" s="397">
        <v>0</v>
      </c>
      <c r="E175" s="397">
        <v>0</v>
      </c>
      <c r="F175" s="372">
        <f>IF(D175=0,"",E175/D175*100)</f>
      </c>
    </row>
    <row r="176" spans="2:6" ht="12.75">
      <c r="B176" s="394">
        <v>733116</v>
      </c>
      <c r="C176" s="382" t="s">
        <v>735</v>
      </c>
      <c r="D176" s="397">
        <v>0</v>
      </c>
      <c r="E176" s="397">
        <v>0</v>
      </c>
      <c r="F176" s="372">
        <f t="shared" si="3"/>
      </c>
    </row>
    <row r="177" spans="2:6" ht="12.75">
      <c r="B177" s="190">
        <v>733120</v>
      </c>
      <c r="C177" s="196" t="s">
        <v>431</v>
      </c>
      <c r="D177" s="197">
        <f>D178+D179</f>
        <v>0</v>
      </c>
      <c r="E177" s="197">
        <f>E178+E179</f>
        <v>0</v>
      </c>
      <c r="F177" s="187">
        <f t="shared" si="3"/>
      </c>
    </row>
    <row r="178" spans="2:6" ht="12.75">
      <c r="B178" s="394">
        <v>733121</v>
      </c>
      <c r="C178" s="382" t="s">
        <v>466</v>
      </c>
      <c r="D178" s="397">
        <v>0</v>
      </c>
      <c r="E178" s="397">
        <v>0</v>
      </c>
      <c r="F178" s="372">
        <f>IF(D178=0,"",E178/D178*100)</f>
      </c>
    </row>
    <row r="179" spans="2:6" ht="12.75">
      <c r="B179" s="394">
        <v>733126</v>
      </c>
      <c r="C179" s="382" t="s">
        <v>468</v>
      </c>
      <c r="D179" s="397">
        <v>0</v>
      </c>
      <c r="E179" s="397">
        <v>0</v>
      </c>
      <c r="F179" s="372">
        <f t="shared" si="3"/>
      </c>
    </row>
    <row r="180" spans="2:6" ht="12.75">
      <c r="B180" s="413"/>
      <c r="C180" s="199"/>
      <c r="D180" s="186"/>
      <c r="E180" s="186"/>
      <c r="F180" s="372">
        <f t="shared" si="3"/>
      </c>
    </row>
    <row r="181" spans="2:6" ht="15">
      <c r="B181" s="392">
        <v>740000</v>
      </c>
      <c r="C181" s="411" t="s">
        <v>515</v>
      </c>
      <c r="D181" s="393">
        <f>D182+D190</f>
        <v>644220</v>
      </c>
      <c r="E181" s="393">
        <f>E182+E190</f>
        <v>446210</v>
      </c>
      <c r="F181" s="293">
        <f t="shared" si="3"/>
        <v>69.26360560057122</v>
      </c>
    </row>
    <row r="182" spans="2:6" ht="25.5">
      <c r="B182" s="412">
        <v>741000</v>
      </c>
      <c r="C182" s="315" t="s">
        <v>516</v>
      </c>
      <c r="D182" s="316">
        <f>D183</f>
        <v>198470</v>
      </c>
      <c r="E182" s="316">
        <f>E183</f>
        <v>198453</v>
      </c>
      <c r="F182" s="294">
        <f t="shared" si="3"/>
        <v>99.99143447372398</v>
      </c>
    </row>
    <row r="183" spans="2:6" ht="25.5">
      <c r="B183" s="200">
        <v>741100</v>
      </c>
      <c r="C183" s="383" t="s">
        <v>517</v>
      </c>
      <c r="D183" s="193">
        <f>D184</f>
        <v>198470</v>
      </c>
      <c r="E183" s="193">
        <f>E184</f>
        <v>198453</v>
      </c>
      <c r="F183" s="187">
        <f t="shared" si="3"/>
        <v>99.99143447372398</v>
      </c>
    </row>
    <row r="184" spans="2:6" ht="12.75">
      <c r="B184" s="394">
        <v>741111</v>
      </c>
      <c r="C184" s="375" t="s">
        <v>518</v>
      </c>
      <c r="D184" s="395">
        <f>SUM(D185:D189)</f>
        <v>198470</v>
      </c>
      <c r="E184" s="395">
        <f>SUM(E185:E189)</f>
        <v>198453</v>
      </c>
      <c r="F184" s="372">
        <f t="shared" si="3"/>
        <v>99.99143447372398</v>
      </c>
    </row>
    <row r="185" spans="2:6" ht="12.75">
      <c r="B185" s="394"/>
      <c r="C185" s="382" t="s">
        <v>644</v>
      </c>
      <c r="D185" s="397">
        <v>86830</v>
      </c>
      <c r="E185" s="397">
        <v>86828</v>
      </c>
      <c r="F185" s="372">
        <f>IF(D185=0,"",E185/D185*100)</f>
        <v>99.99769664862374</v>
      </c>
    </row>
    <row r="186" spans="2:6" ht="12.75">
      <c r="B186" s="394"/>
      <c r="C186" s="382" t="s">
        <v>644</v>
      </c>
      <c r="D186" s="397">
        <v>102040</v>
      </c>
      <c r="E186" s="397">
        <v>102032</v>
      </c>
      <c r="F186" s="372">
        <f>IF(D186=0,"",E186/D186*100)</f>
        <v>99.9921599372795</v>
      </c>
    </row>
    <row r="187" spans="2:6" ht="12.75">
      <c r="B187" s="394"/>
      <c r="C187" s="382" t="s">
        <v>745</v>
      </c>
      <c r="D187" s="397">
        <v>3900</v>
      </c>
      <c r="E187" s="397">
        <v>3896</v>
      </c>
      <c r="F187" s="372">
        <f>IF(D187=0,"",E187/D187*100)</f>
        <v>99.8974358974359</v>
      </c>
    </row>
    <row r="188" spans="2:6" ht="14.25" customHeight="1">
      <c r="B188" s="394"/>
      <c r="C188" s="382" t="s">
        <v>746</v>
      </c>
      <c r="D188" s="397">
        <v>5700</v>
      </c>
      <c r="E188" s="397">
        <v>5697</v>
      </c>
      <c r="F188" s="372">
        <f>IF(D188=0,"",E188/D188*100)</f>
        <v>99.94736842105263</v>
      </c>
    </row>
    <row r="189" spans="2:6" ht="12.75">
      <c r="B189" s="394"/>
      <c r="C189" s="382" t="s">
        <v>736</v>
      </c>
      <c r="D189" s="397">
        <v>0</v>
      </c>
      <c r="E189" s="397">
        <v>0</v>
      </c>
      <c r="F189" s="372">
        <f t="shared" si="3"/>
      </c>
    </row>
    <row r="190" spans="2:6" ht="12.75">
      <c r="B190" s="412">
        <v>742000</v>
      </c>
      <c r="C190" s="315" t="s">
        <v>519</v>
      </c>
      <c r="D190" s="316">
        <f>D191</f>
        <v>445750</v>
      </c>
      <c r="E190" s="316">
        <f>E191</f>
        <v>247757</v>
      </c>
      <c r="F190" s="294">
        <f t="shared" si="3"/>
        <v>55.5820527201346</v>
      </c>
    </row>
    <row r="191" spans="2:6" ht="12.75">
      <c r="B191" s="200">
        <v>742100</v>
      </c>
      <c r="C191" s="383" t="s">
        <v>520</v>
      </c>
      <c r="D191" s="193">
        <f>D192+D194+D204</f>
        <v>445750</v>
      </c>
      <c r="E191" s="193">
        <f>E192+E194+E204</f>
        <v>247757</v>
      </c>
      <c r="F191" s="187">
        <f t="shared" si="3"/>
        <v>55.5820527201346</v>
      </c>
    </row>
    <row r="192" spans="2:6" ht="12.75">
      <c r="B192" s="394">
        <v>742111</v>
      </c>
      <c r="C192" s="375" t="s">
        <v>645</v>
      </c>
      <c r="D192" s="395">
        <f>D193</f>
        <v>0</v>
      </c>
      <c r="E192" s="395">
        <f>E193</f>
        <v>0</v>
      </c>
      <c r="F192" s="372">
        <f>IF(D192=0,"",E192/D192*100)</f>
      </c>
    </row>
    <row r="193" spans="2:6" ht="12.75">
      <c r="B193" s="190"/>
      <c r="C193" s="382" t="s">
        <v>737</v>
      </c>
      <c r="D193" s="397">
        <v>0</v>
      </c>
      <c r="E193" s="397">
        <v>0</v>
      </c>
      <c r="F193" s="372">
        <f>IF(D193=0,"",E193/D193*100)</f>
      </c>
    </row>
    <row r="194" spans="2:6" ht="12.75">
      <c r="B194" s="394">
        <v>742112</v>
      </c>
      <c r="C194" s="375" t="s">
        <v>521</v>
      </c>
      <c r="D194" s="395">
        <f>SUM(D195:D203)</f>
        <v>445750</v>
      </c>
      <c r="E194" s="395">
        <f>SUM(E195:E203)</f>
        <v>247757</v>
      </c>
      <c r="F194" s="372">
        <f t="shared" si="3"/>
        <v>55.5820527201346</v>
      </c>
    </row>
    <row r="195" spans="2:6" ht="12.75">
      <c r="B195" s="190"/>
      <c r="C195" s="382" t="s">
        <v>621</v>
      </c>
      <c r="D195" s="397">
        <v>142240</v>
      </c>
      <c r="E195" s="397">
        <v>142240</v>
      </c>
      <c r="F195" s="372">
        <f t="shared" si="3"/>
        <v>100</v>
      </c>
    </row>
    <row r="196" spans="2:6" ht="12.75">
      <c r="B196" s="190"/>
      <c r="C196" s="382" t="s">
        <v>747</v>
      </c>
      <c r="D196" s="397">
        <v>200000</v>
      </c>
      <c r="E196" s="397">
        <v>0</v>
      </c>
      <c r="F196" s="372">
        <f t="shared" si="3"/>
        <v>0</v>
      </c>
    </row>
    <row r="197" spans="2:6" ht="25.5">
      <c r="B197" s="190"/>
      <c r="C197" s="382" t="s">
        <v>622</v>
      </c>
      <c r="D197" s="397">
        <v>50000</v>
      </c>
      <c r="E197" s="397">
        <v>50000</v>
      </c>
      <c r="F197" s="372">
        <f t="shared" si="3"/>
        <v>100</v>
      </c>
    </row>
    <row r="198" spans="2:6" ht="15.75" customHeight="1">
      <c r="B198" s="394"/>
      <c r="C198" s="382" t="s">
        <v>748</v>
      </c>
      <c r="D198" s="397">
        <v>50000</v>
      </c>
      <c r="E198" s="397">
        <v>52007</v>
      </c>
      <c r="F198" s="372">
        <f>IF(D198=0,"",E198/D198*100)</f>
        <v>104.01400000000001</v>
      </c>
    </row>
    <row r="199" spans="2:6" ht="15.75" customHeight="1">
      <c r="B199" s="394"/>
      <c r="C199" s="382" t="s">
        <v>720</v>
      </c>
      <c r="D199" s="397">
        <v>0</v>
      </c>
      <c r="E199" s="397">
        <v>0</v>
      </c>
      <c r="F199" s="372">
        <f>IF(D199=0,"",E199/D199*100)</f>
      </c>
    </row>
    <row r="200" spans="2:6" ht="15" customHeight="1">
      <c r="B200" s="190"/>
      <c r="C200" s="382" t="s">
        <v>749</v>
      </c>
      <c r="D200" s="397">
        <v>3510</v>
      </c>
      <c r="E200" s="397">
        <v>3510</v>
      </c>
      <c r="F200" s="372">
        <f t="shared" si="3"/>
        <v>100</v>
      </c>
    </row>
    <row r="201" spans="2:6" ht="12.75">
      <c r="B201" s="394"/>
      <c r="C201" s="382" t="s">
        <v>623</v>
      </c>
      <c r="D201" s="397">
        <v>0</v>
      </c>
      <c r="E201" s="397">
        <v>0</v>
      </c>
      <c r="F201" s="372">
        <f t="shared" si="3"/>
      </c>
    </row>
    <row r="202" spans="2:6" ht="12.75">
      <c r="B202" s="394"/>
      <c r="C202" s="382" t="s">
        <v>624</v>
      </c>
      <c r="D202" s="397">
        <v>0</v>
      </c>
      <c r="E202" s="397">
        <v>0</v>
      </c>
      <c r="F202" s="372">
        <f aca="true" t="shared" si="4" ref="F202:F227">IF(D202=0,"",E202/D202*100)</f>
      </c>
    </row>
    <row r="203" spans="2:6" ht="12.75">
      <c r="B203" s="394"/>
      <c r="C203" s="382" t="s">
        <v>625</v>
      </c>
      <c r="D203" s="397">
        <v>0</v>
      </c>
      <c r="E203" s="397">
        <v>0</v>
      </c>
      <c r="F203" s="372">
        <f t="shared" si="4"/>
      </c>
    </row>
    <row r="204" spans="2:6" ht="12.75">
      <c r="B204" s="394">
        <v>742116</v>
      </c>
      <c r="C204" s="375" t="s">
        <v>643</v>
      </c>
      <c r="D204" s="395">
        <f>D205</f>
        <v>0</v>
      </c>
      <c r="E204" s="395">
        <f>E205</f>
        <v>0</v>
      </c>
      <c r="F204" s="372">
        <f>IF(D204=0,"",E204/D204*100)</f>
      </c>
    </row>
    <row r="205" spans="2:6" ht="12.75">
      <c r="B205" s="190"/>
      <c r="C205" s="382" t="s">
        <v>466</v>
      </c>
      <c r="D205" s="397">
        <v>0</v>
      </c>
      <c r="E205" s="397">
        <v>0</v>
      </c>
      <c r="F205" s="372">
        <f>IF(D205=0,"",E205/D205*100)</f>
      </c>
    </row>
    <row r="206" spans="2:6" ht="12.75">
      <c r="B206" s="190"/>
      <c r="C206" s="382"/>
      <c r="D206" s="397"/>
      <c r="E206" s="397"/>
      <c r="F206" s="372">
        <f t="shared" si="4"/>
      </c>
    </row>
    <row r="207" spans="2:6" ht="15">
      <c r="B207" s="392">
        <v>777000</v>
      </c>
      <c r="C207" s="374" t="s">
        <v>432</v>
      </c>
      <c r="D207" s="414">
        <f>SUM(D208:D209)</f>
        <v>21470</v>
      </c>
      <c r="E207" s="414">
        <f>SUM(E208:E209)</f>
        <v>21372</v>
      </c>
      <c r="F207" s="294">
        <f t="shared" si="4"/>
        <v>99.54354913833255</v>
      </c>
    </row>
    <row r="208" spans="2:6" ht="12.75">
      <c r="B208" s="394">
        <v>777778</v>
      </c>
      <c r="C208" s="380" t="s">
        <v>433</v>
      </c>
      <c r="D208" s="395">
        <v>21200</v>
      </c>
      <c r="E208" s="395">
        <v>21112</v>
      </c>
      <c r="F208" s="372">
        <f t="shared" si="4"/>
        <v>99.58490566037736</v>
      </c>
    </row>
    <row r="209" spans="2:6" ht="12.75">
      <c r="B209" s="394">
        <v>777779</v>
      </c>
      <c r="C209" s="375" t="s">
        <v>750</v>
      </c>
      <c r="D209" s="395">
        <v>270</v>
      </c>
      <c r="E209" s="395">
        <v>260</v>
      </c>
      <c r="F209" s="372">
        <f t="shared" si="4"/>
        <v>96.29629629629629</v>
      </c>
    </row>
    <row r="210" spans="2:6" ht="12.75">
      <c r="B210" s="415"/>
      <c r="C210" s="373"/>
      <c r="D210" s="397"/>
      <c r="E210" s="397"/>
      <c r="F210" s="372">
        <f t="shared" si="4"/>
      </c>
    </row>
    <row r="211" spans="2:6" ht="15">
      <c r="B211" s="450" t="s">
        <v>470</v>
      </c>
      <c r="C211" s="451"/>
      <c r="D211" s="408">
        <f>D146+D148+D181+D207</f>
        <v>40289760</v>
      </c>
      <c r="E211" s="408">
        <f>E146+E148+E181+E207</f>
        <v>39473491</v>
      </c>
      <c r="F211" s="295">
        <f t="shared" si="4"/>
        <v>97.97400381635433</v>
      </c>
    </row>
    <row r="212" spans="2:6" ht="15">
      <c r="B212" s="416"/>
      <c r="C212" s="417"/>
      <c r="D212" s="408"/>
      <c r="E212" s="408"/>
      <c r="F212" s="372">
        <f t="shared" si="4"/>
      </c>
    </row>
    <row r="213" spans="2:6" ht="15">
      <c r="B213" s="392">
        <v>810000</v>
      </c>
      <c r="C213" s="374" t="s">
        <v>434</v>
      </c>
      <c r="D213" s="393">
        <f>D214</f>
        <v>53470</v>
      </c>
      <c r="E213" s="393">
        <f>E214</f>
        <v>62017</v>
      </c>
      <c r="F213" s="294">
        <f t="shared" si="4"/>
        <v>115.98466429773704</v>
      </c>
    </row>
    <row r="214" spans="2:6" ht="12.75">
      <c r="B214" s="314">
        <v>811000</v>
      </c>
      <c r="C214" s="315" t="s">
        <v>436</v>
      </c>
      <c r="D214" s="316">
        <f>SUM(D215:D215)</f>
        <v>53470</v>
      </c>
      <c r="E214" s="316">
        <f>SUM(E215:E215)</f>
        <v>62017</v>
      </c>
      <c r="F214" s="294">
        <f t="shared" si="4"/>
        <v>115.98466429773704</v>
      </c>
    </row>
    <row r="215" spans="2:6" ht="12.75">
      <c r="B215" s="200">
        <v>811100</v>
      </c>
      <c r="C215" s="402" t="s">
        <v>435</v>
      </c>
      <c r="D215" s="197">
        <f>D216+D219</f>
        <v>53470</v>
      </c>
      <c r="E215" s="197">
        <f>E216+E219</f>
        <v>62017</v>
      </c>
      <c r="F215" s="187">
        <f t="shared" si="4"/>
        <v>115.98466429773704</v>
      </c>
    </row>
    <row r="216" spans="2:6" ht="12.75">
      <c r="B216" s="394">
        <v>811111</v>
      </c>
      <c r="C216" s="380" t="s">
        <v>649</v>
      </c>
      <c r="D216" s="395">
        <f>SUM(D217:D218)</f>
        <v>1500</v>
      </c>
      <c r="E216" s="395">
        <f>SUM(E217:E218)</f>
        <v>1500</v>
      </c>
      <c r="F216" s="372">
        <f>IF(D216=0,"",E216/D216*100)</f>
        <v>100</v>
      </c>
    </row>
    <row r="217" spans="2:6" ht="12.75">
      <c r="B217" s="394"/>
      <c r="C217" s="382" t="s">
        <v>620</v>
      </c>
      <c r="D217" s="395">
        <v>0</v>
      </c>
      <c r="E217" s="395">
        <v>0</v>
      </c>
      <c r="F217" s="372">
        <f aca="true" t="shared" si="5" ref="F217:F225">IF(D217=0,"",E217/D217*100)</f>
      </c>
    </row>
    <row r="218" spans="2:6" ht="12.75">
      <c r="B218" s="394"/>
      <c r="C218" s="382" t="s">
        <v>685</v>
      </c>
      <c r="D218" s="395">
        <v>1500</v>
      </c>
      <c r="E218" s="395">
        <v>1500</v>
      </c>
      <c r="F218" s="372">
        <f t="shared" si="5"/>
        <v>100</v>
      </c>
    </row>
    <row r="219" spans="2:6" ht="12.75">
      <c r="B219" s="394">
        <v>811114</v>
      </c>
      <c r="C219" s="375" t="s">
        <v>650</v>
      </c>
      <c r="D219" s="395">
        <f>SUM(D220:D225)</f>
        <v>51970</v>
      </c>
      <c r="E219" s="395">
        <f>SUM(E220:E225)</f>
        <v>60517</v>
      </c>
      <c r="F219" s="372">
        <f t="shared" si="5"/>
        <v>116.44602655378102</v>
      </c>
    </row>
    <row r="220" spans="2:6" ht="12.75">
      <c r="B220" s="394"/>
      <c r="C220" s="382" t="s">
        <v>686</v>
      </c>
      <c r="D220" s="395">
        <v>3450</v>
      </c>
      <c r="E220" s="395">
        <v>3450</v>
      </c>
      <c r="F220" s="372">
        <f t="shared" si="5"/>
        <v>100</v>
      </c>
    </row>
    <row r="221" spans="2:6" ht="12.75">
      <c r="B221" s="394"/>
      <c r="C221" s="382" t="s">
        <v>651</v>
      </c>
      <c r="D221" s="395">
        <v>6000</v>
      </c>
      <c r="E221" s="395">
        <v>6000</v>
      </c>
      <c r="F221" s="372">
        <f t="shared" si="5"/>
        <v>100</v>
      </c>
    </row>
    <row r="222" spans="2:6" ht="12.75">
      <c r="B222" s="394"/>
      <c r="C222" s="382" t="s">
        <v>721</v>
      </c>
      <c r="D222" s="395">
        <v>0</v>
      </c>
      <c r="E222" s="395">
        <v>2800</v>
      </c>
      <c r="F222" s="372">
        <f t="shared" si="5"/>
      </c>
    </row>
    <row r="223" spans="2:6" ht="12.75">
      <c r="B223" s="394"/>
      <c r="C223" s="382" t="s">
        <v>687</v>
      </c>
      <c r="D223" s="395">
        <v>39900</v>
      </c>
      <c r="E223" s="395">
        <v>42851</v>
      </c>
      <c r="F223" s="372">
        <f t="shared" si="5"/>
        <v>107.39598997493734</v>
      </c>
    </row>
    <row r="224" spans="2:6" ht="12.75">
      <c r="B224" s="394"/>
      <c r="C224" s="382" t="s">
        <v>688</v>
      </c>
      <c r="D224" s="395">
        <v>2620</v>
      </c>
      <c r="E224" s="395">
        <v>2616</v>
      </c>
      <c r="F224" s="372">
        <f t="shared" si="5"/>
        <v>99.84732824427482</v>
      </c>
    </row>
    <row r="225" spans="2:6" ht="12.75">
      <c r="B225" s="394"/>
      <c r="C225" s="382" t="s">
        <v>722</v>
      </c>
      <c r="D225" s="395">
        <v>0</v>
      </c>
      <c r="E225" s="395">
        <v>2800</v>
      </c>
      <c r="F225" s="311">
        <f t="shared" si="5"/>
      </c>
    </row>
    <row r="226" spans="2:6" ht="13.5" thickBot="1">
      <c r="B226" s="418"/>
      <c r="C226" s="419"/>
      <c r="D226" s="419"/>
      <c r="E226" s="419"/>
      <c r="F226" s="420">
        <f t="shared" si="4"/>
      </c>
    </row>
    <row r="227" spans="2:8" ht="15.75" thickBot="1">
      <c r="B227" s="452" t="s">
        <v>522</v>
      </c>
      <c r="C227" s="453"/>
      <c r="D227" s="421">
        <f>D211+D213</f>
        <v>40343230</v>
      </c>
      <c r="E227" s="421">
        <f>E211+E213</f>
        <v>39535508</v>
      </c>
      <c r="F227" s="296">
        <f t="shared" si="4"/>
        <v>97.99787473635601</v>
      </c>
      <c r="H227" s="90"/>
    </row>
  </sheetData>
  <sheetProtection/>
  <mergeCells count="4">
    <mergeCell ref="B2:F2"/>
    <mergeCell ref="B146:C146"/>
    <mergeCell ref="B211:C211"/>
    <mergeCell ref="B227:C227"/>
  </mergeCells>
  <printOptions/>
  <pageMargins left="0.4330708661417323" right="0.15748031496062992" top="0.57" bottom="0.7480314960629921" header="0.31496062992125984" footer="0.4330708661417323"/>
  <pageSetup firstPageNumber="2" useFirstPageNumber="1" horizontalDpi="600" verticalDpi="600" orientation="portrait" paperSize="9" scale="81" r:id="rId1"/>
  <headerFooter alignWithMargins="0"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B2:L48"/>
  <sheetViews>
    <sheetView workbookViewId="0" topLeftCell="A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228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161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67900</v>
      </c>
      <c r="H7" s="343">
        <f>SUM(H8:H11)</f>
        <v>67900</v>
      </c>
      <c r="I7" s="20">
        <f>SUM(I8:I11)</f>
        <v>66870</v>
      </c>
      <c r="J7" s="139">
        <f aca="true" t="shared" si="0" ref="J7:J44">IF(H7=0,"",I7/H7*100)</f>
        <v>98.48306332842415</v>
      </c>
    </row>
    <row r="8" spans="2:12" ht="12.75" customHeight="1">
      <c r="B8" s="14"/>
      <c r="C8" s="15"/>
      <c r="D8" s="15"/>
      <c r="E8" s="16">
        <v>611100</v>
      </c>
      <c r="F8" s="26" t="s">
        <v>203</v>
      </c>
      <c r="G8" s="344">
        <f>55100+500</f>
        <v>55600</v>
      </c>
      <c r="H8" s="344">
        <f>55100+500</f>
        <v>55600</v>
      </c>
      <c r="I8" s="78">
        <v>55092</v>
      </c>
      <c r="J8" s="140">
        <f t="shared" si="0"/>
        <v>99.0863309352518</v>
      </c>
      <c r="K8" s="100"/>
      <c r="L8" s="100"/>
    </row>
    <row r="9" spans="2:12" ht="12.75" customHeight="1">
      <c r="B9" s="14"/>
      <c r="C9" s="15"/>
      <c r="D9" s="15"/>
      <c r="E9" s="16">
        <v>611200</v>
      </c>
      <c r="F9" s="15" t="s">
        <v>204</v>
      </c>
      <c r="G9" s="344">
        <f>9170+150+3*260</f>
        <v>10100</v>
      </c>
      <c r="H9" s="344">
        <f>9170+150+3*260</f>
        <v>10100</v>
      </c>
      <c r="I9" s="78">
        <v>9678</v>
      </c>
      <c r="J9" s="140">
        <f t="shared" si="0"/>
        <v>95.82178217821782</v>
      </c>
      <c r="K9" s="252"/>
      <c r="L9" s="100"/>
    </row>
    <row r="10" spans="2:12" ht="12.75" customHeight="1">
      <c r="B10" s="14"/>
      <c r="C10" s="15"/>
      <c r="D10" s="15"/>
      <c r="E10" s="16">
        <v>611200</v>
      </c>
      <c r="F10" s="26" t="s">
        <v>696</v>
      </c>
      <c r="G10" s="344">
        <v>2200</v>
      </c>
      <c r="H10" s="344">
        <v>2200</v>
      </c>
      <c r="I10" s="78">
        <v>2100</v>
      </c>
      <c r="J10" s="140">
        <f t="shared" si="0"/>
        <v>95.45454545454545</v>
      </c>
      <c r="K10" s="252"/>
      <c r="L10" s="323"/>
    </row>
    <row r="11" spans="2:12" ht="12.75" customHeight="1">
      <c r="B11" s="14"/>
      <c r="C11" s="15"/>
      <c r="D11" s="15"/>
      <c r="E11" s="16"/>
      <c r="F11" s="26"/>
      <c r="G11" s="344"/>
      <c r="H11" s="344"/>
      <c r="I11" s="44"/>
      <c r="J11" s="140">
        <f t="shared" si="0"/>
      </c>
      <c r="K11" s="100"/>
      <c r="L11" s="100"/>
    </row>
    <row r="12" spans="2:12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  <c r="K12" s="100"/>
      <c r="L12" s="100"/>
    </row>
    <row r="13" spans="2:12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5960</v>
      </c>
      <c r="H13" s="343">
        <f>H14</f>
        <v>5960</v>
      </c>
      <c r="I13" s="20">
        <f>I14</f>
        <v>5884</v>
      </c>
      <c r="J13" s="139">
        <f t="shared" si="0"/>
        <v>98.7248322147651</v>
      </c>
      <c r="K13" s="101"/>
      <c r="L13" s="101"/>
    </row>
    <row r="14" spans="2:12" ht="12.75" customHeight="1">
      <c r="B14" s="14"/>
      <c r="C14" s="15"/>
      <c r="D14" s="15"/>
      <c r="E14" s="16">
        <v>612100</v>
      </c>
      <c r="F14" s="18" t="s">
        <v>85</v>
      </c>
      <c r="G14" s="344">
        <f>5890+70</f>
        <v>5960</v>
      </c>
      <c r="H14" s="344">
        <f>5890+70</f>
        <v>5960</v>
      </c>
      <c r="I14" s="44">
        <v>5884</v>
      </c>
      <c r="J14" s="140">
        <f t="shared" si="0"/>
        <v>98.7248322147651</v>
      </c>
      <c r="K14" s="100"/>
      <c r="L14" s="100"/>
    </row>
    <row r="15" spans="2:12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  <c r="K15" s="100"/>
      <c r="L15" s="100"/>
    </row>
    <row r="16" spans="2:12" ht="12.75" customHeight="1">
      <c r="B16" s="14"/>
      <c r="C16" s="15"/>
      <c r="D16" s="15"/>
      <c r="E16" s="16"/>
      <c r="F16" s="15"/>
      <c r="G16" s="50"/>
      <c r="H16" s="50"/>
      <c r="I16" s="50"/>
      <c r="J16" s="140">
        <f t="shared" si="0"/>
      </c>
      <c r="K16" s="100"/>
      <c r="L16" s="100"/>
    </row>
    <row r="17" spans="2:12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11300</v>
      </c>
      <c r="H17" s="50">
        <f>SUM(H18:H27)</f>
        <v>11300</v>
      </c>
      <c r="I17" s="50">
        <f>SUM(I18:I27)</f>
        <v>8784</v>
      </c>
      <c r="J17" s="139">
        <f t="shared" si="0"/>
        <v>77.73451327433628</v>
      </c>
      <c r="K17" s="101"/>
      <c r="L17" s="101"/>
    </row>
    <row r="18" spans="2:12" ht="12.75" customHeight="1">
      <c r="B18" s="14"/>
      <c r="C18" s="15"/>
      <c r="D18" s="15"/>
      <c r="E18" s="16">
        <v>613100</v>
      </c>
      <c r="F18" s="15" t="s">
        <v>86</v>
      </c>
      <c r="G18" s="44">
        <v>1000</v>
      </c>
      <c r="H18" s="44">
        <v>1000</v>
      </c>
      <c r="I18" s="44">
        <v>222</v>
      </c>
      <c r="J18" s="140">
        <f t="shared" si="0"/>
        <v>22.2</v>
      </c>
      <c r="K18" s="100"/>
      <c r="L18" s="100"/>
    </row>
    <row r="19" spans="2:12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  <c r="K19" s="100"/>
      <c r="L19" s="100"/>
    </row>
    <row r="20" spans="2:12" ht="12.75" customHeight="1">
      <c r="B20" s="14"/>
      <c r="C20" s="15"/>
      <c r="D20" s="15"/>
      <c r="E20" s="16">
        <v>613300</v>
      </c>
      <c r="F20" s="26" t="s">
        <v>205</v>
      </c>
      <c r="G20" s="78">
        <v>3200</v>
      </c>
      <c r="H20" s="78">
        <v>3200</v>
      </c>
      <c r="I20" s="78">
        <v>2943</v>
      </c>
      <c r="J20" s="140">
        <f t="shared" si="0"/>
        <v>91.96875</v>
      </c>
      <c r="K20" s="99"/>
      <c r="L20" s="100"/>
    </row>
    <row r="21" spans="2:12" ht="12.75" customHeight="1">
      <c r="B21" s="14"/>
      <c r="C21" s="15"/>
      <c r="D21" s="15"/>
      <c r="E21" s="16">
        <v>613400</v>
      </c>
      <c r="F21" s="15" t="s">
        <v>170</v>
      </c>
      <c r="G21" s="44">
        <v>1200</v>
      </c>
      <c r="H21" s="44">
        <v>1200</v>
      </c>
      <c r="I21" s="44">
        <v>1128</v>
      </c>
      <c r="J21" s="140">
        <f t="shared" si="0"/>
        <v>94</v>
      </c>
      <c r="K21" s="100"/>
      <c r="L21" s="100"/>
    </row>
    <row r="22" spans="2:12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  <c r="K22" s="100"/>
      <c r="L22" s="100"/>
    </row>
    <row r="23" spans="2:12" ht="12.75" customHeight="1">
      <c r="B23" s="14"/>
      <c r="C23" s="15"/>
      <c r="D23" s="15"/>
      <c r="E23" s="16">
        <v>613600</v>
      </c>
      <c r="F23" s="26" t="s">
        <v>206</v>
      </c>
      <c r="G23" s="44">
        <v>0</v>
      </c>
      <c r="H23" s="44">
        <v>0</v>
      </c>
      <c r="I23" s="44">
        <v>0</v>
      </c>
      <c r="J23" s="140">
        <f t="shared" si="0"/>
      </c>
      <c r="K23" s="100"/>
      <c r="L23" s="100"/>
    </row>
    <row r="24" spans="2:12" ht="12.75" customHeight="1">
      <c r="B24" s="14"/>
      <c r="C24" s="15"/>
      <c r="D24" s="15"/>
      <c r="E24" s="16">
        <v>613700</v>
      </c>
      <c r="F24" s="15" t="s">
        <v>89</v>
      </c>
      <c r="G24" s="78">
        <v>1000</v>
      </c>
      <c r="H24" s="78">
        <v>1000</v>
      </c>
      <c r="I24" s="78">
        <v>717</v>
      </c>
      <c r="J24" s="140">
        <f t="shared" si="0"/>
        <v>71.7</v>
      </c>
      <c r="K24" s="100"/>
      <c r="L24" s="100"/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78">
        <v>0</v>
      </c>
      <c r="H25" s="78">
        <v>0</v>
      </c>
      <c r="I25" s="78">
        <v>0</v>
      </c>
      <c r="J25" s="140">
        <f t="shared" si="0"/>
      </c>
      <c r="K25" s="100"/>
      <c r="L25" s="100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78">
        <v>1500</v>
      </c>
      <c r="H26" s="78">
        <v>1500</v>
      </c>
      <c r="I26" s="78">
        <v>482</v>
      </c>
      <c r="J26" s="140">
        <f t="shared" si="0"/>
        <v>32.13333333333333</v>
      </c>
      <c r="K26" s="252"/>
      <c r="L26" s="100"/>
    </row>
    <row r="27" spans="2:12" ht="12.75" customHeight="1">
      <c r="B27" s="14"/>
      <c r="C27" s="15"/>
      <c r="D27" s="15"/>
      <c r="E27" s="16">
        <v>613900</v>
      </c>
      <c r="F27" s="26" t="s">
        <v>697</v>
      </c>
      <c r="G27" s="104">
        <v>3400</v>
      </c>
      <c r="H27" s="104">
        <v>3400</v>
      </c>
      <c r="I27" s="104">
        <v>3292</v>
      </c>
      <c r="J27" s="140">
        <f t="shared" si="0"/>
        <v>96.82352941176471</v>
      </c>
      <c r="K27" s="252"/>
      <c r="L27" s="100"/>
    </row>
    <row r="28" spans="2:10" s="1" customFormat="1" ht="12.75" customHeight="1">
      <c r="B28" s="17"/>
      <c r="C28" s="12"/>
      <c r="D28" s="12"/>
      <c r="E28" s="9"/>
      <c r="F28" s="12"/>
      <c r="G28" s="78"/>
      <c r="H28" s="78"/>
      <c r="I28" s="78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78"/>
      <c r="H29" s="78"/>
      <c r="I29" s="78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78"/>
      <c r="H30" s="78"/>
      <c r="I30" s="78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78"/>
      <c r="H31" s="78"/>
      <c r="I31" s="78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78"/>
      <c r="H32" s="78"/>
      <c r="I32" s="78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78"/>
      <c r="H33" s="78"/>
      <c r="I33" s="78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78"/>
      <c r="H34" s="78"/>
      <c r="I34" s="78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G37+G38</f>
        <v>1000</v>
      </c>
      <c r="H36" s="96">
        <f>H37+H38</f>
        <v>1000</v>
      </c>
      <c r="I36" s="96">
        <f>I37+I38</f>
        <v>999</v>
      </c>
      <c r="J36" s="139">
        <f t="shared" si="0"/>
        <v>99.9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78">
        <v>0</v>
      </c>
      <c r="H37" s="78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78">
        <v>1000</v>
      </c>
      <c r="H38" s="78">
        <v>1000</v>
      </c>
      <c r="I38" s="78">
        <v>999</v>
      </c>
      <c r="J38" s="140">
        <f t="shared" si="0"/>
        <v>99.9</v>
      </c>
    </row>
    <row r="39" spans="2:10" ht="12.75" customHeight="1">
      <c r="B39" s="14"/>
      <c r="C39" s="15"/>
      <c r="D39" s="15"/>
      <c r="E39" s="16"/>
      <c r="F39" s="26"/>
      <c r="G39" s="78"/>
      <c r="H39" s="78"/>
      <c r="I39" s="78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20">
        <v>3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86160</v>
      </c>
      <c r="H42" s="20">
        <f>H7+H13+H17+H36</f>
        <v>86160</v>
      </c>
      <c r="I42" s="20">
        <f>I7+I13+I17+I36</f>
        <v>82537</v>
      </c>
      <c r="J42" s="139">
        <f t="shared" si="0"/>
        <v>95.79503249767873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86160</v>
      </c>
      <c r="H43" s="20">
        <f t="shared" si="1"/>
        <v>86160</v>
      </c>
      <c r="I43" s="20">
        <f t="shared" si="1"/>
        <v>82537</v>
      </c>
      <c r="J43" s="139">
        <f t="shared" si="0"/>
        <v>95.79503249767873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86160</v>
      </c>
      <c r="H44" s="20">
        <f t="shared" si="1"/>
        <v>86160</v>
      </c>
      <c r="I44" s="20">
        <f t="shared" si="1"/>
        <v>82537</v>
      </c>
      <c r="J44" s="139">
        <f t="shared" si="0"/>
        <v>95.79503249767873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  <row r="48" ht="12.75">
      <c r="B48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B2:L49"/>
  <sheetViews>
    <sheetView workbookViewId="0" topLeftCell="A13">
      <selection activeCell="M32" sqref="M3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163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162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459790</v>
      </c>
      <c r="H7" s="343">
        <f>SUM(H8:H11)</f>
        <v>459790</v>
      </c>
      <c r="I7" s="20">
        <f>SUM(I8:I11)</f>
        <v>452764</v>
      </c>
      <c r="J7" s="139">
        <f aca="true" t="shared" si="0" ref="J7:J44">IF(H7=0,"",I7/H7*100)</f>
        <v>98.47191108984536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389580+3000</f>
        <v>392580</v>
      </c>
      <c r="H8" s="345">
        <f>389580+3000</f>
        <v>392580</v>
      </c>
      <c r="I8" s="104">
        <v>388878</v>
      </c>
      <c r="J8" s="140">
        <f t="shared" si="0"/>
        <v>99.05700748891945</v>
      </c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345">
        <f>55630+1000+13*260</f>
        <v>60010</v>
      </c>
      <c r="H9" s="345">
        <f>55630+1000+13*260</f>
        <v>60010</v>
      </c>
      <c r="I9" s="104">
        <v>56702</v>
      </c>
      <c r="J9" s="140">
        <f t="shared" si="0"/>
        <v>94.48758540243293</v>
      </c>
      <c r="K9" s="83"/>
    </row>
    <row r="10" spans="2:12" ht="12.75" customHeight="1">
      <c r="B10" s="14"/>
      <c r="C10" s="15"/>
      <c r="D10" s="15"/>
      <c r="E10" s="16">
        <v>611200</v>
      </c>
      <c r="F10" s="26" t="s">
        <v>708</v>
      </c>
      <c r="G10" s="344">
        <v>7200</v>
      </c>
      <c r="H10" s="344">
        <v>7200</v>
      </c>
      <c r="I10" s="78">
        <v>7184</v>
      </c>
      <c r="J10" s="140">
        <f t="shared" si="0"/>
        <v>99.77777777777777</v>
      </c>
      <c r="K10" s="83"/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2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  <c r="L12" s="77"/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42540</v>
      </c>
      <c r="H13" s="343">
        <f>H14</f>
        <v>42540</v>
      </c>
      <c r="I13" s="20">
        <f>I14</f>
        <v>41681</v>
      </c>
      <c r="J13" s="139">
        <f t="shared" si="0"/>
        <v>97.98072402444757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42090+450</f>
        <v>42540</v>
      </c>
      <c r="H14" s="345">
        <f>42090+450</f>
        <v>42540</v>
      </c>
      <c r="I14" s="104">
        <v>41681</v>
      </c>
      <c r="J14" s="140">
        <f t="shared" si="0"/>
        <v>97.98072402444757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100500</v>
      </c>
      <c r="H17" s="50">
        <f>SUM(H18:H27)</f>
        <v>100500</v>
      </c>
      <c r="I17" s="50">
        <f>SUM(I18:I27)</f>
        <v>94522</v>
      </c>
      <c r="J17" s="139">
        <f t="shared" si="0"/>
        <v>94.05174129353234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2300</v>
      </c>
      <c r="H18" s="45">
        <v>2300</v>
      </c>
      <c r="I18" s="45">
        <v>1425</v>
      </c>
      <c r="J18" s="140">
        <f t="shared" si="0"/>
        <v>61.95652173913043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4400</v>
      </c>
      <c r="H19" s="45">
        <v>4400</v>
      </c>
      <c r="I19" s="45">
        <v>3752</v>
      </c>
      <c r="J19" s="140">
        <f t="shared" si="0"/>
        <v>85.27272727272728</v>
      </c>
    </row>
    <row r="20" spans="2:11" ht="12.75" customHeight="1">
      <c r="B20" s="14"/>
      <c r="C20" s="15"/>
      <c r="D20" s="15"/>
      <c r="E20" s="16">
        <v>613300</v>
      </c>
      <c r="F20" s="26" t="s">
        <v>205</v>
      </c>
      <c r="G20" s="104">
        <v>12000</v>
      </c>
      <c r="H20" s="104">
        <v>11700</v>
      </c>
      <c r="I20" s="104">
        <v>10482</v>
      </c>
      <c r="J20" s="140">
        <f t="shared" si="0"/>
        <v>89.58974358974359</v>
      </c>
      <c r="K20" s="77"/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10000</v>
      </c>
      <c r="H21" s="45">
        <v>10000</v>
      </c>
      <c r="I21" s="45">
        <v>9793</v>
      </c>
      <c r="J21" s="140">
        <f t="shared" si="0"/>
        <v>97.92999999999999</v>
      </c>
    </row>
    <row r="22" spans="2:11" ht="12.75" customHeight="1">
      <c r="B22" s="14"/>
      <c r="C22" s="15"/>
      <c r="D22" s="15"/>
      <c r="E22" s="16">
        <v>613500</v>
      </c>
      <c r="F22" s="15" t="s">
        <v>88</v>
      </c>
      <c r="G22" s="104">
        <v>2500</v>
      </c>
      <c r="H22" s="104">
        <v>2800</v>
      </c>
      <c r="I22" s="104">
        <v>2655</v>
      </c>
      <c r="J22" s="140">
        <f t="shared" si="0"/>
        <v>94.82142857142857</v>
      </c>
      <c r="K22" s="77"/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45">
        <v>0</v>
      </c>
      <c r="H23" s="45">
        <v>0</v>
      </c>
      <c r="I23" s="45">
        <v>0</v>
      </c>
      <c r="J23" s="140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89</v>
      </c>
      <c r="G24" s="104">
        <v>2000</v>
      </c>
      <c r="H24" s="104">
        <v>2000</v>
      </c>
      <c r="I24" s="104">
        <v>1181</v>
      </c>
      <c r="J24" s="140">
        <f t="shared" si="0"/>
        <v>59.050000000000004</v>
      </c>
      <c r="K24" s="77"/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1000</v>
      </c>
      <c r="H25" s="104">
        <v>1000</v>
      </c>
      <c r="I25" s="104">
        <v>711</v>
      </c>
      <c r="J25" s="140">
        <f t="shared" si="0"/>
        <v>71.1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04">
        <v>60000</v>
      </c>
      <c r="H26" s="104">
        <v>59600</v>
      </c>
      <c r="I26" s="104">
        <v>57906</v>
      </c>
      <c r="J26" s="140">
        <f t="shared" si="0"/>
        <v>97.15771812080537</v>
      </c>
      <c r="K26" s="83"/>
    </row>
    <row r="27" spans="2:11" ht="12.75" customHeight="1">
      <c r="B27" s="14"/>
      <c r="C27" s="15"/>
      <c r="D27" s="15"/>
      <c r="E27" s="16">
        <v>613900</v>
      </c>
      <c r="F27" s="26" t="s">
        <v>709</v>
      </c>
      <c r="G27" s="104">
        <v>6300</v>
      </c>
      <c r="H27" s="104">
        <v>6700</v>
      </c>
      <c r="I27" s="104">
        <v>6617</v>
      </c>
      <c r="J27" s="140">
        <f t="shared" si="0"/>
        <v>98.76119402985076</v>
      </c>
      <c r="K27" s="83"/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G37+G38</f>
        <v>2000</v>
      </c>
      <c r="H36" s="96">
        <f>H37+H38</f>
        <v>2000</v>
      </c>
      <c r="I36" s="96">
        <f>I37+I38</f>
        <v>1053</v>
      </c>
      <c r="J36" s="139">
        <f t="shared" si="0"/>
        <v>52.65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0</v>
      </c>
      <c r="H37" s="104">
        <v>0</v>
      </c>
      <c r="I37" s="104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2000</v>
      </c>
      <c r="H38" s="104">
        <v>2000</v>
      </c>
      <c r="I38" s="104">
        <v>1053</v>
      </c>
      <c r="J38" s="140">
        <f t="shared" si="0"/>
        <v>52.65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96">
        <v>13</v>
      </c>
      <c r="H41" s="96">
        <v>13</v>
      </c>
      <c r="I41" s="96">
        <v>13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604830</v>
      </c>
      <c r="H42" s="20">
        <f>H7+H13+H17+H36</f>
        <v>604830</v>
      </c>
      <c r="I42" s="20">
        <f>I7+I13+I17+I36</f>
        <v>590020</v>
      </c>
      <c r="J42" s="139">
        <f t="shared" si="0"/>
        <v>97.55137807317759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604830</v>
      </c>
      <c r="H43" s="20">
        <f t="shared" si="1"/>
        <v>604830</v>
      </c>
      <c r="I43" s="20">
        <f t="shared" si="1"/>
        <v>590020</v>
      </c>
      <c r="J43" s="139">
        <f t="shared" si="0"/>
        <v>97.55137807317759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604830</v>
      </c>
      <c r="H44" s="20">
        <f t="shared" si="1"/>
        <v>604830</v>
      </c>
      <c r="I44" s="20">
        <f t="shared" si="1"/>
        <v>590020</v>
      </c>
      <c r="J44" s="139">
        <f t="shared" si="0"/>
        <v>97.55137807317759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  <row r="48" ht="12.75">
      <c r="B48" s="77"/>
    </row>
    <row r="49" ht="12.75">
      <c r="B49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B2:L47"/>
  <sheetViews>
    <sheetView workbookViewId="0" topLeftCell="C7">
      <selection activeCell="Q39" sqref="Q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83" customWidth="1"/>
    <col min="10" max="10" width="8.7109375" style="127" customWidth="1"/>
    <col min="11" max="16384" width="9.140625" style="13" customWidth="1"/>
  </cols>
  <sheetData>
    <row r="2" spans="2:8" ht="15" customHeight="1">
      <c r="B2" s="459" t="s">
        <v>187</v>
      </c>
      <c r="C2" s="459"/>
      <c r="D2" s="459"/>
      <c r="E2" s="459"/>
      <c r="F2" s="459"/>
      <c r="G2" s="459"/>
      <c r="H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186</v>
      </c>
      <c r="C6" s="11" t="s">
        <v>83</v>
      </c>
      <c r="D6" s="11" t="s">
        <v>84</v>
      </c>
      <c r="E6" s="9"/>
      <c r="F6" s="9"/>
      <c r="G6" s="35"/>
      <c r="H6" s="35"/>
      <c r="I6" s="152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343">
        <f>SUM(G8:G11)</f>
        <v>329500</v>
      </c>
      <c r="H7" s="343">
        <f>SUM(H8:H11)</f>
        <v>329500</v>
      </c>
      <c r="I7" s="20">
        <f>SUM(I8:I11)</f>
        <v>325369</v>
      </c>
      <c r="J7" s="139">
        <f aca="true" t="shared" si="0" ref="J7:J44">IF(H7=0,"",I7/H7*100)</f>
        <v>98.746282245827</v>
      </c>
    </row>
    <row r="8" spans="2:10" ht="12.75" customHeight="1">
      <c r="B8" s="14"/>
      <c r="C8" s="15"/>
      <c r="D8" s="15"/>
      <c r="E8" s="16">
        <v>611100</v>
      </c>
      <c r="F8" s="26" t="s">
        <v>203</v>
      </c>
      <c r="G8" s="345">
        <f>281490+2500-6000</f>
        <v>277990</v>
      </c>
      <c r="H8" s="345">
        <f>281490+2500-6000</f>
        <v>277990</v>
      </c>
      <c r="I8" s="45">
        <v>275572</v>
      </c>
      <c r="J8" s="140">
        <f t="shared" si="0"/>
        <v>99.13018453901219</v>
      </c>
    </row>
    <row r="9" spans="2:10" ht="12.75" customHeight="1">
      <c r="B9" s="14"/>
      <c r="C9" s="15"/>
      <c r="D9" s="15"/>
      <c r="E9" s="16">
        <v>611200</v>
      </c>
      <c r="F9" s="15" t="s">
        <v>204</v>
      </c>
      <c r="G9" s="345">
        <f>48550+700+12*260-600-260</f>
        <v>51510</v>
      </c>
      <c r="H9" s="345">
        <f>48550+700+12*260-600-260</f>
        <v>51510</v>
      </c>
      <c r="I9" s="45">
        <v>49797</v>
      </c>
      <c r="J9" s="140">
        <f t="shared" si="0"/>
        <v>96.67443214909727</v>
      </c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344">
        <v>0</v>
      </c>
      <c r="H10" s="344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45"/>
      <c r="H11" s="345"/>
      <c r="I11" s="45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343"/>
      <c r="H12" s="343"/>
      <c r="I12" s="20"/>
      <c r="J12" s="140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343">
        <f>G14</f>
        <v>29700</v>
      </c>
      <c r="H13" s="343">
        <f>H14</f>
        <v>29700</v>
      </c>
      <c r="I13" s="20">
        <f>I14</f>
        <v>29315</v>
      </c>
      <c r="J13" s="139">
        <f t="shared" si="0"/>
        <v>98.70370370370371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345">
        <f>29950+350-600</f>
        <v>29700</v>
      </c>
      <c r="H14" s="345">
        <f>29950+350-600</f>
        <v>29700</v>
      </c>
      <c r="I14" s="45">
        <v>29315</v>
      </c>
      <c r="J14" s="140">
        <f t="shared" si="0"/>
        <v>98.70370370370371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0">
        <f>SUM(G18:G27)</f>
        <v>27450</v>
      </c>
      <c r="H17" s="50">
        <f>SUM(H18:H27)</f>
        <v>27450</v>
      </c>
      <c r="I17" s="50">
        <f>SUM(I18:I27)</f>
        <v>22247</v>
      </c>
      <c r="J17" s="139">
        <f t="shared" si="0"/>
        <v>81.0455373406193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1500</v>
      </c>
      <c r="H18" s="45">
        <v>1500</v>
      </c>
      <c r="I18" s="45">
        <v>1385</v>
      </c>
      <c r="J18" s="140">
        <f t="shared" si="0"/>
        <v>92.33333333333333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7000</v>
      </c>
      <c r="H19" s="45">
        <v>7000</v>
      </c>
      <c r="I19" s="45">
        <v>5140</v>
      </c>
      <c r="J19" s="140">
        <f t="shared" si="0"/>
        <v>73.42857142857143</v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45">
        <v>5500</v>
      </c>
      <c r="H20" s="45">
        <v>5500</v>
      </c>
      <c r="I20" s="45">
        <v>5125</v>
      </c>
      <c r="J20" s="140">
        <f t="shared" si="0"/>
        <v>93.18181818181817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1000</v>
      </c>
      <c r="H21" s="45">
        <v>1000</v>
      </c>
      <c r="I21" s="45">
        <v>676</v>
      </c>
      <c r="J21" s="140">
        <f t="shared" si="0"/>
        <v>67.60000000000001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5000</v>
      </c>
      <c r="H22" s="45">
        <v>5000</v>
      </c>
      <c r="I22" s="45">
        <v>4087</v>
      </c>
      <c r="J22" s="140">
        <f t="shared" si="0"/>
        <v>81.74</v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104">
        <v>0</v>
      </c>
      <c r="H23" s="104">
        <v>0</v>
      </c>
      <c r="I23" s="104">
        <v>0</v>
      </c>
      <c r="J23" s="140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89</v>
      </c>
      <c r="G24" s="104">
        <v>4000</v>
      </c>
      <c r="H24" s="104">
        <v>4000</v>
      </c>
      <c r="I24" s="104">
        <v>3091</v>
      </c>
      <c r="J24" s="140">
        <f t="shared" si="0"/>
        <v>77.275</v>
      </c>
      <c r="K24" s="77"/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04">
        <v>950</v>
      </c>
      <c r="H25" s="104">
        <v>950</v>
      </c>
      <c r="I25" s="104">
        <v>815</v>
      </c>
      <c r="J25" s="140">
        <f t="shared" si="0"/>
        <v>85.78947368421052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04">
        <v>2500</v>
      </c>
      <c r="H26" s="104">
        <v>2500</v>
      </c>
      <c r="I26" s="104">
        <v>1928</v>
      </c>
      <c r="J26" s="140">
        <f t="shared" si="0"/>
        <v>77.12</v>
      </c>
      <c r="K26" s="77"/>
    </row>
    <row r="27" spans="2:10" ht="12.75" customHeight="1">
      <c r="B27" s="14"/>
      <c r="C27" s="15"/>
      <c r="D27" s="15"/>
      <c r="E27" s="16">
        <v>613900</v>
      </c>
      <c r="F27" s="26" t="s">
        <v>690</v>
      </c>
      <c r="G27" s="104">
        <v>0</v>
      </c>
      <c r="H27" s="104">
        <v>0</v>
      </c>
      <c r="I27" s="104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104"/>
      <c r="H28" s="104"/>
      <c r="I28" s="104"/>
      <c r="J28" s="140">
        <f t="shared" si="0"/>
      </c>
    </row>
    <row r="29" spans="2:10" ht="12.75" customHeight="1">
      <c r="B29" s="14"/>
      <c r="C29" s="15"/>
      <c r="D29" s="31"/>
      <c r="E29" s="16"/>
      <c r="F29" s="30"/>
      <c r="G29" s="104"/>
      <c r="H29" s="104"/>
      <c r="I29" s="104"/>
      <c r="J29" s="140">
        <f t="shared" si="0"/>
      </c>
    </row>
    <row r="30" spans="2:10" ht="12.75" customHeight="1">
      <c r="B30" s="14"/>
      <c r="C30" s="15"/>
      <c r="D30" s="15"/>
      <c r="E30" s="60"/>
      <c r="F30" s="30"/>
      <c r="G30" s="104"/>
      <c r="H30" s="104"/>
      <c r="I30" s="104"/>
      <c r="J30" s="140">
        <f t="shared" si="0"/>
      </c>
    </row>
    <row r="31" spans="2:10" ht="12.75" customHeight="1">
      <c r="B31" s="14"/>
      <c r="C31" s="15"/>
      <c r="D31" s="15"/>
      <c r="E31" s="16"/>
      <c r="F31" s="15"/>
      <c r="G31" s="104"/>
      <c r="H31" s="104"/>
      <c r="I31" s="10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104"/>
      <c r="H32" s="104"/>
      <c r="I32" s="104"/>
      <c r="J32" s="140">
        <f t="shared" si="0"/>
      </c>
    </row>
    <row r="33" spans="2:10" ht="12.75" customHeight="1">
      <c r="B33" s="14"/>
      <c r="C33" s="15"/>
      <c r="D33" s="15"/>
      <c r="E33" s="9"/>
      <c r="F33" s="12"/>
      <c r="G33" s="104"/>
      <c r="H33" s="104"/>
      <c r="I33" s="104"/>
      <c r="J33" s="140">
        <f t="shared" si="0"/>
      </c>
    </row>
    <row r="34" spans="2:10" ht="12.75" customHeight="1">
      <c r="B34" s="14"/>
      <c r="C34" s="15"/>
      <c r="D34" s="15"/>
      <c r="E34" s="16"/>
      <c r="F34" s="26"/>
      <c r="G34" s="104"/>
      <c r="H34" s="104"/>
      <c r="I34" s="104"/>
      <c r="J34" s="140">
        <f t="shared" si="0"/>
      </c>
    </row>
    <row r="35" spans="2:10" ht="12.75" customHeight="1">
      <c r="B35" s="14"/>
      <c r="C35" s="15"/>
      <c r="D35" s="15"/>
      <c r="E35" s="16"/>
      <c r="F35" s="15"/>
      <c r="G35" s="96"/>
      <c r="H35" s="96"/>
      <c r="I35" s="96"/>
      <c r="J35" s="140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96">
        <f>SUM(G37:G39)</f>
        <v>2500</v>
      </c>
      <c r="H36" s="96">
        <f>SUM(H37:H39)</f>
        <v>2500</v>
      </c>
      <c r="I36" s="96">
        <f>SUM(I37:I39)</f>
        <v>2361</v>
      </c>
      <c r="J36" s="139">
        <f t="shared" si="0"/>
        <v>94.44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04">
        <v>0</v>
      </c>
      <c r="H37" s="104">
        <v>0</v>
      </c>
      <c r="I37" s="104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04">
        <v>2500</v>
      </c>
      <c r="H38" s="104">
        <v>2500</v>
      </c>
      <c r="I38" s="104">
        <v>2361</v>
      </c>
      <c r="J38" s="140">
        <f t="shared" si="0"/>
        <v>94.44</v>
      </c>
    </row>
    <row r="39" spans="2:10" ht="12.75" customHeight="1">
      <c r="B39" s="14"/>
      <c r="C39" s="15"/>
      <c r="D39" s="15"/>
      <c r="E39" s="16"/>
      <c r="F39" s="26"/>
      <c r="G39" s="104"/>
      <c r="H39" s="104"/>
      <c r="I39" s="10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104"/>
      <c r="H40" s="104"/>
      <c r="I40" s="104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12</v>
      </c>
      <c r="H41" s="20">
        <v>12</v>
      </c>
      <c r="I41" s="20">
        <v>11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389150</v>
      </c>
      <c r="H42" s="20">
        <f>H7+H13+H17+H36</f>
        <v>389150</v>
      </c>
      <c r="I42" s="20">
        <f>I7+I13+I17+I36</f>
        <v>379292</v>
      </c>
      <c r="J42" s="139">
        <f t="shared" si="0"/>
        <v>97.4667865861493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389150</v>
      </c>
      <c r="H43" s="20">
        <f t="shared" si="1"/>
        <v>389150</v>
      </c>
      <c r="I43" s="20">
        <f t="shared" si="1"/>
        <v>379292</v>
      </c>
      <c r="J43" s="139">
        <f t="shared" si="0"/>
        <v>97.4667865861493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389150</v>
      </c>
      <c r="H44" s="20">
        <f t="shared" si="1"/>
        <v>389150</v>
      </c>
      <c r="I44" s="20">
        <f t="shared" si="1"/>
        <v>379292</v>
      </c>
      <c r="J44" s="139">
        <f t="shared" si="0"/>
        <v>97.4667865861493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7" ht="12.75">
      <c r="B47" s="7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&amp;R44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7">
      <selection activeCell="B15" sqref="B15"/>
    </sheetView>
  </sheetViews>
  <sheetFormatPr defaultColWidth="9.140625" defaultRowHeight="12.75"/>
  <cols>
    <col min="1" max="1" width="11.8515625" style="55" customWidth="1"/>
    <col min="2" max="2" width="82.28125" style="0" customWidth="1"/>
    <col min="3" max="11" width="10.7109375" style="0" customWidth="1"/>
    <col min="12" max="12" width="11.421875" style="68" customWidth="1"/>
  </cols>
  <sheetData>
    <row r="2" spans="1:12" ht="15.75">
      <c r="A2" s="443" t="s">
        <v>680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4" spans="1:12" s="68" customFormat="1" ht="51">
      <c r="A4" s="244" t="s">
        <v>477</v>
      </c>
      <c r="B4" s="245" t="s">
        <v>496</v>
      </c>
      <c r="C4" s="244" t="s">
        <v>489</v>
      </c>
      <c r="D4" s="244" t="s">
        <v>490</v>
      </c>
      <c r="E4" s="244" t="s">
        <v>497</v>
      </c>
      <c r="F4" s="244" t="s">
        <v>498</v>
      </c>
      <c r="G4" s="244" t="s">
        <v>491</v>
      </c>
      <c r="H4" s="244" t="s">
        <v>492</v>
      </c>
      <c r="I4" s="244" t="s">
        <v>493</v>
      </c>
      <c r="J4" s="244" t="s">
        <v>499</v>
      </c>
      <c r="K4" s="244" t="s">
        <v>494</v>
      </c>
      <c r="L4" s="244" t="s">
        <v>495</v>
      </c>
    </row>
    <row r="5" spans="1:12" ht="15.75" customHeight="1">
      <c r="A5" s="238">
        <v>10010001</v>
      </c>
      <c r="B5" s="30" t="s">
        <v>240</v>
      </c>
      <c r="C5" s="236">
        <f>1!I8</f>
        <v>356592</v>
      </c>
      <c r="D5" s="236">
        <f>1!I9+1!I10</f>
        <v>82273</v>
      </c>
      <c r="E5" s="236">
        <f>1!I12</f>
        <v>38037</v>
      </c>
      <c r="F5" s="236">
        <f>1!I16</f>
        <v>271167</v>
      </c>
      <c r="G5" s="236">
        <f>1!I28</f>
        <v>0</v>
      </c>
      <c r="H5" s="236">
        <v>0</v>
      </c>
      <c r="I5" s="30">
        <v>0</v>
      </c>
      <c r="J5" s="236">
        <f>1!I36</f>
        <v>56847</v>
      </c>
      <c r="K5" s="30">
        <v>0</v>
      </c>
      <c r="L5" s="237">
        <f>SUM(C5:K5)</f>
        <v>804916</v>
      </c>
    </row>
    <row r="6" spans="1:12" ht="15.75" customHeight="1">
      <c r="A6" s="238">
        <v>10010002</v>
      </c>
      <c r="B6" s="30" t="s">
        <v>478</v>
      </c>
      <c r="C6" s="236">
        <f>2!I8</f>
        <v>3467</v>
      </c>
      <c r="D6" s="236">
        <f>2!I9+2!I10</f>
        <v>945</v>
      </c>
      <c r="E6" s="236">
        <f>2!I13</f>
        <v>374</v>
      </c>
      <c r="F6" s="236">
        <f>2!I17</f>
        <v>12</v>
      </c>
      <c r="G6" s="30">
        <v>0</v>
      </c>
      <c r="H6" s="30">
        <v>0</v>
      </c>
      <c r="I6" s="30">
        <v>0</v>
      </c>
      <c r="J6" s="236">
        <f>2!I36</f>
        <v>0</v>
      </c>
      <c r="K6" s="30">
        <v>0</v>
      </c>
      <c r="L6" s="237">
        <f aca="true" t="shared" si="0" ref="L6:L41">SUM(C6:K6)</f>
        <v>4798</v>
      </c>
    </row>
    <row r="7" spans="1:12" ht="15.75" customHeight="1">
      <c r="A7" s="238">
        <v>11010001</v>
      </c>
      <c r="B7" s="30" t="s">
        <v>241</v>
      </c>
      <c r="C7" s="236">
        <f>3!I13</f>
        <v>105476</v>
      </c>
      <c r="D7" s="236">
        <f>3!I14+3!I15</f>
        <v>180688</v>
      </c>
      <c r="E7" s="236">
        <f>3!I18</f>
        <v>11239</v>
      </c>
      <c r="F7" s="236">
        <f>3!I22</f>
        <v>395407</v>
      </c>
      <c r="G7" s="236">
        <f>3!I35</f>
        <v>854960</v>
      </c>
      <c r="H7" s="236">
        <f>3!I47</f>
        <v>400000</v>
      </c>
      <c r="I7" s="30">
        <v>0</v>
      </c>
      <c r="J7" s="236">
        <f>3!I50</f>
        <v>477730</v>
      </c>
      <c r="K7" s="30">
        <v>0</v>
      </c>
      <c r="L7" s="237">
        <f t="shared" si="0"/>
        <v>2425500</v>
      </c>
    </row>
    <row r="8" spans="1:12" ht="15.75" customHeight="1">
      <c r="A8" s="238">
        <v>11010002</v>
      </c>
      <c r="B8" s="30" t="s">
        <v>242</v>
      </c>
      <c r="C8" s="236">
        <f>4!I8</f>
        <v>16438</v>
      </c>
      <c r="D8" s="236">
        <f>4!I9+4!I10</f>
        <v>3881</v>
      </c>
      <c r="E8" s="236">
        <f>4!I13</f>
        <v>1761</v>
      </c>
      <c r="F8" s="236">
        <f>4!I17</f>
        <v>10512</v>
      </c>
      <c r="G8" s="236">
        <f>4!I29</f>
        <v>15000</v>
      </c>
      <c r="H8" s="30">
        <v>0</v>
      </c>
      <c r="I8" s="30">
        <v>0</v>
      </c>
      <c r="J8" s="236">
        <f>4!I37</f>
        <v>412</v>
      </c>
      <c r="K8" s="30">
        <v>0</v>
      </c>
      <c r="L8" s="237">
        <f t="shared" si="0"/>
        <v>48004</v>
      </c>
    </row>
    <row r="9" spans="1:12" ht="15.75" customHeight="1">
      <c r="A9" s="238">
        <v>11010003</v>
      </c>
      <c r="B9" s="30" t="s">
        <v>243</v>
      </c>
      <c r="C9" s="236">
        <f>5!I8</f>
        <v>28183</v>
      </c>
      <c r="D9" s="236">
        <f>5!I9+5!I10</f>
        <v>2771</v>
      </c>
      <c r="E9" s="236">
        <f>5!I13</f>
        <v>2991</v>
      </c>
      <c r="F9" s="236">
        <f>5!I17</f>
        <v>15472</v>
      </c>
      <c r="G9" s="30">
        <v>0</v>
      </c>
      <c r="H9" s="30">
        <v>0</v>
      </c>
      <c r="I9" s="30">
        <v>0</v>
      </c>
      <c r="J9" s="236">
        <f>5!I36</f>
        <v>0</v>
      </c>
      <c r="K9" s="30">
        <v>0</v>
      </c>
      <c r="L9" s="237">
        <f t="shared" si="0"/>
        <v>49417</v>
      </c>
    </row>
    <row r="10" spans="1:12" ht="15.75" customHeight="1">
      <c r="A10" s="238">
        <v>11010004</v>
      </c>
      <c r="B10" s="30" t="s">
        <v>245</v>
      </c>
      <c r="C10" s="236">
        <f>6!I8</f>
        <v>59715</v>
      </c>
      <c r="D10" s="236">
        <f>6!I9+6!I10</f>
        <v>10014</v>
      </c>
      <c r="E10" s="236">
        <f>6!I13</f>
        <v>6365</v>
      </c>
      <c r="F10" s="236">
        <f>6!I17</f>
        <v>5646</v>
      </c>
      <c r="G10" s="30">
        <v>0</v>
      </c>
      <c r="H10" s="30">
        <v>0</v>
      </c>
      <c r="I10" s="30">
        <v>0</v>
      </c>
      <c r="J10" s="236">
        <f>6!I36</f>
        <v>2416</v>
      </c>
      <c r="K10" s="30">
        <v>0</v>
      </c>
      <c r="L10" s="237">
        <f t="shared" si="0"/>
        <v>84156</v>
      </c>
    </row>
    <row r="11" spans="1:12" ht="15.75" customHeight="1">
      <c r="A11" s="238">
        <v>11010005</v>
      </c>
      <c r="B11" s="30" t="s">
        <v>667</v>
      </c>
      <c r="C11" s="236">
        <f>7!I8</f>
        <v>74479</v>
      </c>
      <c r="D11" s="236">
        <f>7!I9+7!I10</f>
        <v>16794</v>
      </c>
      <c r="E11" s="236">
        <f>7!I13</f>
        <v>7946</v>
      </c>
      <c r="F11" s="236">
        <f>7!I17</f>
        <v>4430</v>
      </c>
      <c r="G11" s="30">
        <v>0</v>
      </c>
      <c r="H11" s="30">
        <v>0</v>
      </c>
      <c r="I11" s="30">
        <v>0</v>
      </c>
      <c r="J11" s="236">
        <f>7!I36</f>
        <v>3200</v>
      </c>
      <c r="K11" s="30">
        <v>0</v>
      </c>
      <c r="L11" s="237">
        <f t="shared" si="0"/>
        <v>106849</v>
      </c>
    </row>
    <row r="12" spans="1:12" ht="15.75" customHeight="1">
      <c r="A12" s="238">
        <v>12010001</v>
      </c>
      <c r="B12" s="30" t="s">
        <v>246</v>
      </c>
      <c r="C12" s="236">
        <f>8!I8</f>
        <v>173830</v>
      </c>
      <c r="D12" s="236">
        <f>8!I9+8!I10</f>
        <v>55132</v>
      </c>
      <c r="E12" s="236">
        <f>8!I13</f>
        <v>19376</v>
      </c>
      <c r="F12" s="236">
        <f>8!I17</f>
        <v>359949</v>
      </c>
      <c r="G12" s="30">
        <v>0</v>
      </c>
      <c r="H12" s="30">
        <v>0</v>
      </c>
      <c r="I12" s="30">
        <v>0</v>
      </c>
      <c r="J12" s="236">
        <f>8!I36</f>
        <v>66072</v>
      </c>
      <c r="K12" s="30">
        <v>0</v>
      </c>
      <c r="L12" s="237">
        <f t="shared" si="0"/>
        <v>674359</v>
      </c>
    </row>
    <row r="13" spans="1:12" ht="15.75" customHeight="1">
      <c r="A13" s="238">
        <v>13010001</v>
      </c>
      <c r="B13" s="30" t="s">
        <v>476</v>
      </c>
      <c r="C13" s="236">
        <f>9!I8</f>
        <v>3618435</v>
      </c>
      <c r="D13" s="236">
        <f>9!I9+9!I10</f>
        <v>833807</v>
      </c>
      <c r="E13" s="236">
        <f>9!I13</f>
        <v>567876</v>
      </c>
      <c r="F13" s="236">
        <f>9!I17</f>
        <v>794089</v>
      </c>
      <c r="G13" s="30">
        <v>0</v>
      </c>
      <c r="H13" s="30">
        <v>0</v>
      </c>
      <c r="I13" s="30">
        <v>0</v>
      </c>
      <c r="J13" s="236">
        <f>9!I36</f>
        <v>186761</v>
      </c>
      <c r="K13" s="30">
        <v>0</v>
      </c>
      <c r="L13" s="237">
        <f t="shared" si="0"/>
        <v>6000968</v>
      </c>
    </row>
    <row r="14" spans="1:12" ht="15.75" customHeight="1">
      <c r="A14" s="238">
        <v>14010001</v>
      </c>
      <c r="B14" s="30" t="s">
        <v>248</v>
      </c>
      <c r="C14" s="236">
        <f>'10'!I8</f>
        <v>63223</v>
      </c>
      <c r="D14" s="236">
        <f>'10'!I9+'10'!I10</f>
        <v>10747</v>
      </c>
      <c r="E14" s="236">
        <f>'10'!I13</f>
        <v>6740</v>
      </c>
      <c r="F14" s="236">
        <f>'10'!I17</f>
        <v>87911</v>
      </c>
      <c r="G14" s="30">
        <v>0</v>
      </c>
      <c r="H14" s="30">
        <v>0</v>
      </c>
      <c r="I14" s="30">
        <v>0</v>
      </c>
      <c r="J14" s="236">
        <f>'10'!I36</f>
        <v>2976</v>
      </c>
      <c r="K14" s="30">
        <v>0</v>
      </c>
      <c r="L14" s="237">
        <f t="shared" si="0"/>
        <v>171597</v>
      </c>
    </row>
    <row r="15" spans="1:12" ht="15.75" customHeight="1">
      <c r="A15" s="238">
        <v>14020003</v>
      </c>
      <c r="B15" s="30" t="s">
        <v>249</v>
      </c>
      <c r="C15" s="236">
        <f>'11'!I8</f>
        <v>931214</v>
      </c>
      <c r="D15" s="236">
        <f>'11'!I9+'11'!I10</f>
        <v>172933</v>
      </c>
      <c r="E15" s="236">
        <f>'11'!I13</f>
        <v>100131</v>
      </c>
      <c r="F15" s="236">
        <f>'11'!I17</f>
        <v>261058</v>
      </c>
      <c r="G15" s="30">
        <v>0</v>
      </c>
      <c r="H15" s="30">
        <v>0</v>
      </c>
      <c r="I15" s="30">
        <v>0</v>
      </c>
      <c r="J15" s="236">
        <f>'11'!I36</f>
        <v>29616</v>
      </c>
      <c r="K15" s="30">
        <v>0</v>
      </c>
      <c r="L15" s="237">
        <f t="shared" si="0"/>
        <v>1494952</v>
      </c>
    </row>
    <row r="16" spans="1:12" ht="15.75" customHeight="1">
      <c r="A16" s="238">
        <v>14050001</v>
      </c>
      <c r="B16" s="30" t="s">
        <v>250</v>
      </c>
      <c r="C16" s="236">
        <f>'12'!I8</f>
        <v>27156</v>
      </c>
      <c r="D16" s="236">
        <f>'12'!I9+'12'!I10</f>
        <v>3657</v>
      </c>
      <c r="E16" s="236">
        <f>'12'!I13</f>
        <v>2884</v>
      </c>
      <c r="F16" s="236">
        <f>'12'!I17</f>
        <v>2722</v>
      </c>
      <c r="G16" s="30">
        <v>0</v>
      </c>
      <c r="H16" s="30">
        <v>0</v>
      </c>
      <c r="I16" s="30">
        <v>0</v>
      </c>
      <c r="J16" s="236">
        <f>'12'!I36</f>
        <v>0</v>
      </c>
      <c r="K16" s="30">
        <v>0</v>
      </c>
      <c r="L16" s="237">
        <f t="shared" si="0"/>
        <v>36419</v>
      </c>
    </row>
    <row r="17" spans="1:12" ht="15.75" customHeight="1">
      <c r="A17" s="238">
        <v>14050002</v>
      </c>
      <c r="B17" s="30" t="s">
        <v>251</v>
      </c>
      <c r="C17" s="236">
        <f>'13'!I8</f>
        <v>12271</v>
      </c>
      <c r="D17" s="236">
        <f>'13'!I9+'13'!I10</f>
        <v>6247</v>
      </c>
      <c r="E17" s="236">
        <f>'13'!I13</f>
        <v>1323</v>
      </c>
      <c r="F17" s="236">
        <f>'13'!I17</f>
        <v>4726</v>
      </c>
      <c r="G17" s="30">
        <v>0</v>
      </c>
      <c r="H17" s="30">
        <v>0</v>
      </c>
      <c r="I17" s="30">
        <v>0</v>
      </c>
      <c r="J17" s="236">
        <f>'13'!I36</f>
        <v>999</v>
      </c>
      <c r="K17" s="30">
        <v>0</v>
      </c>
      <c r="L17" s="237">
        <f t="shared" si="0"/>
        <v>25566</v>
      </c>
    </row>
    <row r="18" spans="1:12" ht="15.75" customHeight="1">
      <c r="A18" s="238">
        <v>14060001</v>
      </c>
      <c r="B18" s="30" t="s">
        <v>252</v>
      </c>
      <c r="C18" s="236">
        <f>'14'!I8</f>
        <v>51024</v>
      </c>
      <c r="D18" s="236">
        <f>'14'!I9+'14'!I10</f>
        <v>5471</v>
      </c>
      <c r="E18" s="236">
        <f>'14'!I13</f>
        <v>5421</v>
      </c>
      <c r="F18" s="236">
        <f>'14'!I17</f>
        <v>4126</v>
      </c>
      <c r="G18" s="30">
        <v>0</v>
      </c>
      <c r="H18" s="30">
        <v>0</v>
      </c>
      <c r="I18" s="30">
        <v>0</v>
      </c>
      <c r="J18" s="236">
        <f>'14'!I36</f>
        <v>0</v>
      </c>
      <c r="K18" s="30">
        <v>0</v>
      </c>
      <c r="L18" s="237">
        <f t="shared" si="0"/>
        <v>66042</v>
      </c>
    </row>
    <row r="19" spans="1:12" ht="15.75" customHeight="1">
      <c r="A19" s="238">
        <v>15010001</v>
      </c>
      <c r="B19" s="30" t="s">
        <v>253</v>
      </c>
      <c r="C19" s="236">
        <f>'15'!I8</f>
        <v>140661</v>
      </c>
      <c r="D19" s="236">
        <f>'15'!I9+'15'!I10</f>
        <v>27713</v>
      </c>
      <c r="E19" s="236">
        <f>'15'!I13</f>
        <v>14995</v>
      </c>
      <c r="F19" s="236">
        <f>'15'!I17</f>
        <v>24201</v>
      </c>
      <c r="G19" s="236">
        <f>'15'!I30</f>
        <v>897163</v>
      </c>
      <c r="H19" s="30">
        <v>0</v>
      </c>
      <c r="I19" s="30">
        <v>0</v>
      </c>
      <c r="J19" s="236">
        <f>'15'!I33</f>
        <v>0</v>
      </c>
      <c r="K19" s="30">
        <v>0</v>
      </c>
      <c r="L19" s="237">
        <f t="shared" si="0"/>
        <v>1104733</v>
      </c>
    </row>
    <row r="20" spans="1:12" ht="15.75" customHeight="1">
      <c r="A20" s="238">
        <v>16010001</v>
      </c>
      <c r="B20" s="30" t="s">
        <v>254</v>
      </c>
      <c r="C20" s="236">
        <f>'16'!I11</f>
        <v>295509</v>
      </c>
      <c r="D20" s="236">
        <f>'16'!I12+'16'!I13</f>
        <v>62447</v>
      </c>
      <c r="E20" s="236">
        <f>'16'!I16</f>
        <v>31912</v>
      </c>
      <c r="F20" s="236">
        <f>'16'!I20</f>
        <v>111169</v>
      </c>
      <c r="G20" s="236">
        <f>'16'!I33</f>
        <v>349568</v>
      </c>
      <c r="H20" s="30">
        <v>0</v>
      </c>
      <c r="I20" s="236">
        <f>'16'!I38</f>
        <v>67923</v>
      </c>
      <c r="J20" s="236">
        <f>'16'!I43</f>
        <v>6990</v>
      </c>
      <c r="K20" s="236">
        <f>'16'!I47</f>
        <v>1384615</v>
      </c>
      <c r="L20" s="237">
        <f t="shared" si="0"/>
        <v>2310133</v>
      </c>
    </row>
    <row r="21" spans="1:12" ht="15.75" customHeight="1">
      <c r="A21" s="238">
        <v>17010001</v>
      </c>
      <c r="B21" s="30" t="s">
        <v>255</v>
      </c>
      <c r="C21" s="236">
        <f>'17'!I8</f>
        <v>161057</v>
      </c>
      <c r="D21" s="236">
        <f>'17'!I9+'17'!I10</f>
        <v>31095</v>
      </c>
      <c r="E21" s="236">
        <f>'17'!I13</f>
        <v>17142</v>
      </c>
      <c r="F21" s="236">
        <f>'17'!I17</f>
        <v>80287</v>
      </c>
      <c r="G21" s="236">
        <f>'17'!I29</f>
        <v>3129917</v>
      </c>
      <c r="H21" s="236">
        <v>0</v>
      </c>
      <c r="I21" s="30">
        <v>0</v>
      </c>
      <c r="J21" s="236">
        <f>'17'!I34</f>
        <v>1388</v>
      </c>
      <c r="K21" s="30">
        <v>0</v>
      </c>
      <c r="L21" s="237">
        <f t="shared" si="0"/>
        <v>3420886</v>
      </c>
    </row>
    <row r="22" spans="1:12" ht="15.75" customHeight="1">
      <c r="A22" s="238">
        <v>18010001</v>
      </c>
      <c r="B22" s="30" t="s">
        <v>256</v>
      </c>
      <c r="C22" s="236">
        <f>'18'!I8</f>
        <v>180798</v>
      </c>
      <c r="D22" s="236">
        <f>'18'!I9+'18'!I10</f>
        <v>40909</v>
      </c>
      <c r="E22" s="236">
        <f>'18'!I13</f>
        <v>19298</v>
      </c>
      <c r="F22" s="236">
        <f>'18'!I17</f>
        <v>220803</v>
      </c>
      <c r="G22" s="236">
        <f>'18'!I30</f>
        <v>158780</v>
      </c>
      <c r="H22" s="30">
        <v>0</v>
      </c>
      <c r="I22" s="30">
        <v>0</v>
      </c>
      <c r="J22" s="236">
        <f>'18'!I37</f>
        <v>741121</v>
      </c>
      <c r="K22" s="30">
        <v>0</v>
      </c>
      <c r="L22" s="237">
        <f t="shared" si="0"/>
        <v>1361709</v>
      </c>
    </row>
    <row r="23" spans="1:12" ht="15.75" customHeight="1">
      <c r="A23" s="238">
        <v>19010001</v>
      </c>
      <c r="B23" s="30" t="s">
        <v>257</v>
      </c>
      <c r="C23" s="236">
        <f>'19'!I8</f>
        <v>404227</v>
      </c>
      <c r="D23" s="236">
        <f>'19'!I9+'19'!I10</f>
        <v>85713</v>
      </c>
      <c r="E23" s="236">
        <f>'19'!I13</f>
        <v>44113</v>
      </c>
      <c r="F23" s="236">
        <f>'19'!I17</f>
        <v>94869</v>
      </c>
      <c r="G23" s="236">
        <f>'19'!I29</f>
        <v>1693916</v>
      </c>
      <c r="H23" s="30">
        <v>0</v>
      </c>
      <c r="I23" s="30">
        <v>0</v>
      </c>
      <c r="J23" s="236">
        <f>'19'!I35</f>
        <v>12477</v>
      </c>
      <c r="K23" s="30">
        <v>0</v>
      </c>
      <c r="L23" s="237">
        <f t="shared" si="0"/>
        <v>2335315</v>
      </c>
    </row>
    <row r="24" spans="1:12" ht="15.75" customHeight="1">
      <c r="A24" s="238">
        <v>20010001</v>
      </c>
      <c r="B24" s="30" t="s">
        <v>258</v>
      </c>
      <c r="C24" s="236">
        <f>'20'!I8</f>
        <v>209938</v>
      </c>
      <c r="D24" s="236">
        <f>'20'!I9+'20'!I10</f>
        <v>35966</v>
      </c>
      <c r="E24" s="236">
        <f>'20'!I13</f>
        <v>23136</v>
      </c>
      <c r="F24" s="236">
        <f>'20'!I17</f>
        <v>116108</v>
      </c>
      <c r="G24" s="236">
        <f>'20'!I31</f>
        <v>1111850</v>
      </c>
      <c r="H24" s="236">
        <f>'20'!I40</f>
        <v>0</v>
      </c>
      <c r="I24" s="236">
        <f>'20'!I43</f>
        <v>9325</v>
      </c>
      <c r="J24" s="236">
        <f>'20'!I46</f>
        <v>16434</v>
      </c>
      <c r="K24" s="236">
        <f>'20'!I50</f>
        <v>74940</v>
      </c>
      <c r="L24" s="237">
        <f t="shared" si="0"/>
        <v>1597697</v>
      </c>
    </row>
    <row r="25" spans="1:12" ht="15.75" customHeight="1">
      <c r="A25" s="238">
        <v>20020002</v>
      </c>
      <c r="B25" s="30" t="s">
        <v>479</v>
      </c>
      <c r="C25" s="236">
        <f>'21'!I8</f>
        <v>858166</v>
      </c>
      <c r="D25" s="236">
        <f>'21'!I9+'21'!I10</f>
        <v>213002</v>
      </c>
      <c r="E25" s="236">
        <f>'21'!I13</f>
        <v>93015</v>
      </c>
      <c r="F25" s="236">
        <f>'21'!I17</f>
        <v>140230</v>
      </c>
      <c r="G25" s="30">
        <v>0</v>
      </c>
      <c r="H25" s="30">
        <v>0</v>
      </c>
      <c r="I25" s="30">
        <v>0</v>
      </c>
      <c r="J25" s="236">
        <f>'21'!I36</f>
        <v>80964</v>
      </c>
      <c r="K25" s="30">
        <v>0</v>
      </c>
      <c r="L25" s="237">
        <f t="shared" si="0"/>
        <v>1385377</v>
      </c>
    </row>
    <row r="26" spans="1:12" ht="15.75" customHeight="1">
      <c r="A26" s="238">
        <v>20020003</v>
      </c>
      <c r="B26" s="30" t="s">
        <v>480</v>
      </c>
      <c r="C26" s="236">
        <f>'22'!I8</f>
        <v>754570</v>
      </c>
      <c r="D26" s="236">
        <f>'22'!I9+'22'!I10</f>
        <v>188751</v>
      </c>
      <c r="E26" s="236">
        <f>'22'!I13</f>
        <v>81026</v>
      </c>
      <c r="F26" s="236">
        <f>'22'!I17</f>
        <v>197607</v>
      </c>
      <c r="G26" s="30">
        <v>0</v>
      </c>
      <c r="H26" s="30">
        <v>0</v>
      </c>
      <c r="I26" s="30">
        <v>0</v>
      </c>
      <c r="J26" s="236">
        <f>'22'!I36</f>
        <v>20910</v>
      </c>
      <c r="K26" s="30">
        <v>0</v>
      </c>
      <c r="L26" s="237">
        <f t="shared" si="0"/>
        <v>1242864</v>
      </c>
    </row>
    <row r="27" spans="1:12" ht="15.75" customHeight="1">
      <c r="A27" s="238">
        <v>20020004</v>
      </c>
      <c r="B27" s="30" t="s">
        <v>481</v>
      </c>
      <c r="C27" s="236">
        <f>'23'!I8</f>
        <v>658104</v>
      </c>
      <c r="D27" s="236">
        <f>'23'!I9+'23'!I10</f>
        <v>145826</v>
      </c>
      <c r="E27" s="236">
        <f>'23'!I13</f>
        <v>70411</v>
      </c>
      <c r="F27" s="236">
        <f>'23'!I17</f>
        <v>146880</v>
      </c>
      <c r="G27" s="30">
        <v>0</v>
      </c>
      <c r="H27" s="30">
        <v>0</v>
      </c>
      <c r="I27" s="30">
        <v>0</v>
      </c>
      <c r="J27" s="236">
        <f>'23'!I37</f>
        <v>4937</v>
      </c>
      <c r="K27" s="30">
        <v>0</v>
      </c>
      <c r="L27" s="237">
        <f t="shared" si="0"/>
        <v>1026158</v>
      </c>
    </row>
    <row r="28" spans="1:12" ht="15.75" customHeight="1">
      <c r="A28" s="238">
        <v>20030001</v>
      </c>
      <c r="B28" s="30" t="s">
        <v>482</v>
      </c>
      <c r="C28" s="236">
        <f>'24'!I8</f>
        <v>797509</v>
      </c>
      <c r="D28" s="236">
        <f>'24'!I9+'24'!I10</f>
        <v>169850</v>
      </c>
      <c r="E28" s="236">
        <f>'24'!I13</f>
        <v>87411</v>
      </c>
      <c r="F28" s="236">
        <f>'24'!I17</f>
        <v>90450</v>
      </c>
      <c r="G28" s="30">
        <v>0</v>
      </c>
      <c r="H28" s="30">
        <v>0</v>
      </c>
      <c r="I28" s="30">
        <v>0</v>
      </c>
      <c r="J28" s="236">
        <f>'24'!I36</f>
        <v>6733</v>
      </c>
      <c r="K28" s="30">
        <v>0</v>
      </c>
      <c r="L28" s="237">
        <f t="shared" si="0"/>
        <v>1151953</v>
      </c>
    </row>
    <row r="29" spans="1:12" ht="15.75" customHeight="1">
      <c r="A29" s="238">
        <v>20030002</v>
      </c>
      <c r="B29" s="30" t="s">
        <v>483</v>
      </c>
      <c r="C29" s="236">
        <f>'25'!I8</f>
        <v>1658718</v>
      </c>
      <c r="D29" s="236">
        <f>'25'!I9+'25'!I10</f>
        <v>388127</v>
      </c>
      <c r="E29" s="236">
        <f>'25'!I13</f>
        <v>183225</v>
      </c>
      <c r="F29" s="236">
        <f>'25'!I17</f>
        <v>205293</v>
      </c>
      <c r="G29" s="30">
        <v>0</v>
      </c>
      <c r="H29" s="30">
        <v>0</v>
      </c>
      <c r="I29" s="30">
        <v>0</v>
      </c>
      <c r="J29" s="236">
        <f>'25'!I36</f>
        <v>89062</v>
      </c>
      <c r="K29" s="30">
        <v>0</v>
      </c>
      <c r="L29" s="237">
        <f t="shared" si="0"/>
        <v>2524425</v>
      </c>
    </row>
    <row r="30" spans="1:12" ht="15.75" customHeight="1">
      <c r="A30" s="238">
        <v>20030003</v>
      </c>
      <c r="B30" s="30" t="s">
        <v>484</v>
      </c>
      <c r="C30" s="236">
        <f>'26'!I8</f>
        <v>457240</v>
      </c>
      <c r="D30" s="236">
        <f>'26'!I9+'26'!I10</f>
        <v>92143</v>
      </c>
      <c r="E30" s="236">
        <f>'26'!I13</f>
        <v>50706</v>
      </c>
      <c r="F30" s="236">
        <f>'26'!I17</f>
        <v>49711</v>
      </c>
      <c r="G30" s="30">
        <v>0</v>
      </c>
      <c r="H30" s="30">
        <v>0</v>
      </c>
      <c r="I30" s="30">
        <v>0</v>
      </c>
      <c r="J30" s="236">
        <f>'26'!I36</f>
        <v>53489</v>
      </c>
      <c r="K30" s="30">
        <v>0</v>
      </c>
      <c r="L30" s="237">
        <f t="shared" si="0"/>
        <v>703289</v>
      </c>
    </row>
    <row r="31" spans="1:12" ht="15.75" customHeight="1">
      <c r="A31" s="238">
        <v>20030004</v>
      </c>
      <c r="B31" s="30" t="s">
        <v>485</v>
      </c>
      <c r="C31" s="236">
        <f>'27'!I8</f>
        <v>610352</v>
      </c>
      <c r="D31" s="236">
        <f>'27'!I9+'27'!I10</f>
        <v>124942</v>
      </c>
      <c r="E31" s="236">
        <f>'27'!I13</f>
        <v>67372</v>
      </c>
      <c r="F31" s="236">
        <f>'27'!I17</f>
        <v>54901</v>
      </c>
      <c r="G31" s="30">
        <v>0</v>
      </c>
      <c r="H31" s="30">
        <v>0</v>
      </c>
      <c r="I31" s="30">
        <v>0</v>
      </c>
      <c r="J31" s="236">
        <f>'27'!I36</f>
        <v>10880</v>
      </c>
      <c r="K31" s="30">
        <v>0</v>
      </c>
      <c r="L31" s="237">
        <f t="shared" si="0"/>
        <v>868447</v>
      </c>
    </row>
    <row r="32" spans="1:12" ht="15.75" customHeight="1">
      <c r="A32" s="238">
        <v>20030005</v>
      </c>
      <c r="B32" s="30" t="s">
        <v>486</v>
      </c>
      <c r="C32" s="236">
        <f>'28'!I8</f>
        <v>680681</v>
      </c>
      <c r="D32" s="236">
        <f>'28'!I9+'28'!I10</f>
        <v>154658</v>
      </c>
      <c r="E32" s="236">
        <f>'28'!I13</f>
        <v>72607</v>
      </c>
      <c r="F32" s="236">
        <f>'28'!I17</f>
        <v>83550</v>
      </c>
      <c r="G32" s="30">
        <v>0</v>
      </c>
      <c r="H32" s="30">
        <v>0</v>
      </c>
      <c r="I32" s="30">
        <v>0</v>
      </c>
      <c r="J32" s="236">
        <f>'28'!I36</f>
        <v>63393</v>
      </c>
      <c r="K32" s="30">
        <v>0</v>
      </c>
      <c r="L32" s="237">
        <f t="shared" si="0"/>
        <v>1054889</v>
      </c>
    </row>
    <row r="33" spans="1:12" ht="15.75" customHeight="1">
      <c r="A33" s="238">
        <v>20030006</v>
      </c>
      <c r="B33" s="30" t="s">
        <v>487</v>
      </c>
      <c r="C33" s="236">
        <f>'29'!I8</f>
        <v>306993</v>
      </c>
      <c r="D33" s="236">
        <f>'29'!I9+'29'!I10</f>
        <v>73964</v>
      </c>
      <c r="E33" s="236">
        <f>'29'!I13</f>
        <v>34454</v>
      </c>
      <c r="F33" s="236">
        <f>'29'!I17</f>
        <v>46486</v>
      </c>
      <c r="G33" s="30">
        <v>0</v>
      </c>
      <c r="H33" s="30">
        <v>0</v>
      </c>
      <c r="I33" s="30">
        <v>0</v>
      </c>
      <c r="J33" s="236">
        <f>'29'!I36</f>
        <v>2000</v>
      </c>
      <c r="K33" s="30">
        <v>0</v>
      </c>
      <c r="L33" s="237">
        <f t="shared" si="0"/>
        <v>463897</v>
      </c>
    </row>
    <row r="34" spans="1:12" ht="15.75" customHeight="1">
      <c r="A34" s="238">
        <v>20030007</v>
      </c>
      <c r="B34" s="30" t="s">
        <v>488</v>
      </c>
      <c r="C34" s="236">
        <f>'30'!I8</f>
        <v>420208</v>
      </c>
      <c r="D34" s="236">
        <f>'30'!I9+'30'!I10</f>
        <v>98446</v>
      </c>
      <c r="E34" s="236">
        <f>'30'!I13</f>
        <v>47719</v>
      </c>
      <c r="F34" s="236">
        <f>'30'!I17</f>
        <v>60941</v>
      </c>
      <c r="G34" s="30">
        <v>0</v>
      </c>
      <c r="H34" s="30">
        <v>0</v>
      </c>
      <c r="I34" s="30">
        <v>0</v>
      </c>
      <c r="J34" s="236">
        <f>'30'!I36</f>
        <v>1995</v>
      </c>
      <c r="K34" s="30">
        <v>0</v>
      </c>
      <c r="L34" s="237">
        <f t="shared" si="0"/>
        <v>629309</v>
      </c>
    </row>
    <row r="35" spans="1:12" ht="15.75" customHeight="1">
      <c r="A35" s="238">
        <v>21010001</v>
      </c>
      <c r="B35" s="30" t="s">
        <v>268</v>
      </c>
      <c r="C35" s="236">
        <f>'31'!I8</f>
        <v>170057</v>
      </c>
      <c r="D35" s="236">
        <f>'31'!I9+'31'!I10</f>
        <v>45692</v>
      </c>
      <c r="E35" s="236">
        <f>'31'!I13</f>
        <v>18211</v>
      </c>
      <c r="F35" s="236">
        <f>'31'!I17</f>
        <v>55000</v>
      </c>
      <c r="G35" s="236">
        <f>'31'!I29</f>
        <v>999399</v>
      </c>
      <c r="H35" s="30">
        <v>0</v>
      </c>
      <c r="I35" s="30">
        <v>0</v>
      </c>
      <c r="J35" s="236">
        <f>'31'!I33</f>
        <v>690</v>
      </c>
      <c r="K35" s="30">
        <v>0</v>
      </c>
      <c r="L35" s="237">
        <f t="shared" si="0"/>
        <v>1289049</v>
      </c>
    </row>
    <row r="36" spans="1:12" ht="15.75" customHeight="1">
      <c r="A36" s="238">
        <v>22010001</v>
      </c>
      <c r="B36" s="30" t="s">
        <v>269</v>
      </c>
      <c r="C36" s="236">
        <f>'32'!I8</f>
        <v>71506</v>
      </c>
      <c r="D36" s="236">
        <f>'32'!I9+'32'!I10</f>
        <v>16715</v>
      </c>
      <c r="E36" s="236">
        <f>'32'!I12</f>
        <v>7922</v>
      </c>
      <c r="F36" s="236">
        <f>'32'!I16</f>
        <v>14788</v>
      </c>
      <c r="G36" s="30">
        <v>0</v>
      </c>
      <c r="H36" s="30">
        <v>0</v>
      </c>
      <c r="I36" s="30">
        <v>0</v>
      </c>
      <c r="J36" s="236">
        <f>'32'!I35</f>
        <v>6984</v>
      </c>
      <c r="K36" s="30">
        <v>0</v>
      </c>
      <c r="L36" s="237">
        <f t="shared" si="0"/>
        <v>117915</v>
      </c>
    </row>
    <row r="37" spans="1:12" ht="15.75" customHeight="1">
      <c r="A37" s="238">
        <v>23010001</v>
      </c>
      <c r="B37" s="30" t="s">
        <v>270</v>
      </c>
      <c r="C37" s="236">
        <f>'33'!I8</f>
        <v>159241</v>
      </c>
      <c r="D37" s="236">
        <f>'33'!I9+'33'!I10</f>
        <v>40946</v>
      </c>
      <c r="E37" s="236">
        <f>'33'!I13</f>
        <v>17101</v>
      </c>
      <c r="F37" s="236">
        <f>'33'!I17</f>
        <v>44040</v>
      </c>
      <c r="G37" s="236">
        <f>'33'!I29</f>
        <v>228757</v>
      </c>
      <c r="H37" s="30">
        <v>0</v>
      </c>
      <c r="I37" s="30">
        <v>0</v>
      </c>
      <c r="J37" s="236">
        <f>'33'!I34</f>
        <v>22173</v>
      </c>
      <c r="K37" s="30">
        <v>0</v>
      </c>
      <c r="L37" s="237">
        <f t="shared" si="0"/>
        <v>512258</v>
      </c>
    </row>
    <row r="38" spans="1:12" ht="15.75" customHeight="1">
      <c r="A38" s="238">
        <v>24010001</v>
      </c>
      <c r="B38" s="30" t="s">
        <v>271</v>
      </c>
      <c r="C38" s="236">
        <f>'34'!I8</f>
        <v>417480</v>
      </c>
      <c r="D38" s="236">
        <f>'34'!I9+'34'!I10</f>
        <v>72888</v>
      </c>
      <c r="E38" s="236">
        <f>'34'!I13</f>
        <v>44692</v>
      </c>
      <c r="F38" s="236">
        <f>'34'!I17</f>
        <v>104719</v>
      </c>
      <c r="G38" s="30">
        <v>0</v>
      </c>
      <c r="H38" s="30">
        <v>0</v>
      </c>
      <c r="I38" s="30">
        <v>0</v>
      </c>
      <c r="J38" s="236">
        <f>'34'!I36</f>
        <v>2957</v>
      </c>
      <c r="K38" s="30">
        <v>0</v>
      </c>
      <c r="L38" s="237">
        <f t="shared" si="0"/>
        <v>642736</v>
      </c>
    </row>
    <row r="39" spans="1:12" ht="15.75" customHeight="1">
      <c r="A39" s="238">
        <v>26010001</v>
      </c>
      <c r="B39" s="30" t="s">
        <v>272</v>
      </c>
      <c r="C39" s="236">
        <f>'35'!I8</f>
        <v>55092</v>
      </c>
      <c r="D39" s="236">
        <f>'35'!I9+'35'!I10</f>
        <v>11778</v>
      </c>
      <c r="E39" s="236">
        <f>'35'!I13</f>
        <v>5884</v>
      </c>
      <c r="F39" s="236">
        <f>'35'!I17</f>
        <v>8784</v>
      </c>
      <c r="G39" s="236">
        <v>0</v>
      </c>
      <c r="H39" s="30">
        <v>0</v>
      </c>
      <c r="I39" s="30">
        <v>0</v>
      </c>
      <c r="J39" s="236">
        <f>'35'!I36</f>
        <v>999</v>
      </c>
      <c r="K39" s="30">
        <v>0</v>
      </c>
      <c r="L39" s="237">
        <f t="shared" si="0"/>
        <v>82537</v>
      </c>
    </row>
    <row r="40" spans="1:12" ht="15.75" customHeight="1">
      <c r="A40" s="238">
        <v>27010001</v>
      </c>
      <c r="B40" s="30" t="s">
        <v>273</v>
      </c>
      <c r="C40" s="236">
        <f>'36'!I8</f>
        <v>388878</v>
      </c>
      <c r="D40" s="236">
        <f>'36'!I9+'36'!I10</f>
        <v>63886</v>
      </c>
      <c r="E40" s="236">
        <f>'36'!I13</f>
        <v>41681</v>
      </c>
      <c r="F40" s="236">
        <f>'36'!I17</f>
        <v>94522</v>
      </c>
      <c r="G40" s="30">
        <v>0</v>
      </c>
      <c r="H40" s="30">
        <v>0</v>
      </c>
      <c r="I40" s="30">
        <v>0</v>
      </c>
      <c r="J40" s="236">
        <f>'36'!I36</f>
        <v>1053</v>
      </c>
      <c r="K40" s="30">
        <v>0</v>
      </c>
      <c r="L40" s="237">
        <f t="shared" si="0"/>
        <v>590020</v>
      </c>
    </row>
    <row r="41" spans="1:12" ht="15.75" customHeight="1">
      <c r="A41" s="238">
        <v>28010001</v>
      </c>
      <c r="B41" s="30" t="s">
        <v>274</v>
      </c>
      <c r="C41" s="236">
        <f>'37'!I8</f>
        <v>275572</v>
      </c>
      <c r="D41" s="236">
        <f>'37'!I9+'37'!I10</f>
        <v>49797</v>
      </c>
      <c r="E41" s="236">
        <f>'37'!I13</f>
        <v>29315</v>
      </c>
      <c r="F41" s="236">
        <f>'37'!I17</f>
        <v>22247</v>
      </c>
      <c r="G41" s="236">
        <v>0</v>
      </c>
      <c r="H41" s="30">
        <v>0</v>
      </c>
      <c r="I41" s="30">
        <v>0</v>
      </c>
      <c r="J41" s="236">
        <f>'37'!I36</f>
        <v>2361</v>
      </c>
      <c r="K41" s="30">
        <v>0</v>
      </c>
      <c r="L41" s="237">
        <f t="shared" si="0"/>
        <v>379292</v>
      </c>
    </row>
    <row r="42" spans="1:12" s="68" customFormat="1" ht="15.75" customHeight="1">
      <c r="A42" s="117"/>
      <c r="B42" s="242" t="s">
        <v>500</v>
      </c>
      <c r="C42" s="243">
        <f>SUM(C5:C41)</f>
        <v>15654060</v>
      </c>
      <c r="D42" s="243">
        <f aca="true" t="shared" si="1" ref="D42:K42">SUM(D5:D41)</f>
        <v>3620614</v>
      </c>
      <c r="E42" s="243">
        <f t="shared" si="1"/>
        <v>1875812</v>
      </c>
      <c r="F42" s="243">
        <f t="shared" si="1"/>
        <v>4284813</v>
      </c>
      <c r="G42" s="243">
        <f t="shared" si="1"/>
        <v>9439310</v>
      </c>
      <c r="H42" s="243">
        <f t="shared" si="1"/>
        <v>400000</v>
      </c>
      <c r="I42" s="243">
        <f t="shared" si="1"/>
        <v>77248</v>
      </c>
      <c r="J42" s="243">
        <f t="shared" si="1"/>
        <v>1977019</v>
      </c>
      <c r="K42" s="243">
        <f t="shared" si="1"/>
        <v>1459555</v>
      </c>
      <c r="L42" s="243">
        <f>SUM(L5:L41)</f>
        <v>38788431</v>
      </c>
    </row>
    <row r="43" spans="2:12" ht="18" customHeight="1">
      <c r="B43" t="s">
        <v>501</v>
      </c>
      <c r="L43" s="163">
        <f>Rashodi!G8</f>
        <v>685775</v>
      </c>
    </row>
    <row r="44" spans="2:12" ht="18" customHeight="1">
      <c r="B44" t="s">
        <v>524</v>
      </c>
      <c r="L44" s="163">
        <f>Uvod!C47</f>
        <v>61302</v>
      </c>
    </row>
    <row r="45" spans="1:12" ht="18" customHeight="1">
      <c r="A45" s="239"/>
      <c r="B45" s="241" t="s">
        <v>500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6">
        <f>L42+L43+L44</f>
        <v>39535508</v>
      </c>
    </row>
  </sheetData>
  <sheetProtection/>
  <mergeCells count="1">
    <mergeCell ref="A2:L2"/>
  </mergeCells>
  <printOptions/>
  <pageMargins left="0.31" right="0.32" top="0.34" bottom="0.53" header="0.34" footer="0.5"/>
  <pageSetup horizontalDpi="600" verticalDpi="600" orientation="landscape" paperSize="9" scale="71" r:id="rId1"/>
  <headerFooter alignWithMargins="0">
    <oddFooter>&amp;R45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zoomScaleSheetLayoutView="100" workbookViewId="0" topLeftCell="A1">
      <selection activeCell="J22" sqref="J22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59.140625" style="0" customWidth="1"/>
    <col min="4" max="4" width="14.7109375" style="0" customWidth="1"/>
    <col min="5" max="5" width="14.421875" style="0" customWidth="1"/>
    <col min="6" max="6" width="8.8515625" style="0" customWidth="1"/>
    <col min="8" max="8" width="10.140625" style="0" bestFit="1" customWidth="1"/>
  </cols>
  <sheetData>
    <row r="2" spans="1:6" ht="15">
      <c r="A2" s="463" t="s">
        <v>681</v>
      </c>
      <c r="B2" s="428"/>
      <c r="C2" s="428"/>
      <c r="D2" s="428"/>
      <c r="E2" s="428"/>
      <c r="F2" s="428"/>
    </row>
    <row r="3" spans="1:5" ht="15">
      <c r="A3" s="255"/>
      <c r="B3" s="257"/>
      <c r="C3" s="256"/>
      <c r="D3" s="256"/>
      <c r="E3" s="256"/>
    </row>
    <row r="4" spans="1:5" ht="12.75">
      <c r="A4" s="258"/>
      <c r="B4" s="258"/>
      <c r="C4" s="259"/>
      <c r="D4" s="260"/>
      <c r="E4" s="260"/>
    </row>
    <row r="5" spans="1:6" ht="57.75" customHeight="1">
      <c r="A5" s="261" t="s">
        <v>275</v>
      </c>
      <c r="B5" s="262" t="s">
        <v>529</v>
      </c>
      <c r="C5" s="262" t="s">
        <v>530</v>
      </c>
      <c r="D5" s="263" t="s">
        <v>528</v>
      </c>
      <c r="E5" s="263" t="s">
        <v>663</v>
      </c>
      <c r="F5" s="273" t="s">
        <v>55</v>
      </c>
    </row>
    <row r="6" spans="1:6" ht="12.75">
      <c r="A6" s="264"/>
      <c r="B6" s="265">
        <v>1</v>
      </c>
      <c r="C6" s="265">
        <v>2</v>
      </c>
      <c r="D6" s="266">
        <v>3</v>
      </c>
      <c r="E6" s="266">
        <v>4</v>
      </c>
      <c r="F6" s="66"/>
    </row>
    <row r="7" spans="1:9" ht="25.5">
      <c r="A7" s="264">
        <v>1</v>
      </c>
      <c r="B7" s="267"/>
      <c r="C7" s="267" t="s">
        <v>54</v>
      </c>
      <c r="D7" s="270">
        <f>D8+D17+D23+D30+D40+D47+D54+D61+D68+D77</f>
        <v>40327360</v>
      </c>
      <c r="E7" s="270">
        <f>E8+E17+E23+E30+E40+E47+E54+E61+E68+E77</f>
        <v>39474206</v>
      </c>
      <c r="F7" s="277">
        <f>IF(D7=0,"",E7/D7*100)</f>
        <v>97.88442883441911</v>
      </c>
      <c r="H7" s="90"/>
      <c r="I7" s="90"/>
    </row>
    <row r="8" spans="1:6" ht="12.75">
      <c r="A8" s="264">
        <v>2</v>
      </c>
      <c r="B8" s="268" t="s">
        <v>83</v>
      </c>
      <c r="C8" s="269" t="s">
        <v>58</v>
      </c>
      <c r="D8" s="270">
        <f>SUM(D9:D16)</f>
        <v>7279280</v>
      </c>
      <c r="E8" s="270">
        <f>SUM(E9:E16)</f>
        <v>7193907</v>
      </c>
      <c r="F8" s="274">
        <f>IF(D8=0,"",E8/D8*100)</f>
        <v>98.82717796265564</v>
      </c>
    </row>
    <row r="9" spans="1:6" ht="13.5" customHeight="1">
      <c r="A9" s="264">
        <v>3</v>
      </c>
      <c r="B9" s="271" t="s">
        <v>531</v>
      </c>
      <c r="C9" s="272" t="s">
        <v>59</v>
      </c>
      <c r="D9" s="221">
        <f>1!H42+2!H42+3!H56+4!H43+5!H42+6!H42+7!H42+'16'!H51</f>
        <v>6574010</v>
      </c>
      <c r="E9" s="221">
        <f>1!I42+2!I42+3!I56+4!I43+5!I42+6!I42+7!I42+'16'!I51</f>
        <v>6519548</v>
      </c>
      <c r="F9" s="275">
        <f>IF(D9=0,"",E9/D9*100)</f>
        <v>99.17155586924875</v>
      </c>
    </row>
    <row r="10" spans="1:6" ht="13.5" customHeight="1">
      <c r="A10" s="264">
        <v>4</v>
      </c>
      <c r="B10" s="271" t="s">
        <v>532</v>
      </c>
      <c r="C10" s="272" t="s">
        <v>533</v>
      </c>
      <c r="D10" s="221">
        <v>0</v>
      </c>
      <c r="E10" s="221">
        <v>0</v>
      </c>
      <c r="F10" s="275">
        <f aca="true" t="shared" si="0" ref="F10:F73">IF(D10=0,"",E10/D10*100)</f>
      </c>
    </row>
    <row r="11" spans="1:6" ht="13.5" customHeight="1">
      <c r="A11" s="264">
        <v>5</v>
      </c>
      <c r="B11" s="271" t="s">
        <v>534</v>
      </c>
      <c r="C11" s="272" t="s">
        <v>535</v>
      </c>
      <c r="D11" s="221">
        <f>8!H42</f>
        <v>705270</v>
      </c>
      <c r="E11" s="221">
        <f>8!I42</f>
        <v>674359</v>
      </c>
      <c r="F11" s="275">
        <f t="shared" si="0"/>
        <v>95.61713953521347</v>
      </c>
    </row>
    <row r="12" spans="1:6" ht="13.5" customHeight="1">
      <c r="A12" s="264">
        <v>6</v>
      </c>
      <c r="B12" s="271" t="s">
        <v>536</v>
      </c>
      <c r="C12" s="272" t="s">
        <v>537</v>
      </c>
      <c r="D12" s="221">
        <v>0</v>
      </c>
      <c r="E12" s="221">
        <v>0</v>
      </c>
      <c r="F12" s="275">
        <f t="shared" si="0"/>
      </c>
    </row>
    <row r="13" spans="1:6" ht="13.5" customHeight="1">
      <c r="A13" s="264">
        <v>7</v>
      </c>
      <c r="B13" s="271" t="s">
        <v>538</v>
      </c>
      <c r="C13" s="272" t="s">
        <v>539</v>
      </c>
      <c r="D13" s="221">
        <v>0</v>
      </c>
      <c r="E13" s="221">
        <v>0</v>
      </c>
      <c r="F13" s="275">
        <f t="shared" si="0"/>
      </c>
    </row>
    <row r="14" spans="1:6" ht="13.5" customHeight="1">
      <c r="A14" s="264">
        <v>8</v>
      </c>
      <c r="B14" s="271" t="s">
        <v>540</v>
      </c>
      <c r="C14" s="272" t="s">
        <v>541</v>
      </c>
      <c r="D14" s="221">
        <v>0</v>
      </c>
      <c r="E14" s="221">
        <v>0</v>
      </c>
      <c r="F14" s="275">
        <f t="shared" si="0"/>
      </c>
    </row>
    <row r="15" spans="1:6" ht="13.5" customHeight="1">
      <c r="A15" s="264">
        <v>9</v>
      </c>
      <c r="B15" s="271" t="s">
        <v>542</v>
      </c>
      <c r="C15" s="272" t="s">
        <v>543</v>
      </c>
      <c r="D15" s="221">
        <v>0</v>
      </c>
      <c r="E15" s="221">
        <v>0</v>
      </c>
      <c r="F15" s="275">
        <f t="shared" si="0"/>
      </c>
    </row>
    <row r="16" spans="1:6" ht="13.5" customHeight="1">
      <c r="A16" s="264">
        <v>10</v>
      </c>
      <c r="B16" s="271" t="s">
        <v>544</v>
      </c>
      <c r="C16" s="272" t="s">
        <v>60</v>
      </c>
      <c r="D16" s="221">
        <v>0</v>
      </c>
      <c r="E16" s="221">
        <v>0</v>
      </c>
      <c r="F16" s="275">
        <f t="shared" si="0"/>
      </c>
    </row>
    <row r="17" spans="1:6" ht="13.5" customHeight="1">
      <c r="A17" s="264">
        <v>11</v>
      </c>
      <c r="B17" s="268" t="s">
        <v>137</v>
      </c>
      <c r="C17" s="269" t="s">
        <v>61</v>
      </c>
      <c r="D17" s="270">
        <f>SUM(D18:D22)</f>
        <v>0</v>
      </c>
      <c r="E17" s="270">
        <f>SUM(E18:E22)</f>
        <v>0</v>
      </c>
      <c r="F17" s="274">
        <f t="shared" si="0"/>
      </c>
    </row>
    <row r="18" spans="1:6" ht="13.5" customHeight="1">
      <c r="A18" s="264">
        <v>12</v>
      </c>
      <c r="B18" s="271" t="s">
        <v>545</v>
      </c>
      <c r="C18" s="272" t="s">
        <v>62</v>
      </c>
      <c r="D18" s="221">
        <v>0</v>
      </c>
      <c r="E18" s="221">
        <v>0</v>
      </c>
      <c r="F18" s="275">
        <f t="shared" si="0"/>
      </c>
    </row>
    <row r="19" spans="1:6" ht="13.5" customHeight="1">
      <c r="A19" s="264">
        <v>13</v>
      </c>
      <c r="B19" s="271" t="s">
        <v>546</v>
      </c>
      <c r="C19" s="272" t="s">
        <v>63</v>
      </c>
      <c r="D19" s="221">
        <v>0</v>
      </c>
      <c r="E19" s="221">
        <v>0</v>
      </c>
      <c r="F19" s="275">
        <f t="shared" si="0"/>
      </c>
    </row>
    <row r="20" spans="1:6" ht="13.5" customHeight="1">
      <c r="A20" s="264">
        <v>14</v>
      </c>
      <c r="B20" s="271" t="s">
        <v>547</v>
      </c>
      <c r="C20" s="272" t="s">
        <v>64</v>
      </c>
      <c r="D20" s="221">
        <v>0</v>
      </c>
      <c r="E20" s="221">
        <v>0</v>
      </c>
      <c r="F20" s="275">
        <f t="shared" si="0"/>
      </c>
    </row>
    <row r="21" spans="1:6" ht="13.5" customHeight="1">
      <c r="A21" s="264">
        <v>15</v>
      </c>
      <c r="B21" s="271" t="s">
        <v>548</v>
      </c>
      <c r="C21" s="272" t="s">
        <v>65</v>
      </c>
      <c r="D21" s="221">
        <v>0</v>
      </c>
      <c r="E21" s="221">
        <v>0</v>
      </c>
      <c r="F21" s="275">
        <f t="shared" si="0"/>
      </c>
    </row>
    <row r="22" spans="1:6" ht="13.5" customHeight="1">
      <c r="A22" s="264">
        <v>16</v>
      </c>
      <c r="B22" s="271" t="s">
        <v>549</v>
      </c>
      <c r="C22" s="272" t="s">
        <v>66</v>
      </c>
      <c r="D22" s="221">
        <v>0</v>
      </c>
      <c r="E22" s="221">
        <v>0</v>
      </c>
      <c r="F22" s="275">
        <f t="shared" si="0"/>
      </c>
    </row>
    <row r="23" spans="1:6" ht="13.5" customHeight="1">
      <c r="A23" s="264">
        <v>17</v>
      </c>
      <c r="B23" s="268" t="s">
        <v>150</v>
      </c>
      <c r="C23" s="269" t="s">
        <v>550</v>
      </c>
      <c r="D23" s="270">
        <f>SUM(D24:D29)</f>
        <v>9780110</v>
      </c>
      <c r="E23" s="270">
        <f>SUM(E24:E29)</f>
        <v>9623095</v>
      </c>
      <c r="F23" s="274">
        <f t="shared" si="0"/>
        <v>98.39454770958609</v>
      </c>
    </row>
    <row r="24" spans="1:6" ht="13.5" customHeight="1">
      <c r="A24" s="264">
        <v>18</v>
      </c>
      <c r="B24" s="271" t="s">
        <v>551</v>
      </c>
      <c r="C24" s="272" t="s">
        <v>552</v>
      </c>
      <c r="D24" s="221">
        <f>9!H42</f>
        <v>6037990</v>
      </c>
      <c r="E24" s="221">
        <f>9!I42</f>
        <v>6000968</v>
      </c>
      <c r="F24" s="275">
        <f t="shared" si="0"/>
        <v>99.38684893482765</v>
      </c>
    </row>
    <row r="25" spans="1:6" ht="13.5" customHeight="1">
      <c r="A25" s="264">
        <v>19</v>
      </c>
      <c r="B25" s="271" t="s">
        <v>553</v>
      </c>
      <c r="C25" s="272" t="s">
        <v>67</v>
      </c>
      <c r="D25" s="221">
        <f>'33'!H40</f>
        <v>519210</v>
      </c>
      <c r="E25" s="221">
        <f>'33'!I40</f>
        <v>512258</v>
      </c>
      <c r="F25" s="275">
        <f t="shared" si="0"/>
        <v>98.66104273800582</v>
      </c>
    </row>
    <row r="26" spans="1:6" ht="13.5" customHeight="1">
      <c r="A26" s="264">
        <v>20</v>
      </c>
      <c r="B26" s="271" t="s">
        <v>554</v>
      </c>
      <c r="C26" s="272" t="s">
        <v>555</v>
      </c>
      <c r="D26" s="221">
        <f>'11'!H42+'12'!H42+'13'!H42+'14'!H42+'34'!H42+'35'!H42+'36'!H42</f>
        <v>3049950</v>
      </c>
      <c r="E26" s="221">
        <f>'11'!I42+'12'!I42+'13'!I42+'14'!I42+'34'!I42+'35'!I42+'36'!I42</f>
        <v>2938272</v>
      </c>
      <c r="F26" s="275">
        <f t="shared" si="0"/>
        <v>96.33836620272463</v>
      </c>
    </row>
    <row r="27" spans="1:6" ht="13.5" customHeight="1">
      <c r="A27" s="264">
        <v>21</v>
      </c>
      <c r="B27" s="271" t="s">
        <v>556</v>
      </c>
      <c r="C27" s="272" t="s">
        <v>557</v>
      </c>
      <c r="D27" s="221">
        <v>0</v>
      </c>
      <c r="E27" s="221">
        <v>0</v>
      </c>
      <c r="F27" s="275">
        <f t="shared" si="0"/>
      </c>
    </row>
    <row r="28" spans="1:6" ht="13.5" customHeight="1">
      <c r="A28" s="264">
        <v>22</v>
      </c>
      <c r="B28" s="271" t="s">
        <v>558</v>
      </c>
      <c r="C28" s="272" t="s">
        <v>559</v>
      </c>
      <c r="D28" s="221">
        <v>0</v>
      </c>
      <c r="E28" s="221">
        <v>0</v>
      </c>
      <c r="F28" s="275">
        <f t="shared" si="0"/>
      </c>
    </row>
    <row r="29" spans="1:6" ht="13.5" customHeight="1">
      <c r="A29" s="264">
        <v>23</v>
      </c>
      <c r="B29" s="271" t="s">
        <v>560</v>
      </c>
      <c r="C29" s="272" t="s">
        <v>561</v>
      </c>
      <c r="D29" s="221">
        <f>'10'!H42</f>
        <v>172960</v>
      </c>
      <c r="E29" s="221">
        <f>'10'!I42</f>
        <v>171597</v>
      </c>
      <c r="F29" s="275">
        <f t="shared" si="0"/>
        <v>99.21195652173913</v>
      </c>
    </row>
    <row r="30" spans="1:6" ht="13.5" customHeight="1">
      <c r="A30" s="264">
        <v>24</v>
      </c>
      <c r="B30" s="268" t="s">
        <v>562</v>
      </c>
      <c r="C30" s="269" t="s">
        <v>563</v>
      </c>
      <c r="D30" s="270">
        <f>SUM(D31:D39)</f>
        <v>5594620</v>
      </c>
      <c r="E30" s="270">
        <f>SUM(E31:E39)</f>
        <v>5298964</v>
      </c>
      <c r="F30" s="274">
        <f t="shared" si="0"/>
        <v>94.71535153415246</v>
      </c>
    </row>
    <row r="31" spans="1:6" ht="13.5" customHeight="1">
      <c r="A31" s="264">
        <v>25</v>
      </c>
      <c r="B31" s="271" t="s">
        <v>564</v>
      </c>
      <c r="C31" s="272" t="s">
        <v>565</v>
      </c>
      <c r="D31" s="221">
        <v>0</v>
      </c>
      <c r="E31" s="221">
        <v>0</v>
      </c>
      <c r="F31" s="275">
        <f t="shared" si="0"/>
      </c>
    </row>
    <row r="32" spans="1:6" ht="13.5" customHeight="1">
      <c r="A32" s="264">
        <v>26</v>
      </c>
      <c r="B32" s="271" t="s">
        <v>566</v>
      </c>
      <c r="C32" s="272" t="s">
        <v>567</v>
      </c>
      <c r="D32" s="221">
        <f>'19'!H41</f>
        <v>2547380</v>
      </c>
      <c r="E32" s="221">
        <f>'19'!I41</f>
        <v>2335315</v>
      </c>
      <c r="F32" s="275">
        <f t="shared" si="0"/>
        <v>91.67517213764731</v>
      </c>
    </row>
    <row r="33" spans="1:6" ht="13.5" customHeight="1">
      <c r="A33" s="264">
        <v>27</v>
      </c>
      <c r="B33" s="271" t="s">
        <v>568</v>
      </c>
      <c r="C33" s="272" t="s">
        <v>569</v>
      </c>
      <c r="D33" s="221">
        <v>0</v>
      </c>
      <c r="E33" s="221">
        <v>0</v>
      </c>
      <c r="F33" s="275">
        <f t="shared" si="0"/>
      </c>
    </row>
    <row r="34" spans="1:6" ht="13.5" customHeight="1">
      <c r="A34" s="264">
        <v>28</v>
      </c>
      <c r="B34" s="271" t="s">
        <v>570</v>
      </c>
      <c r="C34" s="272" t="s">
        <v>571</v>
      </c>
      <c r="D34" s="221">
        <v>0</v>
      </c>
      <c r="E34" s="221">
        <v>0</v>
      </c>
      <c r="F34" s="275">
        <f t="shared" si="0"/>
      </c>
    </row>
    <row r="35" spans="1:6" ht="13.5" customHeight="1">
      <c r="A35" s="264">
        <v>29</v>
      </c>
      <c r="B35" s="271" t="s">
        <v>572</v>
      </c>
      <c r="C35" s="272" t="s">
        <v>68</v>
      </c>
      <c r="D35" s="221">
        <v>0</v>
      </c>
      <c r="E35" s="221">
        <v>0</v>
      </c>
      <c r="F35" s="275">
        <f t="shared" si="0"/>
      </c>
    </row>
    <row r="36" spans="1:6" ht="13.5" customHeight="1">
      <c r="A36" s="264">
        <v>30</v>
      </c>
      <c r="B36" s="271" t="s">
        <v>573</v>
      </c>
      <c r="C36" s="272" t="s">
        <v>574</v>
      </c>
      <c r="D36" s="221">
        <v>0</v>
      </c>
      <c r="E36" s="221">
        <v>0</v>
      </c>
      <c r="F36" s="275">
        <f t="shared" si="0"/>
      </c>
    </row>
    <row r="37" spans="1:6" ht="13.5" customHeight="1">
      <c r="A37" s="264">
        <v>31</v>
      </c>
      <c r="B37" s="271" t="s">
        <v>575</v>
      </c>
      <c r="C37" s="272" t="s">
        <v>576</v>
      </c>
      <c r="D37" s="221">
        <v>0</v>
      </c>
      <c r="E37" s="221">
        <v>0</v>
      </c>
      <c r="F37" s="275">
        <f t="shared" si="0"/>
      </c>
    </row>
    <row r="38" spans="1:6" ht="13.5" customHeight="1">
      <c r="A38" s="264">
        <v>32</v>
      </c>
      <c r="B38" s="271" t="s">
        <v>577</v>
      </c>
      <c r="C38" s="272" t="s">
        <v>578</v>
      </c>
      <c r="D38" s="221">
        <v>0</v>
      </c>
      <c r="E38" s="221">
        <v>0</v>
      </c>
      <c r="F38" s="275">
        <f t="shared" si="0"/>
      </c>
    </row>
    <row r="39" spans="1:6" ht="13.5" customHeight="1">
      <c r="A39" s="264">
        <v>33</v>
      </c>
      <c r="B39" s="271" t="s">
        <v>579</v>
      </c>
      <c r="C39" s="272" t="s">
        <v>580</v>
      </c>
      <c r="D39" s="221">
        <f>'15'!H39+'18'!H43+'32'!H41+'37'!H42</f>
        <v>3047240</v>
      </c>
      <c r="E39" s="221">
        <f>'15'!I39+'18'!I43+'32'!I41+'37'!I42</f>
        <v>2963649</v>
      </c>
      <c r="F39" s="275">
        <f t="shared" si="0"/>
        <v>97.25682913062312</v>
      </c>
    </row>
    <row r="40" spans="1:6" ht="13.5" customHeight="1">
      <c r="A40" s="264">
        <v>34</v>
      </c>
      <c r="B40" s="268" t="s">
        <v>138</v>
      </c>
      <c r="C40" s="269" t="s">
        <v>581</v>
      </c>
      <c r="D40" s="270">
        <f>SUM(D41:D46)</f>
        <v>0</v>
      </c>
      <c r="E40" s="270">
        <f>SUM(E41:E46)</f>
        <v>0</v>
      </c>
      <c r="F40" s="274">
        <f t="shared" si="0"/>
      </c>
    </row>
    <row r="41" spans="1:6" ht="13.5" customHeight="1">
      <c r="A41" s="264">
        <v>35</v>
      </c>
      <c r="B41" s="271" t="s">
        <v>582</v>
      </c>
      <c r="C41" s="272" t="s">
        <v>583</v>
      </c>
      <c r="D41" s="221">
        <v>0</v>
      </c>
      <c r="E41" s="221">
        <v>0</v>
      </c>
      <c r="F41" s="275">
        <f t="shared" si="0"/>
      </c>
    </row>
    <row r="42" spans="1:6" ht="13.5" customHeight="1">
      <c r="A42" s="264">
        <v>36</v>
      </c>
      <c r="B42" s="271" t="s">
        <v>584</v>
      </c>
      <c r="C42" s="272" t="s">
        <v>585</v>
      </c>
      <c r="D42" s="221">
        <v>0</v>
      </c>
      <c r="E42" s="221">
        <v>0</v>
      </c>
      <c r="F42" s="275">
        <f t="shared" si="0"/>
      </c>
    </row>
    <row r="43" spans="1:6" ht="13.5" customHeight="1">
      <c r="A43" s="264">
        <v>37</v>
      </c>
      <c r="B43" s="271" t="s">
        <v>586</v>
      </c>
      <c r="C43" s="272" t="s">
        <v>587</v>
      </c>
      <c r="D43" s="221">
        <v>0</v>
      </c>
      <c r="E43" s="221">
        <v>0</v>
      </c>
      <c r="F43" s="275">
        <f t="shared" si="0"/>
      </c>
    </row>
    <row r="44" spans="1:6" ht="13.5" customHeight="1">
      <c r="A44" s="264">
        <v>38</v>
      </c>
      <c r="B44" s="271" t="s">
        <v>588</v>
      </c>
      <c r="C44" s="272" t="s">
        <v>69</v>
      </c>
      <c r="D44" s="221">
        <v>0</v>
      </c>
      <c r="E44" s="221">
        <v>0</v>
      </c>
      <c r="F44" s="275">
        <f t="shared" si="0"/>
      </c>
    </row>
    <row r="45" spans="1:6" ht="13.5" customHeight="1">
      <c r="A45" s="264">
        <v>39</v>
      </c>
      <c r="B45" s="271" t="s">
        <v>589</v>
      </c>
      <c r="C45" s="272" t="s">
        <v>56</v>
      </c>
      <c r="D45" s="221">
        <v>0</v>
      </c>
      <c r="E45" s="221">
        <v>0</v>
      </c>
      <c r="F45" s="275">
        <f t="shared" si="0"/>
      </c>
    </row>
    <row r="46" spans="1:6" ht="13.5" customHeight="1">
      <c r="A46" s="264">
        <v>40</v>
      </c>
      <c r="B46" s="271" t="s">
        <v>590</v>
      </c>
      <c r="C46" s="272" t="s">
        <v>591</v>
      </c>
      <c r="D46" s="221">
        <v>0</v>
      </c>
      <c r="E46" s="221">
        <v>0</v>
      </c>
      <c r="F46" s="275">
        <f t="shared" si="0"/>
      </c>
    </row>
    <row r="47" spans="1:6" ht="13.5" customHeight="1">
      <c r="A47" s="264">
        <v>41</v>
      </c>
      <c r="B47" s="268" t="s">
        <v>202</v>
      </c>
      <c r="C47" s="269" t="s">
        <v>592</v>
      </c>
      <c r="D47" s="270">
        <f>SUM(D48:D53)</f>
        <v>0</v>
      </c>
      <c r="E47" s="270">
        <f>SUM(E48:E53)</f>
        <v>0</v>
      </c>
      <c r="F47" s="274">
        <f t="shared" si="0"/>
      </c>
    </row>
    <row r="48" spans="1:6" ht="13.5" customHeight="1">
      <c r="A48" s="264">
        <v>42</v>
      </c>
      <c r="B48" s="271" t="s">
        <v>593</v>
      </c>
      <c r="C48" s="272" t="s">
        <v>594</v>
      </c>
      <c r="D48" s="221">
        <v>0</v>
      </c>
      <c r="E48" s="221">
        <v>0</v>
      </c>
      <c r="F48" s="275">
        <f t="shared" si="0"/>
      </c>
    </row>
    <row r="49" spans="1:6" ht="13.5" customHeight="1">
      <c r="A49" s="264">
        <v>43</v>
      </c>
      <c r="B49" s="271" t="s">
        <v>595</v>
      </c>
      <c r="C49" s="272" t="s">
        <v>596</v>
      </c>
      <c r="D49" s="221">
        <v>0</v>
      </c>
      <c r="E49" s="221">
        <v>0</v>
      </c>
      <c r="F49" s="275">
        <f t="shared" si="0"/>
      </c>
    </row>
    <row r="50" spans="1:6" ht="13.5" customHeight="1">
      <c r="A50" s="264">
        <v>44</v>
      </c>
      <c r="B50" s="271" t="s">
        <v>597</v>
      </c>
      <c r="C50" s="272" t="s">
        <v>70</v>
      </c>
      <c r="D50" s="221">
        <v>0</v>
      </c>
      <c r="E50" s="221">
        <v>0</v>
      </c>
      <c r="F50" s="275">
        <f t="shared" si="0"/>
      </c>
    </row>
    <row r="51" spans="1:6" ht="13.5" customHeight="1">
      <c r="A51" s="264">
        <v>45</v>
      </c>
      <c r="B51" s="271" t="s">
        <v>598</v>
      </c>
      <c r="C51" s="272" t="s">
        <v>599</v>
      </c>
      <c r="D51" s="221">
        <v>0</v>
      </c>
      <c r="E51" s="221">
        <v>0</v>
      </c>
      <c r="F51" s="275">
        <f t="shared" si="0"/>
      </c>
    </row>
    <row r="52" spans="1:6" ht="13.5" customHeight="1">
      <c r="A52" s="264">
        <v>46</v>
      </c>
      <c r="B52" s="271" t="s">
        <v>600</v>
      </c>
      <c r="C52" s="272" t="s">
        <v>601</v>
      </c>
      <c r="D52" s="221">
        <v>0</v>
      </c>
      <c r="E52" s="221">
        <v>0</v>
      </c>
      <c r="F52" s="275">
        <f t="shared" si="0"/>
      </c>
    </row>
    <row r="53" spans="1:6" ht="13.5" customHeight="1">
      <c r="A53" s="264">
        <v>47</v>
      </c>
      <c r="B53" s="271" t="s">
        <v>602</v>
      </c>
      <c r="C53" s="272" t="s">
        <v>603</v>
      </c>
      <c r="D53" s="221">
        <v>0</v>
      </c>
      <c r="E53" s="221">
        <v>0</v>
      </c>
      <c r="F53" s="275">
        <f t="shared" si="0"/>
      </c>
    </row>
    <row r="54" spans="1:6" ht="13.5" customHeight="1">
      <c r="A54" s="264">
        <v>48</v>
      </c>
      <c r="B54" s="268" t="s">
        <v>604</v>
      </c>
      <c r="C54" s="269" t="s">
        <v>605</v>
      </c>
      <c r="D54" s="270">
        <f>SUM(D55:D60)</f>
        <v>0</v>
      </c>
      <c r="E54" s="270">
        <f>SUM(E55:E60)</f>
        <v>0</v>
      </c>
      <c r="F54" s="274">
        <f t="shared" si="0"/>
      </c>
    </row>
    <row r="55" spans="1:6" ht="13.5" customHeight="1">
      <c r="A55" s="264">
        <v>49</v>
      </c>
      <c r="B55" s="271" t="s">
        <v>606</v>
      </c>
      <c r="C55" s="272" t="s">
        <v>607</v>
      </c>
      <c r="D55" s="221">
        <v>0</v>
      </c>
      <c r="E55" s="221">
        <v>0</v>
      </c>
      <c r="F55" s="275">
        <f t="shared" si="0"/>
      </c>
    </row>
    <row r="56" spans="1:6" ht="13.5" customHeight="1">
      <c r="A56" s="264">
        <v>50</v>
      </c>
      <c r="B56" s="271" t="s">
        <v>608</v>
      </c>
      <c r="C56" s="272" t="s">
        <v>71</v>
      </c>
      <c r="D56" s="221">
        <v>0</v>
      </c>
      <c r="E56" s="221">
        <v>0</v>
      </c>
      <c r="F56" s="275">
        <f t="shared" si="0"/>
      </c>
    </row>
    <row r="57" spans="1:6" ht="13.5" customHeight="1">
      <c r="A57" s="264">
        <v>51</v>
      </c>
      <c r="B57" s="271" t="s">
        <v>0</v>
      </c>
      <c r="C57" s="272" t="s">
        <v>1</v>
      </c>
      <c r="D57" s="221">
        <v>0</v>
      </c>
      <c r="E57" s="221">
        <v>0</v>
      </c>
      <c r="F57" s="275">
        <f t="shared" si="0"/>
      </c>
    </row>
    <row r="58" spans="1:6" ht="13.5" customHeight="1">
      <c r="A58" s="264">
        <v>52</v>
      </c>
      <c r="B58" s="271" t="s">
        <v>2</v>
      </c>
      <c r="C58" s="272" t="s">
        <v>3</v>
      </c>
      <c r="D58" s="221">
        <v>0</v>
      </c>
      <c r="E58" s="221">
        <v>0</v>
      </c>
      <c r="F58" s="275">
        <f t="shared" si="0"/>
      </c>
    </row>
    <row r="59" spans="1:6" ht="13.5" customHeight="1">
      <c r="A59" s="264">
        <v>53</v>
      </c>
      <c r="B59" s="271" t="s">
        <v>4</v>
      </c>
      <c r="C59" s="272" t="s">
        <v>5</v>
      </c>
      <c r="D59" s="221">
        <v>0</v>
      </c>
      <c r="E59" s="221">
        <v>0</v>
      </c>
      <c r="F59" s="275">
        <f t="shared" si="0"/>
      </c>
    </row>
    <row r="60" spans="1:6" ht="13.5" customHeight="1">
      <c r="A60" s="264">
        <v>54</v>
      </c>
      <c r="B60" s="271" t="s">
        <v>6</v>
      </c>
      <c r="C60" s="272" t="s">
        <v>7</v>
      </c>
      <c r="D60" s="221">
        <v>0</v>
      </c>
      <c r="E60" s="221">
        <v>0</v>
      </c>
      <c r="F60" s="275">
        <f t="shared" si="0"/>
      </c>
    </row>
    <row r="61" spans="1:6" ht="12.75">
      <c r="A61" s="264">
        <v>55</v>
      </c>
      <c r="B61" s="268" t="s">
        <v>8</v>
      </c>
      <c r="C61" s="269" t="s">
        <v>9</v>
      </c>
      <c r="D61" s="270">
        <f>SUM(D62:D67)</f>
        <v>550000</v>
      </c>
      <c r="E61" s="270">
        <f>SUM(E62:E67)</f>
        <v>549900</v>
      </c>
      <c r="F61" s="274">
        <f t="shared" si="0"/>
        <v>99.98181818181818</v>
      </c>
    </row>
    <row r="62" spans="1:6" ht="12.75">
      <c r="A62" s="264">
        <v>56</v>
      </c>
      <c r="B62" s="271" t="s">
        <v>10</v>
      </c>
      <c r="C62" s="272" t="s">
        <v>72</v>
      </c>
      <c r="D62" s="221">
        <v>268000</v>
      </c>
      <c r="E62" s="221">
        <v>267900</v>
      </c>
      <c r="F62" s="276">
        <f t="shared" si="0"/>
        <v>99.96268656716418</v>
      </c>
    </row>
    <row r="63" spans="1:6" ht="12.75">
      <c r="A63" s="264">
        <v>57</v>
      </c>
      <c r="B63" s="271" t="s">
        <v>11</v>
      </c>
      <c r="C63" s="272" t="s">
        <v>12</v>
      </c>
      <c r="D63" s="221">
        <v>52000</v>
      </c>
      <c r="E63" s="221">
        <v>52000</v>
      </c>
      <c r="F63" s="276">
        <f t="shared" si="0"/>
        <v>100</v>
      </c>
    </row>
    <row r="64" spans="1:6" ht="12.75">
      <c r="A64" s="264">
        <v>58</v>
      </c>
      <c r="B64" s="271" t="s">
        <v>13</v>
      </c>
      <c r="C64" s="272" t="s">
        <v>73</v>
      </c>
      <c r="D64" s="221">
        <f>'20'!H37</f>
        <v>30000</v>
      </c>
      <c r="E64" s="221">
        <f>'20'!I37</f>
        <v>30000</v>
      </c>
      <c r="F64" s="276">
        <f t="shared" si="0"/>
        <v>100</v>
      </c>
    </row>
    <row r="65" spans="1:6" ht="12.75">
      <c r="A65" s="264">
        <v>59</v>
      </c>
      <c r="B65" s="271" t="s">
        <v>14</v>
      </c>
      <c r="C65" s="272" t="s">
        <v>57</v>
      </c>
      <c r="D65" s="221">
        <f>'20'!H38</f>
        <v>200000</v>
      </c>
      <c r="E65" s="221">
        <f>'20'!I38</f>
        <v>200000</v>
      </c>
      <c r="F65" s="276">
        <f t="shared" si="0"/>
        <v>100</v>
      </c>
    </row>
    <row r="66" spans="1:6" ht="12.75">
      <c r="A66" s="264">
        <v>60</v>
      </c>
      <c r="B66" s="271" t="s">
        <v>15</v>
      </c>
      <c r="C66" s="272" t="s">
        <v>16</v>
      </c>
      <c r="D66" s="221">
        <v>0</v>
      </c>
      <c r="E66" s="221">
        <v>0</v>
      </c>
      <c r="F66" s="276">
        <f t="shared" si="0"/>
      </c>
    </row>
    <row r="67" spans="1:6" ht="12.75">
      <c r="A67" s="264">
        <v>61</v>
      </c>
      <c r="B67" s="271" t="s">
        <v>17</v>
      </c>
      <c r="C67" s="272" t="s">
        <v>18</v>
      </c>
      <c r="D67" s="221">
        <v>0</v>
      </c>
      <c r="E67" s="221">
        <v>0</v>
      </c>
      <c r="F67" s="276">
        <f t="shared" si="0"/>
      </c>
    </row>
    <row r="68" spans="1:6" ht="12.75">
      <c r="A68" s="264">
        <v>62</v>
      </c>
      <c r="B68" s="268" t="s">
        <v>19</v>
      </c>
      <c r="C68" s="269" t="s">
        <v>20</v>
      </c>
      <c r="D68" s="270">
        <f>SUM(D69:D76)</f>
        <v>12397080</v>
      </c>
      <c r="E68" s="270">
        <f>SUM(E69:E76)</f>
        <v>12098405</v>
      </c>
      <c r="F68" s="274">
        <f t="shared" si="0"/>
        <v>97.59076330877916</v>
      </c>
    </row>
    <row r="69" spans="1:6" ht="12.75">
      <c r="A69" s="264">
        <v>63</v>
      </c>
      <c r="B69" s="271" t="s">
        <v>21</v>
      </c>
      <c r="C69" s="272" t="s">
        <v>22</v>
      </c>
      <c r="D69" s="221">
        <f>'24'!H42+'25'!H42+'26'!H42+'27'!H42+'28'!H42+'29'!H42+'30'!H42+10000</f>
        <v>7596590</v>
      </c>
      <c r="E69" s="221">
        <f>'24'!I42+'25'!I42+'26'!I42+'27'!I42+'28'!I42+'29'!I42+'30'!I42+10000</f>
        <v>7406209</v>
      </c>
      <c r="F69" s="276">
        <f t="shared" si="0"/>
        <v>97.49386237772474</v>
      </c>
    </row>
    <row r="70" spans="1:6" ht="12.75">
      <c r="A70" s="264">
        <v>64</v>
      </c>
      <c r="B70" s="271" t="s">
        <v>23</v>
      </c>
      <c r="C70" s="272" t="s">
        <v>24</v>
      </c>
      <c r="D70" s="221">
        <f>'21'!H42+'22'!H42+'23'!H43</f>
        <v>3741150</v>
      </c>
      <c r="E70" s="221">
        <f>'21'!I42+'22'!I42+'23'!I43</f>
        <v>3654399</v>
      </c>
      <c r="F70" s="276">
        <f t="shared" si="0"/>
        <v>97.68116755543082</v>
      </c>
    </row>
    <row r="71" spans="1:6" ht="12.75">
      <c r="A71" s="264">
        <v>65</v>
      </c>
      <c r="B71" s="271" t="s">
        <v>25</v>
      </c>
      <c r="C71" s="272" t="s">
        <v>26</v>
      </c>
      <c r="D71" s="221">
        <v>0</v>
      </c>
      <c r="E71" s="221">
        <v>0</v>
      </c>
      <c r="F71" s="276">
        <f t="shared" si="0"/>
      </c>
    </row>
    <row r="72" spans="1:6" ht="12.75">
      <c r="A72" s="264">
        <v>66</v>
      </c>
      <c r="B72" s="271" t="s">
        <v>27</v>
      </c>
      <c r="C72" s="272" t="s">
        <v>28</v>
      </c>
      <c r="D72" s="221">
        <f>'20'!H32+'20'!H35</f>
        <v>270000</v>
      </c>
      <c r="E72" s="221">
        <f>'20'!I32+'20'!I35</f>
        <v>251950</v>
      </c>
      <c r="F72" s="276">
        <f t="shared" si="0"/>
        <v>93.31481481481482</v>
      </c>
    </row>
    <row r="73" spans="1:6" ht="12.75">
      <c r="A73" s="264">
        <v>67</v>
      </c>
      <c r="B73" s="271" t="s">
        <v>29</v>
      </c>
      <c r="C73" s="272" t="s">
        <v>74</v>
      </c>
      <c r="D73" s="221">
        <v>0</v>
      </c>
      <c r="E73" s="221">
        <v>0</v>
      </c>
      <c r="F73" s="276">
        <f t="shared" si="0"/>
      </c>
    </row>
    <row r="74" spans="1:6" ht="12.75">
      <c r="A74" s="264">
        <v>68</v>
      </c>
      <c r="B74" s="271" t="s">
        <v>30</v>
      </c>
      <c r="C74" s="272" t="s">
        <v>31</v>
      </c>
      <c r="D74" s="221">
        <v>0</v>
      </c>
      <c r="E74" s="221">
        <v>0</v>
      </c>
      <c r="F74" s="276">
        <f aca="true" t="shared" si="1" ref="F74:F86">IF(D74=0,"",E74/D74*100)</f>
      </c>
    </row>
    <row r="75" spans="1:6" ht="12.75">
      <c r="A75" s="264">
        <v>69</v>
      </c>
      <c r="B75" s="271" t="s">
        <v>32</v>
      </c>
      <c r="C75" s="272" t="s">
        <v>33</v>
      </c>
      <c r="D75" s="221">
        <v>0</v>
      </c>
      <c r="E75" s="221">
        <v>0</v>
      </c>
      <c r="F75" s="276">
        <f t="shared" si="1"/>
      </c>
    </row>
    <row r="76" spans="1:6" ht="12.75">
      <c r="A76" s="264">
        <v>70</v>
      </c>
      <c r="B76" s="271" t="s">
        <v>34</v>
      </c>
      <c r="C76" s="272" t="s">
        <v>35</v>
      </c>
      <c r="D76" s="221">
        <f>'20'!H55-'20'!H32-'20'!H33-'20'!H35-'20'!H36-'20'!H37-'20'!H38</f>
        <v>789340</v>
      </c>
      <c r="E76" s="221">
        <f>'20'!I55-'20'!I32-'20'!I33-'20'!I35-'20'!I36-'20'!I37-'20'!I38</f>
        <v>785847</v>
      </c>
      <c r="F76" s="276">
        <f t="shared" si="1"/>
        <v>99.55747839967569</v>
      </c>
    </row>
    <row r="77" spans="1:6" ht="12.75">
      <c r="A77" s="264">
        <v>71</v>
      </c>
      <c r="B77" s="268" t="s">
        <v>36</v>
      </c>
      <c r="C77" s="267" t="s">
        <v>37</v>
      </c>
      <c r="D77" s="270">
        <f>SUM(D78:D86)</f>
        <v>4726270</v>
      </c>
      <c r="E77" s="270">
        <f>SUM(E78:E86)</f>
        <v>4709935</v>
      </c>
      <c r="F77" s="274">
        <f t="shared" si="1"/>
        <v>99.65437861146316</v>
      </c>
    </row>
    <row r="78" spans="1:6" ht="12.75">
      <c r="A78" s="264">
        <v>72</v>
      </c>
      <c r="B78" s="271" t="s">
        <v>38</v>
      </c>
      <c r="C78" s="272" t="s">
        <v>39</v>
      </c>
      <c r="D78" s="221">
        <v>0</v>
      </c>
      <c r="E78" s="221">
        <v>0</v>
      </c>
      <c r="F78" s="276">
        <f t="shared" si="1"/>
      </c>
    </row>
    <row r="79" spans="1:6" ht="12.75">
      <c r="A79" s="264">
        <v>73</v>
      </c>
      <c r="B79" s="271" t="s">
        <v>40</v>
      </c>
      <c r="C79" s="272" t="s">
        <v>41</v>
      </c>
      <c r="D79" s="221">
        <v>0</v>
      </c>
      <c r="E79" s="221">
        <v>0</v>
      </c>
      <c r="F79" s="276">
        <f t="shared" si="1"/>
      </c>
    </row>
    <row r="80" spans="1:6" ht="12.75">
      <c r="A80" s="264">
        <v>74</v>
      </c>
      <c r="B80" s="271" t="s">
        <v>42</v>
      </c>
      <c r="C80" s="272" t="s">
        <v>43</v>
      </c>
      <c r="D80" s="221">
        <v>0</v>
      </c>
      <c r="E80" s="221">
        <v>0</v>
      </c>
      <c r="F80" s="276">
        <f t="shared" si="1"/>
      </c>
    </row>
    <row r="81" spans="1:6" ht="12.75">
      <c r="A81" s="264">
        <v>75</v>
      </c>
      <c r="B81" s="271" t="s">
        <v>44</v>
      </c>
      <c r="C81" s="272" t="s">
        <v>75</v>
      </c>
      <c r="D81" s="221">
        <v>0</v>
      </c>
      <c r="E81" s="221">
        <v>0</v>
      </c>
      <c r="F81" s="276">
        <f t="shared" si="1"/>
      </c>
    </row>
    <row r="82" spans="1:6" ht="12.75">
      <c r="A82" s="264">
        <v>76</v>
      </c>
      <c r="B82" s="271" t="s">
        <v>45</v>
      </c>
      <c r="C82" s="272" t="s">
        <v>76</v>
      </c>
      <c r="D82" s="221">
        <v>0</v>
      </c>
      <c r="E82" s="221">
        <v>0</v>
      </c>
      <c r="F82" s="276">
        <f t="shared" si="1"/>
      </c>
    </row>
    <row r="83" spans="1:6" ht="12.75">
      <c r="A83" s="264">
        <v>77</v>
      </c>
      <c r="B83" s="271" t="s">
        <v>46</v>
      </c>
      <c r="C83" s="272" t="s">
        <v>47</v>
      </c>
      <c r="D83" s="221">
        <v>0</v>
      </c>
      <c r="E83" s="221">
        <v>0</v>
      </c>
      <c r="F83" s="276">
        <f t="shared" si="1"/>
      </c>
    </row>
    <row r="84" spans="1:6" ht="12.75">
      <c r="A84" s="264">
        <v>78</v>
      </c>
      <c r="B84" s="271" t="s">
        <v>48</v>
      </c>
      <c r="C84" s="272" t="s">
        <v>49</v>
      </c>
      <c r="D84" s="221">
        <v>0</v>
      </c>
      <c r="E84" s="221">
        <v>0</v>
      </c>
      <c r="F84" s="276">
        <f t="shared" si="1"/>
      </c>
    </row>
    <row r="85" spans="1:6" ht="12.75">
      <c r="A85" s="264">
        <v>79</v>
      </c>
      <c r="B85" s="271" t="s">
        <v>50</v>
      </c>
      <c r="C85" s="272" t="s">
        <v>51</v>
      </c>
      <c r="D85" s="221">
        <v>0</v>
      </c>
      <c r="E85" s="221">
        <v>0</v>
      </c>
      <c r="F85" s="276">
        <f t="shared" si="1"/>
      </c>
    </row>
    <row r="86" spans="1:6" ht="12.75">
      <c r="A86" s="264">
        <v>80</v>
      </c>
      <c r="B86" s="271" t="s">
        <v>52</v>
      </c>
      <c r="C86" s="272" t="s">
        <v>53</v>
      </c>
      <c r="D86" s="221">
        <f>'17'!H40+'31'!H39</f>
        <v>4726270</v>
      </c>
      <c r="E86" s="221">
        <f>'17'!I40+'31'!I39</f>
        <v>4709935</v>
      </c>
      <c r="F86" s="276">
        <f t="shared" si="1"/>
        <v>99.65437861146316</v>
      </c>
    </row>
    <row r="87" spans="1:6" ht="12.75">
      <c r="A87" s="89"/>
      <c r="B87" s="89"/>
      <c r="C87" s="89"/>
      <c r="D87" s="89"/>
      <c r="E87" s="89"/>
      <c r="F87" s="89"/>
    </row>
    <row r="88" spans="1:6" ht="12.75">
      <c r="A88" s="89"/>
      <c r="B88" s="89"/>
      <c r="C88" s="89"/>
      <c r="D88" s="89"/>
      <c r="E88" s="89"/>
      <c r="F88" s="89"/>
    </row>
    <row r="89" spans="1:6" ht="12.75">
      <c r="A89" s="89"/>
      <c r="B89" s="89"/>
      <c r="C89" s="89"/>
      <c r="D89" s="89"/>
      <c r="E89" s="89"/>
      <c r="F89" s="89"/>
    </row>
    <row r="90" spans="1:6" ht="12.75">
      <c r="A90" s="89"/>
      <c r="B90" s="89"/>
      <c r="C90" s="89"/>
      <c r="D90" s="89"/>
      <c r="E90" s="89"/>
      <c r="F90" s="89"/>
    </row>
    <row r="91" spans="1:6" ht="12.75">
      <c r="A91" s="89"/>
      <c r="B91" s="89"/>
      <c r="C91" s="89"/>
      <c r="D91" s="89"/>
      <c r="E91" s="89"/>
      <c r="F91" s="89"/>
    </row>
    <row r="92" spans="1:6" ht="12.75">
      <c r="A92" s="89"/>
      <c r="B92" s="89"/>
      <c r="C92" s="89"/>
      <c r="D92" s="89"/>
      <c r="E92" s="89"/>
      <c r="F92" s="89"/>
    </row>
    <row r="93" spans="1:6" ht="12.75">
      <c r="A93" s="89"/>
      <c r="B93" s="89"/>
      <c r="C93" s="89"/>
      <c r="D93" s="89"/>
      <c r="E93" s="89"/>
      <c r="F93" s="89"/>
    </row>
    <row r="94" spans="1:6" ht="12.75">
      <c r="A94" s="89"/>
      <c r="B94" s="89"/>
      <c r="C94" s="89"/>
      <c r="D94" s="89"/>
      <c r="E94" s="89"/>
      <c r="F94" s="89"/>
    </row>
    <row r="95" spans="1:6" ht="12.75">
      <c r="A95" s="89"/>
      <c r="B95" s="89"/>
      <c r="C95" s="89"/>
      <c r="D95" s="89"/>
      <c r="E95" s="89"/>
      <c r="F95" s="89"/>
    </row>
    <row r="96" spans="1:6" ht="12.75">
      <c r="A96" s="89"/>
      <c r="B96" s="89"/>
      <c r="C96" s="89"/>
      <c r="D96" s="89"/>
      <c r="E96" s="89"/>
      <c r="F96" s="89"/>
    </row>
    <row r="97" spans="1:6" ht="12.75">
      <c r="A97" s="89"/>
      <c r="B97" s="89"/>
      <c r="C97" s="89"/>
      <c r="D97" s="89"/>
      <c r="E97" s="89"/>
      <c r="F97" s="89"/>
    </row>
    <row r="98" spans="1:6" ht="12.75">
      <c r="A98" s="89"/>
      <c r="B98" s="89"/>
      <c r="C98" s="89"/>
      <c r="D98" s="89"/>
      <c r="E98" s="89"/>
      <c r="F98" s="89"/>
    </row>
    <row r="99" spans="1:6" ht="12.75">
      <c r="A99" s="89"/>
      <c r="B99" s="89"/>
      <c r="C99" s="89"/>
      <c r="D99" s="89"/>
      <c r="E99" s="89"/>
      <c r="F99" s="89"/>
    </row>
    <row r="100" spans="1:6" ht="12.75">
      <c r="A100" s="89"/>
      <c r="B100" s="89"/>
      <c r="C100" s="89"/>
      <c r="D100" s="89"/>
      <c r="E100" s="89"/>
      <c r="F100" s="89"/>
    </row>
    <row r="101" spans="1:6" ht="12.75">
      <c r="A101" s="89"/>
      <c r="B101" s="89"/>
      <c r="C101" s="89"/>
      <c r="D101" s="89"/>
      <c r="E101" s="89"/>
      <c r="F101" s="89"/>
    </row>
    <row r="102" spans="1:6" ht="12.75">
      <c r="A102" s="89"/>
      <c r="B102" s="89"/>
      <c r="C102" s="89"/>
      <c r="D102" s="89"/>
      <c r="E102" s="89"/>
      <c r="F102" s="89"/>
    </row>
    <row r="103" spans="1:6" ht="12.75">
      <c r="A103" s="89"/>
      <c r="B103" s="89"/>
      <c r="C103" s="89"/>
      <c r="D103" s="89"/>
      <c r="E103" s="89"/>
      <c r="F103" s="89"/>
    </row>
    <row r="104" spans="1:6" ht="12.75">
      <c r="A104" s="89"/>
      <c r="B104" s="89"/>
      <c r="C104" s="89"/>
      <c r="D104" s="89"/>
      <c r="E104" s="89"/>
      <c r="F104" s="89"/>
    </row>
    <row r="105" spans="1:6" ht="12.75">
      <c r="A105" s="89"/>
      <c r="B105" s="89"/>
      <c r="C105" s="89"/>
      <c r="D105" s="89"/>
      <c r="E105" s="89"/>
      <c r="F105" s="89"/>
    </row>
    <row r="106" spans="1:6" ht="12.75">
      <c r="A106" s="89"/>
      <c r="B106" s="89"/>
      <c r="C106" s="89"/>
      <c r="D106" s="89"/>
      <c r="E106" s="89"/>
      <c r="F106" s="89"/>
    </row>
    <row r="107" spans="1:6" ht="12.75">
      <c r="A107" s="89"/>
      <c r="B107" s="89"/>
      <c r="C107" s="89"/>
      <c r="D107" s="89"/>
      <c r="E107" s="89"/>
      <c r="F107" s="89"/>
    </row>
    <row r="108" spans="1:6" ht="12.75">
      <c r="A108" s="89"/>
      <c r="B108" s="89"/>
      <c r="C108" s="89"/>
      <c r="D108" s="89"/>
      <c r="E108" s="89"/>
      <c r="F108" s="89"/>
    </row>
    <row r="109" spans="1:6" ht="12.75">
      <c r="A109" s="89"/>
      <c r="B109" s="89"/>
      <c r="C109" s="89"/>
      <c r="D109" s="89"/>
      <c r="E109" s="89"/>
      <c r="F109" s="89"/>
    </row>
    <row r="110" spans="1:6" ht="12.75">
      <c r="A110" s="89"/>
      <c r="B110" s="89"/>
      <c r="C110" s="89"/>
      <c r="D110" s="89"/>
      <c r="E110" s="89"/>
      <c r="F110" s="89"/>
    </row>
    <row r="111" spans="1:6" ht="12.75">
      <c r="A111" s="89"/>
      <c r="B111" s="89"/>
      <c r="C111" s="89"/>
      <c r="D111" s="89"/>
      <c r="E111" s="89"/>
      <c r="F111" s="89"/>
    </row>
    <row r="112" spans="1:6" ht="12.75">
      <c r="A112" s="89"/>
      <c r="B112" s="89"/>
      <c r="C112" s="89"/>
      <c r="D112" s="89"/>
      <c r="E112" s="89"/>
      <c r="F112" s="89"/>
    </row>
    <row r="113" spans="1:6" ht="12.75">
      <c r="A113" s="89"/>
      <c r="B113" s="89"/>
      <c r="C113" s="89"/>
      <c r="D113" s="89"/>
      <c r="E113" s="89"/>
      <c r="F113" s="89"/>
    </row>
    <row r="114" spans="1:6" ht="12.75">
      <c r="A114" s="89"/>
      <c r="B114" s="89"/>
      <c r="C114" s="89"/>
      <c r="D114" s="89"/>
      <c r="E114" s="89"/>
      <c r="F114" s="89"/>
    </row>
    <row r="115" spans="1:6" ht="12.75">
      <c r="A115" s="89"/>
      <c r="B115" s="89"/>
      <c r="C115" s="89"/>
      <c r="D115" s="89"/>
      <c r="E115" s="89"/>
      <c r="F115" s="89"/>
    </row>
    <row r="116" spans="1:6" ht="12.75">
      <c r="A116" s="89"/>
      <c r="B116" s="89"/>
      <c r="C116" s="89"/>
      <c r="D116" s="89"/>
      <c r="E116" s="89"/>
      <c r="F116" s="89"/>
    </row>
    <row r="117" spans="1:6" ht="12.75">
      <c r="A117" s="89"/>
      <c r="B117" s="89"/>
      <c r="C117" s="89"/>
      <c r="D117" s="89"/>
      <c r="E117" s="89"/>
      <c r="F117" s="89"/>
    </row>
    <row r="118" spans="1:6" ht="12.75">
      <c r="A118" s="89"/>
      <c r="B118" s="89"/>
      <c r="C118" s="89"/>
      <c r="D118" s="89"/>
      <c r="E118" s="89"/>
      <c r="F118" s="89"/>
    </row>
    <row r="119" spans="1:6" ht="12.75">
      <c r="A119" s="89"/>
      <c r="B119" s="89"/>
      <c r="C119" s="89"/>
      <c r="D119" s="89"/>
      <c r="E119" s="89"/>
      <c r="F119" s="89"/>
    </row>
  </sheetData>
  <sheetProtection/>
  <mergeCells count="1">
    <mergeCell ref="A2:F2"/>
  </mergeCells>
  <printOptions/>
  <pageMargins left="0.35433070866141736" right="0.2755905511811024" top="0.5118110236220472" bottom="0.7480314960629921" header="0.5118110236220472" footer="0.5118110236220472"/>
  <pageSetup firstPageNumber="46" useFirstPageNumber="1" horizontalDpi="600" verticalDpi="600" orientation="portrait" paperSize="9" scale="88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4">
      <selection activeCell="J33" sqref="J33"/>
    </sheetView>
  </sheetViews>
  <sheetFormatPr defaultColWidth="9.140625" defaultRowHeight="12.75"/>
  <cols>
    <col min="1" max="1" width="11.8515625" style="55" customWidth="1"/>
    <col min="2" max="2" width="82.28125" style="0" customWidth="1"/>
    <col min="3" max="6" width="15.7109375" style="0" customWidth="1"/>
  </cols>
  <sheetData>
    <row r="2" spans="1:6" ht="15.75">
      <c r="A2" s="443" t="s">
        <v>682</v>
      </c>
      <c r="B2" s="462"/>
      <c r="C2" s="462"/>
      <c r="D2" s="462"/>
      <c r="E2" s="462"/>
      <c r="F2" s="462"/>
    </row>
    <row r="4" spans="1:6" s="68" customFormat="1" ht="38.25">
      <c r="A4" s="467" t="s">
        <v>477</v>
      </c>
      <c r="B4" s="467" t="s">
        <v>496</v>
      </c>
      <c r="C4" s="244" t="s">
        <v>761</v>
      </c>
      <c r="D4" s="464" t="s">
        <v>505</v>
      </c>
      <c r="E4" s="465"/>
      <c r="F4" s="466"/>
    </row>
    <row r="5" spans="1:6" s="68" customFormat="1" ht="25.5">
      <c r="A5" s="468"/>
      <c r="B5" s="468"/>
      <c r="C5" s="244"/>
      <c r="D5" s="244" t="s">
        <v>504</v>
      </c>
      <c r="E5" s="244" t="s">
        <v>656</v>
      </c>
      <c r="F5" s="244" t="s">
        <v>653</v>
      </c>
    </row>
    <row r="6" spans="1:6" s="68" customFormat="1" ht="12.75">
      <c r="A6" s="244">
        <v>1</v>
      </c>
      <c r="B6" s="245">
        <v>2</v>
      </c>
      <c r="C6" s="244" t="s">
        <v>506</v>
      </c>
      <c r="D6" s="244">
        <v>4</v>
      </c>
      <c r="E6" s="244">
        <v>5</v>
      </c>
      <c r="F6" s="244">
        <v>6</v>
      </c>
    </row>
    <row r="7" spans="1:6" ht="15.75" customHeight="1">
      <c r="A7" s="238">
        <v>10010001</v>
      </c>
      <c r="B7" s="30" t="s">
        <v>240</v>
      </c>
      <c r="C7" s="236">
        <f aca="true" t="shared" si="0" ref="C7:C43">D7+E7+F7</f>
        <v>56847</v>
      </c>
      <c r="D7" s="236">
        <f>1!I36-E7-F7</f>
        <v>56847</v>
      </c>
      <c r="E7" s="236">
        <v>0</v>
      </c>
      <c r="F7" s="236">
        <v>0</v>
      </c>
    </row>
    <row r="8" spans="1:6" ht="15.75" customHeight="1">
      <c r="A8" s="238">
        <v>10010002</v>
      </c>
      <c r="B8" s="30" t="s">
        <v>478</v>
      </c>
      <c r="C8" s="236">
        <f t="shared" si="0"/>
        <v>0</v>
      </c>
      <c r="D8" s="236">
        <f>2!I36-E8-F8</f>
        <v>0</v>
      </c>
      <c r="E8" s="236">
        <v>0</v>
      </c>
      <c r="F8" s="236">
        <v>0</v>
      </c>
    </row>
    <row r="9" spans="1:6" ht="15.75" customHeight="1">
      <c r="A9" s="238">
        <v>11010001</v>
      </c>
      <c r="B9" s="30" t="s">
        <v>241</v>
      </c>
      <c r="C9" s="236">
        <f t="shared" si="0"/>
        <v>477730</v>
      </c>
      <c r="D9" s="236">
        <f>3!I50-E9-F9</f>
        <v>146630</v>
      </c>
      <c r="E9" s="236">
        <v>0</v>
      </c>
      <c r="F9" s="236">
        <f>86828+102032+142240</f>
        <v>331100</v>
      </c>
    </row>
    <row r="10" spans="1:6" ht="15.75" customHeight="1">
      <c r="A10" s="238">
        <v>11010002</v>
      </c>
      <c r="B10" s="30" t="s">
        <v>242</v>
      </c>
      <c r="C10" s="236">
        <f t="shared" si="0"/>
        <v>412</v>
      </c>
      <c r="D10" s="236">
        <f>4!I37-E10-F10</f>
        <v>412</v>
      </c>
      <c r="E10" s="236">
        <v>0</v>
      </c>
      <c r="F10" s="236">
        <v>0</v>
      </c>
    </row>
    <row r="11" spans="1:6" ht="15.75" customHeight="1">
      <c r="A11" s="238">
        <v>11010003</v>
      </c>
      <c r="B11" s="30" t="s">
        <v>243</v>
      </c>
      <c r="C11" s="236">
        <f t="shared" si="0"/>
        <v>0</v>
      </c>
      <c r="D11" s="236">
        <f>5!I36-E11-F11</f>
        <v>0</v>
      </c>
      <c r="E11" s="236">
        <v>0</v>
      </c>
      <c r="F11" s="236">
        <v>0</v>
      </c>
    </row>
    <row r="12" spans="1:6" ht="15.75" customHeight="1">
      <c r="A12" s="238">
        <v>11010004</v>
      </c>
      <c r="B12" s="30" t="s">
        <v>245</v>
      </c>
      <c r="C12" s="236">
        <f t="shared" si="0"/>
        <v>2416</v>
      </c>
      <c r="D12" s="236">
        <f>6!I36-E12-F12</f>
        <v>2416</v>
      </c>
      <c r="E12" s="236">
        <v>0</v>
      </c>
      <c r="F12" s="236">
        <v>0</v>
      </c>
    </row>
    <row r="13" spans="1:6" ht="15.75" customHeight="1">
      <c r="A13" s="238">
        <v>11010005</v>
      </c>
      <c r="B13" s="30" t="s">
        <v>667</v>
      </c>
      <c r="C13" s="236">
        <f t="shared" si="0"/>
        <v>3200</v>
      </c>
      <c r="D13" s="236">
        <f>7!I36-E13-F13</f>
        <v>3200</v>
      </c>
      <c r="E13" s="236">
        <v>0</v>
      </c>
      <c r="F13" s="236">
        <v>0</v>
      </c>
    </row>
    <row r="14" spans="1:6" ht="15.75" customHeight="1">
      <c r="A14" s="238">
        <v>12010001</v>
      </c>
      <c r="B14" s="30" t="s">
        <v>246</v>
      </c>
      <c r="C14" s="236">
        <f t="shared" si="0"/>
        <v>66072</v>
      </c>
      <c r="D14" s="236">
        <f>8!I36-E14-F14</f>
        <v>66072</v>
      </c>
      <c r="E14" s="236">
        <v>0</v>
      </c>
      <c r="F14" s="236">
        <v>0</v>
      </c>
    </row>
    <row r="15" spans="1:6" ht="15.75" customHeight="1">
      <c r="A15" s="238">
        <v>13010001</v>
      </c>
      <c r="B15" s="30" t="s">
        <v>476</v>
      </c>
      <c r="C15" s="236">
        <f t="shared" si="0"/>
        <v>186761</v>
      </c>
      <c r="D15" s="236">
        <f>9!I36-E15-F15</f>
        <v>186761</v>
      </c>
      <c r="E15" s="236">
        <v>0</v>
      </c>
      <c r="F15" s="236">
        <v>0</v>
      </c>
    </row>
    <row r="16" spans="1:6" ht="15.75" customHeight="1">
      <c r="A16" s="238">
        <v>14010001</v>
      </c>
      <c r="B16" s="30" t="s">
        <v>248</v>
      </c>
      <c r="C16" s="236">
        <f t="shared" si="0"/>
        <v>2976</v>
      </c>
      <c r="D16" s="236">
        <f>'10'!I36-E16-F16</f>
        <v>2976</v>
      </c>
      <c r="E16" s="236">
        <v>0</v>
      </c>
      <c r="F16" s="236">
        <v>0</v>
      </c>
    </row>
    <row r="17" spans="1:6" ht="15.75" customHeight="1">
      <c r="A17" s="238">
        <v>14020003</v>
      </c>
      <c r="B17" s="30" t="s">
        <v>249</v>
      </c>
      <c r="C17" s="236">
        <f t="shared" si="0"/>
        <v>29616</v>
      </c>
      <c r="D17" s="236">
        <f>'11'!I36-E17-F17</f>
        <v>29616</v>
      </c>
      <c r="E17" s="236">
        <v>0</v>
      </c>
      <c r="F17" s="236">
        <v>0</v>
      </c>
    </row>
    <row r="18" spans="1:6" ht="15.75" customHeight="1">
      <c r="A18" s="238">
        <v>14050001</v>
      </c>
      <c r="B18" s="30" t="s">
        <v>250</v>
      </c>
      <c r="C18" s="236">
        <f t="shared" si="0"/>
        <v>0</v>
      </c>
      <c r="D18" s="236">
        <f>'12'!I36-E18-F18</f>
        <v>0</v>
      </c>
      <c r="E18" s="236">
        <v>0</v>
      </c>
      <c r="F18" s="236">
        <v>0</v>
      </c>
    </row>
    <row r="19" spans="1:6" ht="15.75" customHeight="1">
      <c r="A19" s="238">
        <v>14050002</v>
      </c>
      <c r="B19" s="30" t="s">
        <v>251</v>
      </c>
      <c r="C19" s="236">
        <f t="shared" si="0"/>
        <v>999</v>
      </c>
      <c r="D19" s="236">
        <f>'13'!I36-E19-F19</f>
        <v>999</v>
      </c>
      <c r="E19" s="236">
        <v>0</v>
      </c>
      <c r="F19" s="236">
        <v>0</v>
      </c>
    </row>
    <row r="20" spans="1:6" ht="15.75" customHeight="1">
      <c r="A20" s="238">
        <v>14060001</v>
      </c>
      <c r="B20" s="30" t="s">
        <v>252</v>
      </c>
      <c r="C20" s="236">
        <f t="shared" si="0"/>
        <v>0</v>
      </c>
      <c r="D20" s="236">
        <f>'14'!I36-E20-F20</f>
        <v>0</v>
      </c>
      <c r="E20" s="236">
        <v>0</v>
      </c>
      <c r="F20" s="236">
        <v>0</v>
      </c>
    </row>
    <row r="21" spans="1:6" ht="15.75" customHeight="1">
      <c r="A21" s="238">
        <v>15010001</v>
      </c>
      <c r="B21" s="30" t="s">
        <v>253</v>
      </c>
      <c r="C21" s="236">
        <f t="shared" si="0"/>
        <v>0</v>
      </c>
      <c r="D21" s="236">
        <f>'15'!I33-E21-F21</f>
        <v>0</v>
      </c>
      <c r="E21" s="236">
        <v>0</v>
      </c>
      <c r="F21" s="236">
        <v>0</v>
      </c>
    </row>
    <row r="22" spans="1:6" ht="15.75" customHeight="1">
      <c r="A22" s="238">
        <v>16010001</v>
      </c>
      <c r="B22" s="30" t="s">
        <v>254</v>
      </c>
      <c r="C22" s="236">
        <f t="shared" si="0"/>
        <v>6990</v>
      </c>
      <c r="D22" s="236">
        <f>'16'!I43-E22-F22</f>
        <v>6990</v>
      </c>
      <c r="E22" s="236">
        <v>0</v>
      </c>
      <c r="F22" s="236">
        <v>0</v>
      </c>
    </row>
    <row r="23" spans="1:6" ht="15.75" customHeight="1">
      <c r="A23" s="238">
        <v>17010001</v>
      </c>
      <c r="B23" s="30" t="s">
        <v>255</v>
      </c>
      <c r="C23" s="236">
        <f t="shared" si="0"/>
        <v>1388</v>
      </c>
      <c r="D23" s="236">
        <f>'17'!I34-E23-F23</f>
        <v>1388</v>
      </c>
      <c r="E23" s="236">
        <v>0</v>
      </c>
      <c r="F23" s="236">
        <v>0</v>
      </c>
    </row>
    <row r="24" spans="1:6" ht="15.75" customHeight="1">
      <c r="A24" s="238">
        <v>18010001</v>
      </c>
      <c r="B24" s="30" t="s">
        <v>256</v>
      </c>
      <c r="C24" s="236">
        <f t="shared" si="0"/>
        <v>741121</v>
      </c>
      <c r="D24" s="236">
        <f>'18'!I37-E24-F24</f>
        <v>0</v>
      </c>
      <c r="E24" s="424">
        <v>691121</v>
      </c>
      <c r="F24" s="424">
        <v>50000</v>
      </c>
    </row>
    <row r="25" spans="1:6" ht="15.75" customHeight="1">
      <c r="A25" s="238">
        <v>19010001</v>
      </c>
      <c r="B25" s="30" t="s">
        <v>257</v>
      </c>
      <c r="C25" s="236">
        <f t="shared" si="0"/>
        <v>12477</v>
      </c>
      <c r="D25" s="236">
        <f>'19'!I35-E25-F25</f>
        <v>12477</v>
      </c>
      <c r="E25" s="424">
        <v>0</v>
      </c>
      <c r="F25" s="424">
        <v>0</v>
      </c>
    </row>
    <row r="26" spans="1:6" ht="15.75" customHeight="1">
      <c r="A26" s="238">
        <v>20010001</v>
      </c>
      <c r="B26" s="30" t="s">
        <v>258</v>
      </c>
      <c r="C26" s="236">
        <f t="shared" si="0"/>
        <v>16434</v>
      </c>
      <c r="D26" s="236">
        <f>'20'!I46-E26-F26</f>
        <v>1359</v>
      </c>
      <c r="E26" s="424">
        <v>0</v>
      </c>
      <c r="F26" s="424">
        <v>15075</v>
      </c>
    </row>
    <row r="27" spans="1:6" ht="15.75" customHeight="1">
      <c r="A27" s="238">
        <v>20020002</v>
      </c>
      <c r="B27" s="30" t="s">
        <v>479</v>
      </c>
      <c r="C27" s="236">
        <f t="shared" si="0"/>
        <v>80964</v>
      </c>
      <c r="D27" s="236">
        <f>'21'!I36-E27-F27</f>
        <v>25061</v>
      </c>
      <c r="E27" s="424">
        <v>0</v>
      </c>
      <c r="F27" s="424">
        <f>52007+3896</f>
        <v>55903</v>
      </c>
    </row>
    <row r="28" spans="1:6" ht="15.75" customHeight="1">
      <c r="A28" s="238">
        <v>20020003</v>
      </c>
      <c r="B28" s="30" t="s">
        <v>480</v>
      </c>
      <c r="C28" s="236">
        <f t="shared" si="0"/>
        <v>20910</v>
      </c>
      <c r="D28" s="236">
        <f>'22'!I36-E28-F28</f>
        <v>20910</v>
      </c>
      <c r="E28" s="424">
        <v>0</v>
      </c>
      <c r="F28" s="424">
        <v>0</v>
      </c>
    </row>
    <row r="29" spans="1:6" ht="15.75" customHeight="1">
      <c r="A29" s="238">
        <v>20020004</v>
      </c>
      <c r="B29" s="30" t="s">
        <v>481</v>
      </c>
      <c r="C29" s="236">
        <f t="shared" si="0"/>
        <v>4937</v>
      </c>
      <c r="D29" s="236">
        <f>'23'!I37-E29-F29</f>
        <v>4937</v>
      </c>
      <c r="E29" s="424">
        <v>0</v>
      </c>
      <c r="F29" s="424">
        <v>0</v>
      </c>
    </row>
    <row r="30" spans="1:6" ht="15.75" customHeight="1">
      <c r="A30" s="238">
        <v>20030001</v>
      </c>
      <c r="B30" s="313" t="s">
        <v>482</v>
      </c>
      <c r="C30" s="236">
        <f t="shared" si="0"/>
        <v>6733</v>
      </c>
      <c r="D30" s="236">
        <f>'24'!I36-E30-F30</f>
        <v>6733</v>
      </c>
      <c r="E30" s="424">
        <v>0</v>
      </c>
      <c r="F30" s="424">
        <v>0</v>
      </c>
    </row>
    <row r="31" spans="1:6" ht="15.75" customHeight="1">
      <c r="A31" s="238">
        <v>20030002</v>
      </c>
      <c r="B31" s="30" t="s">
        <v>483</v>
      </c>
      <c r="C31" s="236">
        <f t="shared" si="0"/>
        <v>89062</v>
      </c>
      <c r="D31" s="236">
        <f>'25'!I36-E31-F31</f>
        <v>87562</v>
      </c>
      <c r="E31" s="424">
        <v>0</v>
      </c>
      <c r="F31" s="424">
        <v>1500</v>
      </c>
    </row>
    <row r="32" spans="1:6" ht="15.75" customHeight="1">
      <c r="A32" s="238">
        <v>20030003</v>
      </c>
      <c r="B32" s="30" t="s">
        <v>484</v>
      </c>
      <c r="C32" s="236">
        <f t="shared" si="0"/>
        <v>53489</v>
      </c>
      <c r="D32" s="236">
        <f>'26'!I36-E32-F32</f>
        <v>53489</v>
      </c>
      <c r="E32" s="424">
        <v>0</v>
      </c>
      <c r="F32" s="424">
        <v>0</v>
      </c>
    </row>
    <row r="33" spans="1:6" ht="15.75" customHeight="1">
      <c r="A33" s="238">
        <v>20030004</v>
      </c>
      <c r="B33" s="313" t="s">
        <v>646</v>
      </c>
      <c r="C33" s="236">
        <f t="shared" si="0"/>
        <v>10880</v>
      </c>
      <c r="D33" s="236">
        <f>'27'!I36-E33-F33</f>
        <v>10880</v>
      </c>
      <c r="E33" s="424">
        <v>0</v>
      </c>
      <c r="F33" s="424">
        <v>0</v>
      </c>
    </row>
    <row r="34" spans="1:6" ht="15.75" customHeight="1">
      <c r="A34" s="238">
        <v>20030005</v>
      </c>
      <c r="B34" s="313" t="s">
        <v>654</v>
      </c>
      <c r="C34" s="236">
        <f t="shared" si="0"/>
        <v>63393</v>
      </c>
      <c r="D34" s="236">
        <f>'28'!I36-E34-F34</f>
        <v>63393</v>
      </c>
      <c r="E34" s="424">
        <v>0</v>
      </c>
      <c r="F34" s="424">
        <v>0</v>
      </c>
    </row>
    <row r="35" spans="1:6" ht="15.75" customHeight="1">
      <c r="A35" s="238">
        <v>20030006</v>
      </c>
      <c r="B35" s="30" t="s">
        <v>762</v>
      </c>
      <c r="C35" s="236">
        <f t="shared" si="0"/>
        <v>2000</v>
      </c>
      <c r="D35" s="236">
        <f>'29'!I36-E35-F35</f>
        <v>2000</v>
      </c>
      <c r="E35" s="424">
        <v>0</v>
      </c>
      <c r="F35" s="424">
        <v>0</v>
      </c>
    </row>
    <row r="36" spans="1:6" ht="15.75" customHeight="1">
      <c r="A36" s="238">
        <v>20030007</v>
      </c>
      <c r="B36" s="30" t="s">
        <v>763</v>
      </c>
      <c r="C36" s="236">
        <f t="shared" si="0"/>
        <v>1995</v>
      </c>
      <c r="D36" s="236">
        <f>'30'!I36-E36-F36</f>
        <v>1995</v>
      </c>
      <c r="E36" s="424">
        <v>0</v>
      </c>
      <c r="F36" s="424">
        <v>0</v>
      </c>
    </row>
    <row r="37" spans="1:6" ht="15.75" customHeight="1">
      <c r="A37" s="238">
        <v>21010001</v>
      </c>
      <c r="B37" s="30" t="s">
        <v>268</v>
      </c>
      <c r="C37" s="236">
        <f t="shared" si="0"/>
        <v>690</v>
      </c>
      <c r="D37" s="236">
        <f>'31'!I33-E37-F37</f>
        <v>690</v>
      </c>
      <c r="E37" s="424">
        <v>0</v>
      </c>
      <c r="F37" s="424">
        <v>0</v>
      </c>
    </row>
    <row r="38" spans="1:6" ht="15.75" customHeight="1">
      <c r="A38" s="238">
        <v>22010001</v>
      </c>
      <c r="B38" s="30" t="s">
        <v>269</v>
      </c>
      <c r="C38" s="236">
        <f t="shared" si="0"/>
        <v>6984</v>
      </c>
      <c r="D38" s="236">
        <f>'32'!I35-E38-F38</f>
        <v>6984</v>
      </c>
      <c r="E38" s="424">
        <v>0</v>
      </c>
      <c r="F38" s="424">
        <v>0</v>
      </c>
    </row>
    <row r="39" spans="1:6" ht="15.75" customHeight="1">
      <c r="A39" s="238">
        <v>23010001</v>
      </c>
      <c r="B39" s="30" t="s">
        <v>270</v>
      </c>
      <c r="C39" s="236">
        <f t="shared" si="0"/>
        <v>22173</v>
      </c>
      <c r="D39" s="236">
        <f>'33'!I34-E39-F39</f>
        <v>1897</v>
      </c>
      <c r="E39" s="424">
        <v>0</v>
      </c>
      <c r="F39" s="424">
        <v>20276</v>
      </c>
    </row>
    <row r="40" spans="1:6" ht="15.75" customHeight="1">
      <c r="A40" s="238">
        <v>24010001</v>
      </c>
      <c r="B40" s="30" t="s">
        <v>271</v>
      </c>
      <c r="C40" s="236">
        <f t="shared" si="0"/>
        <v>2957</v>
      </c>
      <c r="D40" s="236">
        <f>'34'!I36-E40-F40</f>
        <v>2957</v>
      </c>
      <c r="E40" s="424">
        <v>0</v>
      </c>
      <c r="F40" s="424">
        <v>0</v>
      </c>
    </row>
    <row r="41" spans="1:6" ht="15.75" customHeight="1">
      <c r="A41" s="238">
        <v>26010001</v>
      </c>
      <c r="B41" s="30" t="s">
        <v>272</v>
      </c>
      <c r="C41" s="236">
        <f t="shared" si="0"/>
        <v>999</v>
      </c>
      <c r="D41" s="236">
        <f>'35'!I36-E41-F41</f>
        <v>999</v>
      </c>
      <c r="E41" s="424">
        <v>0</v>
      </c>
      <c r="F41" s="424">
        <v>0</v>
      </c>
    </row>
    <row r="42" spans="1:6" ht="15.75" customHeight="1">
      <c r="A42" s="238">
        <v>27010001</v>
      </c>
      <c r="B42" s="30" t="s">
        <v>273</v>
      </c>
      <c r="C42" s="236">
        <f t="shared" si="0"/>
        <v>1053</v>
      </c>
      <c r="D42" s="236">
        <f>'36'!I36-E42-F42</f>
        <v>1053</v>
      </c>
      <c r="E42" s="424">
        <v>0</v>
      </c>
      <c r="F42" s="424">
        <v>0</v>
      </c>
    </row>
    <row r="43" spans="1:6" ht="15.75" customHeight="1">
      <c r="A43" s="238">
        <v>28010001</v>
      </c>
      <c r="B43" s="30" t="s">
        <v>274</v>
      </c>
      <c r="C43" s="236">
        <f t="shared" si="0"/>
        <v>2361</v>
      </c>
      <c r="D43" s="236">
        <f>'37'!I36-E43-F43</f>
        <v>2361</v>
      </c>
      <c r="E43" s="236">
        <v>0</v>
      </c>
      <c r="F43" s="236">
        <v>0</v>
      </c>
    </row>
    <row r="44" spans="1:6" s="68" customFormat="1" ht="15.75" customHeight="1">
      <c r="A44" s="117"/>
      <c r="B44" s="242" t="s">
        <v>500</v>
      </c>
      <c r="C44" s="243">
        <f>SUM(C7:C43)</f>
        <v>1977019</v>
      </c>
      <c r="D44" s="243">
        <f>SUM(D7:D43)</f>
        <v>812044</v>
      </c>
      <c r="E44" s="243">
        <f>SUM(E7:E43)</f>
        <v>691121</v>
      </c>
      <c r="F44" s="243">
        <f>SUM(F7:F43)</f>
        <v>473854</v>
      </c>
    </row>
    <row r="45" ht="18" customHeight="1"/>
  </sheetData>
  <sheetProtection/>
  <mergeCells count="4">
    <mergeCell ref="A2:F2"/>
    <mergeCell ref="D4:F4"/>
    <mergeCell ref="A4:A5"/>
    <mergeCell ref="B4:B5"/>
  </mergeCells>
  <printOptions/>
  <pageMargins left="1.31" right="0.32" top="0.56" bottom="0.53" header="0.5" footer="0.5"/>
  <pageSetup horizontalDpi="600" verticalDpi="600" orientation="landscape" paperSize="9" scale="71" r:id="rId1"/>
  <headerFooter alignWithMargins="0">
    <oddFooter>&amp;R48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27"/>
  <sheetViews>
    <sheetView tabSelected="1" workbookViewId="0" topLeftCell="A1">
      <selection activeCell="A7" sqref="A7:C8"/>
    </sheetView>
  </sheetViews>
  <sheetFormatPr defaultColWidth="9.140625" defaultRowHeight="15" customHeight="1"/>
  <cols>
    <col min="2" max="2" width="46.7109375" style="0" customWidth="1"/>
    <col min="3" max="3" width="24.57421875" style="0" customWidth="1"/>
    <col min="4" max="4" width="12.421875" style="0" customWidth="1"/>
  </cols>
  <sheetData>
    <row r="1" spans="1:3" ht="15" customHeight="1">
      <c r="A1" s="54"/>
      <c r="C1" s="54"/>
    </row>
    <row r="2" spans="1:3" ht="15" customHeight="1">
      <c r="A2" s="54"/>
      <c r="C2" s="54"/>
    </row>
    <row r="3" ht="15" customHeight="1">
      <c r="C3" t="s">
        <v>141</v>
      </c>
    </row>
    <row r="4" spans="7:8" ht="15" customHeight="1">
      <c r="G4" s="68"/>
      <c r="H4" s="68"/>
    </row>
    <row r="5" spans="1:3" ht="15" customHeight="1">
      <c r="A5" s="54"/>
      <c r="C5" s="54"/>
    </row>
    <row r="6" spans="1:3" ht="15" customHeight="1">
      <c r="A6" s="340" t="s">
        <v>766</v>
      </c>
      <c r="C6" s="54"/>
    </row>
    <row r="7" spans="1:3" ht="15" customHeight="1">
      <c r="A7" s="444"/>
      <c r="B7" s="444"/>
      <c r="C7" s="444"/>
    </row>
    <row r="8" spans="1:3" ht="15" customHeight="1">
      <c r="A8" s="444"/>
      <c r="B8" s="444"/>
      <c r="C8" s="444"/>
    </row>
    <row r="20" ht="15" customHeight="1">
      <c r="C20" s="55"/>
    </row>
    <row r="21" ht="15" customHeight="1">
      <c r="C21" s="341"/>
    </row>
    <row r="22" ht="15" customHeight="1">
      <c r="C22" s="341"/>
    </row>
    <row r="24" ht="15" customHeight="1">
      <c r="C24" s="55"/>
    </row>
    <row r="27" ht="15" customHeight="1">
      <c r="C27" s="55"/>
    </row>
    <row r="37" ht="12.75"/>
  </sheetData>
  <sheetProtection/>
  <mergeCells count="1">
    <mergeCell ref="A7:C8"/>
  </mergeCells>
  <printOptions/>
  <pageMargins left="0.89" right="0.75" top="1" bottom="1" header="0.5" footer="0.5"/>
  <pageSetup horizontalDpi="600" verticalDpi="600" orientation="portrait" paperSize="9" r:id="rId1"/>
  <headerFooter alignWithMargins="0"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3:L121"/>
  <sheetViews>
    <sheetView workbookViewId="0" topLeftCell="C73">
      <selection activeCell="K63" sqref="K63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5" width="17.28125" style="13" customWidth="1"/>
    <col min="6" max="7" width="15.7109375" style="13" customWidth="1"/>
    <col min="8" max="8" width="8.7109375" style="127" customWidth="1"/>
    <col min="9" max="9" width="9.140625" style="13" customWidth="1"/>
    <col min="10" max="10" width="13.140625" style="13" bestFit="1" customWidth="1"/>
    <col min="11" max="11" width="9.140625" style="13" customWidth="1"/>
    <col min="12" max="12" width="10.140625" style="13" bestFit="1" customWidth="1"/>
    <col min="13" max="16384" width="9.140625" style="13" customWidth="1"/>
  </cols>
  <sheetData>
    <row r="2" ht="2.25" customHeight="1"/>
    <row r="3" spans="3:8" s="1" customFormat="1" ht="30.75" customHeight="1" thickBot="1">
      <c r="C3" s="455" t="s">
        <v>78</v>
      </c>
      <c r="D3" s="455"/>
      <c r="E3" s="125"/>
      <c r="F3" s="125"/>
      <c r="G3" s="454"/>
      <c r="H3" s="454"/>
    </row>
    <row r="4" spans="2:8" s="1" customFormat="1" ht="51.75" customHeight="1">
      <c r="B4" s="3" t="s">
        <v>79</v>
      </c>
      <c r="C4" s="42" t="s">
        <v>81</v>
      </c>
      <c r="D4" s="43" t="s">
        <v>82</v>
      </c>
      <c r="E4" s="161" t="s">
        <v>677</v>
      </c>
      <c r="F4" s="161" t="s">
        <v>678</v>
      </c>
      <c r="G4" s="126" t="s">
        <v>675</v>
      </c>
      <c r="H4" s="128" t="s">
        <v>659</v>
      </c>
    </row>
    <row r="5" spans="2:8" s="2" customFormat="1" ht="13.5" customHeight="1">
      <c r="B5" s="8">
        <v>1</v>
      </c>
      <c r="C5" s="8">
        <v>1</v>
      </c>
      <c r="D5" s="9">
        <v>2</v>
      </c>
      <c r="E5" s="35">
        <v>3</v>
      </c>
      <c r="F5" s="35">
        <v>4</v>
      </c>
      <c r="G5" s="9">
        <v>5</v>
      </c>
      <c r="H5" s="137">
        <v>6</v>
      </c>
    </row>
    <row r="6" spans="2:10" s="2" customFormat="1" ht="13.5" customHeight="1">
      <c r="B6" s="8"/>
      <c r="C6" s="8"/>
      <c r="D6" s="27" t="s">
        <v>164</v>
      </c>
      <c r="E6" s="25">
        <f>E8+E14+E20+E23+E45+E85+E89+E96+E103</f>
        <v>40327360</v>
      </c>
      <c r="F6" s="25">
        <f>F8+F14+F20+F23+F45+F85+F89+F96+F103</f>
        <v>40327360</v>
      </c>
      <c r="G6" s="25">
        <f>G8+G14+G20+G23+G45+G85+G89+G96+G103</f>
        <v>39474206</v>
      </c>
      <c r="H6" s="155">
        <f>IF(F6=0,"",G6/F6*100)</f>
        <v>97.88442883441911</v>
      </c>
      <c r="J6" s="247"/>
    </row>
    <row r="7" spans="2:10" s="2" customFormat="1" ht="13.5" customHeight="1">
      <c r="B7" s="8"/>
      <c r="C7" s="8"/>
      <c r="D7" s="27"/>
      <c r="E7" s="25"/>
      <c r="F7" s="25"/>
      <c r="G7" s="25"/>
      <c r="H7" s="160">
        <f>IF(F7=0,"",G7/F7*100)</f>
      </c>
      <c r="J7" s="124"/>
    </row>
    <row r="8" spans="2:10" s="2" customFormat="1" ht="13.5" customHeight="1">
      <c r="B8" s="8"/>
      <c r="C8" s="8">
        <v>600000</v>
      </c>
      <c r="D8" s="27" t="s">
        <v>125</v>
      </c>
      <c r="E8" s="25">
        <f>E9+E10+E11+E12</f>
        <v>690000</v>
      </c>
      <c r="F8" s="25">
        <f>F9+F10+F11+F12</f>
        <v>690000</v>
      </c>
      <c r="G8" s="25">
        <f>G9+G10+G11+G12</f>
        <v>685775</v>
      </c>
      <c r="H8" s="155">
        <f>IF(F8=0,"",G8/F8*100)</f>
        <v>99.3876811594203</v>
      </c>
      <c r="J8" s="247"/>
    </row>
    <row r="9" spans="2:12" s="2" customFormat="1" ht="13.5" customHeight="1">
      <c r="B9" s="8"/>
      <c r="C9" s="65">
        <v>600000</v>
      </c>
      <c r="D9" s="57" t="s">
        <v>99</v>
      </c>
      <c r="E9" s="64">
        <f>3!G8</f>
        <v>630000</v>
      </c>
      <c r="F9" s="64">
        <f>3!H8</f>
        <v>630000</v>
      </c>
      <c r="G9" s="64">
        <f>3!I8</f>
        <v>625775</v>
      </c>
      <c r="H9" s="160">
        <f>IF(F9=0,"",G9/F9*100)</f>
        <v>99.32936507936509</v>
      </c>
      <c r="L9" s="124"/>
    </row>
    <row r="10" spans="2:11" s="2" customFormat="1" ht="13.5" customHeight="1">
      <c r="B10" s="8"/>
      <c r="C10" s="65">
        <v>600000</v>
      </c>
      <c r="D10" s="57" t="s">
        <v>100</v>
      </c>
      <c r="E10" s="64">
        <f>3!G9</f>
        <v>30000</v>
      </c>
      <c r="F10" s="64">
        <f>3!H9</f>
        <v>30000</v>
      </c>
      <c r="G10" s="64">
        <f>3!I9</f>
        <v>30000</v>
      </c>
      <c r="H10" s="160">
        <f aca="true" t="shared" si="0" ref="H10:H83">IF(F10=0,"",G10/F10*100)</f>
        <v>100</v>
      </c>
      <c r="K10" s="124"/>
    </row>
    <row r="11" spans="2:12" s="2" customFormat="1" ht="13.5" customHeight="1">
      <c r="B11" s="8"/>
      <c r="C11" s="65">
        <v>600000</v>
      </c>
      <c r="D11" s="57" t="s">
        <v>126</v>
      </c>
      <c r="E11" s="64">
        <f>3!G10</f>
        <v>15000</v>
      </c>
      <c r="F11" s="64">
        <f>3!H10</f>
        <v>15000</v>
      </c>
      <c r="G11" s="64">
        <f>3!I10</f>
        <v>15000</v>
      </c>
      <c r="H11" s="160">
        <f t="shared" si="0"/>
        <v>100</v>
      </c>
      <c r="L11" s="124"/>
    </row>
    <row r="12" spans="2:8" s="2" customFormat="1" ht="13.5" customHeight="1">
      <c r="B12" s="8"/>
      <c r="C12" s="65">
        <v>600000</v>
      </c>
      <c r="D12" s="57" t="s">
        <v>112</v>
      </c>
      <c r="E12" s="64">
        <f>'16'!G8</f>
        <v>15000</v>
      </c>
      <c r="F12" s="64">
        <f>'16'!H8</f>
        <v>15000</v>
      </c>
      <c r="G12" s="64">
        <f>'16'!I8</f>
        <v>15000</v>
      </c>
      <c r="H12" s="160">
        <f t="shared" si="0"/>
        <v>100</v>
      </c>
    </row>
    <row r="13" spans="2:8" s="2" customFormat="1" ht="13.5" customHeight="1">
      <c r="B13" s="8"/>
      <c r="C13" s="65"/>
      <c r="D13" s="57"/>
      <c r="E13" s="121"/>
      <c r="F13" s="121"/>
      <c r="G13" s="121"/>
      <c r="H13" s="160">
        <f t="shared" si="0"/>
      </c>
    </row>
    <row r="14" spans="2:10" s="1" customFormat="1" ht="13.5" customHeight="1">
      <c r="B14" s="10"/>
      <c r="C14" s="8">
        <v>611000</v>
      </c>
      <c r="D14" s="12" t="s">
        <v>168</v>
      </c>
      <c r="E14" s="96">
        <f>E15+E16</f>
        <v>19585650</v>
      </c>
      <c r="F14" s="96">
        <f>F15+F16</f>
        <v>19584020</v>
      </c>
      <c r="G14" s="96">
        <f>G15+G16</f>
        <v>19274674</v>
      </c>
      <c r="H14" s="155">
        <f t="shared" si="0"/>
        <v>98.42041623732001</v>
      </c>
      <c r="J14" s="84"/>
    </row>
    <row r="15" spans="2:10" ht="13.5" customHeight="1">
      <c r="B15" s="14"/>
      <c r="C15" s="37">
        <v>611100</v>
      </c>
      <c r="D15" s="26" t="s">
        <v>203</v>
      </c>
      <c r="E15" s="45">
        <f>1!G8+2!G8+3!G13+4!G8+5!G8+6!G8+8!G8+9!G8+'10'!G8+'11'!G8+'12'!G8+'13'!G8+'14'!G8+'15'!G8+'16'!G11+'17'!G8+'18'!G8+'19'!G8+'20'!G8+'22'!G8+'23'!G8+'21'!G8+'24'!G8+'25'!G8+'26'!G8+'27'!G8+'28'!G8+'29'!G8+'30'!G8+'31'!G8+'32'!G8+'33'!G8+'34'!G8+'35'!G8+'36'!G8+'37'!G8+7!G8</f>
        <v>15847530</v>
      </c>
      <c r="F15" s="45">
        <f>1!H8+2!H8+3!H13+4!H8+5!H8+6!H8+8!H8+9!H8+'10'!H8+'11'!H8+'12'!H8+'13'!H8+'14'!H8+'15'!H8+'16'!H11+'17'!H8+'18'!H8+'19'!H8+'20'!H8+'22'!H8+'23'!H8+'21'!H8+'24'!H8+'25'!H8+'26'!H8+'27'!H8+'28'!H8+'29'!H8+'30'!H8+'31'!H8+'32'!H8+'33'!H8+'34'!H8+'35'!H8+'36'!H8+'37'!H8+7!H8</f>
        <v>15839390</v>
      </c>
      <c r="G15" s="45">
        <f>1!I8+2!I8+3!I13+4!I8+5!I8+6!I8+8!I8+9!I8+'10'!I8+'11'!I8+'12'!I8+'13'!I8+'14'!I8+'15'!I8+'16'!I11+'17'!I8+'18'!I8+'19'!I8+'20'!I8+'22'!I8+'23'!I8+'21'!I8+'24'!I8+'25'!I8+'26'!I8+'27'!I8+'28'!I8+'29'!I8+'30'!I8+'31'!I8+'32'!I8+'33'!I8+'34'!I8+'35'!I8+'36'!I8+'37'!I8+7!I8</f>
        <v>15654060</v>
      </c>
      <c r="H15" s="160">
        <f t="shared" si="0"/>
        <v>98.82994231469773</v>
      </c>
      <c r="J15" s="83"/>
    </row>
    <row r="16" spans="2:10" ht="13.5" customHeight="1">
      <c r="B16" s="14"/>
      <c r="C16" s="37">
        <v>611200</v>
      </c>
      <c r="D16" s="26" t="s">
        <v>204</v>
      </c>
      <c r="E16" s="45">
        <f>SUM(E17:E18)</f>
        <v>3738120</v>
      </c>
      <c r="F16" s="45">
        <f>SUM(F17:F18)</f>
        <v>3744630</v>
      </c>
      <c r="G16" s="45">
        <f>SUM(G17:G18)</f>
        <v>3620614</v>
      </c>
      <c r="H16" s="160">
        <f t="shared" si="0"/>
        <v>96.68816411768319</v>
      </c>
      <c r="J16" s="83"/>
    </row>
    <row r="17" spans="2:10" ht="13.5" customHeight="1">
      <c r="B17" s="14"/>
      <c r="C17" s="351">
        <v>611200</v>
      </c>
      <c r="D17" s="352" t="s">
        <v>204</v>
      </c>
      <c r="E17" s="353">
        <f>1!G9+2!G9+3!G14+4!G9+5!G9+6!G9+8!G9+9!G9+'10'!G9+'11'!G9+'12'!G9+'13'!G9+'14'!G9+'15'!G9+'16'!G12+'17'!G9+'18'!G9+'19'!G9+'20'!G9+'22'!G9+'23'!G9+'21'!G9+'24'!G9+'25'!G9+'26'!G9+'27'!G9+'28'!G9+'29'!G9+'30'!G9+'31'!G9+'32'!G9+'33'!G9+'34'!G9+'35'!G9+'36'!G9+'37'!G9+7!G9</f>
        <v>3565420</v>
      </c>
      <c r="F17" s="353">
        <f>1!H9+2!H9+3!H14+4!H9+5!H9+6!H9+8!H9+9!H9+'10'!H9+'11'!H9+'12'!H9+'13'!H9+'14'!H9+'15'!H9+'16'!H12+'17'!H9+'18'!H9+'19'!H9+'20'!H9+'22'!H9+'23'!H9+'21'!H9+'24'!H9+'25'!H9+'26'!H9+'27'!H9+'28'!H9+'29'!H9+'30'!H9+'31'!H9+'32'!H9+'33'!H9+'34'!H9+'35'!H9+'36'!H9+'37'!H9+7!H9</f>
        <v>3571930</v>
      </c>
      <c r="G17" s="353">
        <f>1!I9+2!I9+3!I14+4!I9+5!I9+6!I9+8!I9+9!I9+'10'!I9+'11'!I9+'12'!I9+'13'!I9+'14'!I9+'15'!I9+'16'!I12+'17'!I9+'18'!I9+'19'!I9+'20'!I9+'22'!I9+'23'!I9+'21'!I9+'24'!I9+'25'!I9+'26'!I9+'27'!I9+'28'!I9+'29'!I9+'30'!I9+'31'!I9+'32'!I9+'33'!I9+'34'!I9+'35'!I9+'36'!I9+'37'!I9+7!I9</f>
        <v>3455032</v>
      </c>
      <c r="H17" s="354">
        <f t="shared" si="0"/>
        <v>96.72731548490592</v>
      </c>
      <c r="J17" s="83"/>
    </row>
    <row r="18" spans="2:10" ht="13.5" customHeight="1">
      <c r="B18" s="14"/>
      <c r="C18" s="351">
        <v>611200</v>
      </c>
      <c r="D18" s="352" t="s">
        <v>717</v>
      </c>
      <c r="E18" s="353">
        <f>1!G10+2!G10+3!G15+4!G10+5!G10+6!G10+8!G10+9!G10+'10'!G10+'11'!G10+'12'!G10+'13'!G10+'14'!G10+'15'!G10+'16'!G13+'17'!G10+'18'!G10+'19'!G10+'20'!G10+'22'!G10+'23'!G10+'21'!G10+'24'!G10+'25'!G10+'26'!G10+'27'!G10+'28'!G10+'29'!G10+'30'!G10+'31'!G10+'32'!G10+'33'!G10+'34'!G10+'35'!G10+'36'!G10+'37'!G10+7!G10</f>
        <v>172700</v>
      </c>
      <c r="F18" s="353">
        <f>1!H10+2!H10+3!H15+4!H10+5!H10+6!H10+8!H10+9!H10+'10'!H10+'11'!H10+'12'!H10+'13'!H10+'14'!H10+'15'!H10+'16'!H13+'17'!H10+'18'!H10+'19'!H10+'20'!H10+'22'!H10+'23'!H10+'21'!H10+'24'!H10+'25'!H10+'26'!H10+'27'!H10+'28'!H10+'29'!H10+'30'!H10+'31'!H10+'32'!H10+'33'!H10+'34'!H10+'35'!H10+'36'!H10+'37'!H10+7!H10</f>
        <v>172700</v>
      </c>
      <c r="G18" s="353">
        <f>1!I10+2!I10+3!I15+4!I10+5!I10+6!I10+8!I10+9!I10+'10'!I10+'11'!I10+'12'!I10+'13'!I10+'14'!I10+'15'!I10+'16'!I13+'17'!I10+'18'!I10+'19'!I10+'20'!I10+'22'!I10+'23'!I10+'21'!I10+'24'!I10+'25'!I10+'26'!I10+'27'!I10+'28'!I10+'29'!I10+'30'!I10+'31'!I10+'32'!I10+'33'!I10+'34'!I10+'35'!I10+'36'!I10+'37'!I10+7!I10</f>
        <v>165582</v>
      </c>
      <c r="H18" s="354">
        <f t="shared" si="0"/>
        <v>95.87840185292414</v>
      </c>
      <c r="J18" s="83"/>
    </row>
    <row r="19" spans="2:10" ht="13.5" customHeight="1">
      <c r="B19" s="14"/>
      <c r="C19" s="37"/>
      <c r="D19" s="15"/>
      <c r="E19" s="78"/>
      <c r="F19" s="78"/>
      <c r="G19" s="78"/>
      <c r="H19" s="160">
        <f t="shared" si="0"/>
      </c>
      <c r="J19" s="83"/>
    </row>
    <row r="20" spans="2:11" ht="13.5" customHeight="1">
      <c r="B20" s="14"/>
      <c r="C20" s="8">
        <v>612000</v>
      </c>
      <c r="D20" s="12" t="s">
        <v>167</v>
      </c>
      <c r="E20" s="20">
        <f>E21</f>
        <v>1886580</v>
      </c>
      <c r="F20" s="20">
        <f>F21</f>
        <v>1888210</v>
      </c>
      <c r="G20" s="20">
        <f>G21</f>
        <v>1875812</v>
      </c>
      <c r="H20" s="155">
        <f t="shared" si="0"/>
        <v>99.34339930410283</v>
      </c>
      <c r="J20" s="83"/>
      <c r="K20" s="83"/>
    </row>
    <row r="21" spans="2:8" s="1" customFormat="1" ht="13.5" customHeight="1">
      <c r="B21" s="17"/>
      <c r="C21" s="37">
        <v>612100</v>
      </c>
      <c r="D21" s="18" t="s">
        <v>85</v>
      </c>
      <c r="E21" s="45">
        <f>1!G13+2!G14+3!G19+4!G14+5!G14+6!G14+8!G14+9!G14+'10'!G14+'11'!G14+'12'!G14+'13'!G14+'14'!G14+'15'!G14+'16'!G17+'17'!G14+'18'!G14+'19'!G14+'20'!G14+'22'!G14+'23'!G14+'21'!G14+'24'!G14+'25'!G14+'26'!G14+'27'!G14+'28'!G14+'29'!G14+'30'!G14+'31'!G14+'32'!G13+'33'!G14+'34'!G14+'35'!G14+'36'!G14+'37'!G14+7!G14</f>
        <v>1886580</v>
      </c>
      <c r="F21" s="45">
        <f>1!H13+2!H14+3!H19+4!H14+5!H14+6!H14+8!H14+9!H14+'10'!H14+'11'!H14+'12'!H14+'13'!H14+'14'!H14+'15'!H14+'16'!H17+'17'!H14+'18'!H14+'19'!H14+'20'!H14+'22'!H14+'23'!H14+'21'!H14+'24'!H14+'25'!H14+'26'!H14+'27'!H14+'28'!H14+'29'!H14+'30'!H14+'31'!H14+'32'!H13+'33'!H14+'34'!H14+'35'!H14+'36'!H14+'37'!H14+7!H14</f>
        <v>1888210</v>
      </c>
      <c r="G21" s="45">
        <f>1!I13+2!I14+3!I19+4!I14+5!I14+6!I14+8!I14+9!I14+'10'!I14+'11'!I14+'12'!I14+'13'!I14+'14'!I14+'15'!I14+'16'!I17+'17'!I14+'18'!I14+'19'!I14+'20'!I14+'22'!I14+'23'!I14+'21'!I14+'24'!I14+'25'!I14+'26'!I14+'27'!I14+'28'!I14+'29'!I14+'30'!I14+'31'!I14+'32'!I13+'33'!I14+'34'!I14+'35'!I14+'36'!I14+'37'!I14+7!I14</f>
        <v>1875812</v>
      </c>
      <c r="H21" s="160">
        <f t="shared" si="0"/>
        <v>99.34339930410283</v>
      </c>
    </row>
    <row r="22" spans="2:8" ht="13.5" customHeight="1">
      <c r="B22" s="14"/>
      <c r="C22" s="37"/>
      <c r="D22" s="26"/>
      <c r="E22" s="45"/>
      <c r="F22" s="45"/>
      <c r="G22" s="45"/>
      <c r="H22" s="160">
        <f t="shared" si="0"/>
      </c>
    </row>
    <row r="23" spans="2:10" ht="13.5" customHeight="1">
      <c r="B23" s="14"/>
      <c r="C23" s="8">
        <v>613000</v>
      </c>
      <c r="D23" s="12" t="s">
        <v>169</v>
      </c>
      <c r="E23" s="20">
        <f>E24+E25+E26+E27+E28+E29+E30+E33+E36</f>
        <v>4571650</v>
      </c>
      <c r="F23" s="20">
        <f>F24+F25+F26+F27+F28+F29+F30+F33+F36</f>
        <v>4571650</v>
      </c>
      <c r="G23" s="20">
        <f>G24+G25+G26+G27+G28+G29+G30+G33+G36</f>
        <v>4284813</v>
      </c>
      <c r="H23" s="155">
        <f t="shared" si="0"/>
        <v>93.72574453424912</v>
      </c>
      <c r="J23" s="83"/>
    </row>
    <row r="24" spans="2:10" s="1" customFormat="1" ht="13.5" customHeight="1">
      <c r="B24" s="17"/>
      <c r="C24" s="37">
        <v>613100</v>
      </c>
      <c r="D24" s="15" t="s">
        <v>86</v>
      </c>
      <c r="E24" s="45">
        <f>1!G17+2!G18+3!G23+4!G18+5!G18+6!G18+8!G18+9!G18+'10'!G18+'11'!G18+'12'!G18+'13'!G18+'14'!G18+'15'!G18+'16'!G21+'17'!G18+'18'!G18+'19'!G18+'20'!G18+'22'!G18+'23'!G18+'21'!G18+'24'!G18+'25'!G18+'26'!G18+'27'!G18+'28'!G18+'29'!G18+'30'!G18+'31'!G18+'32'!G17+'33'!G18+'34'!G18+'35'!G18+'36'!G18+'37'!G18+7!G18</f>
        <v>158810</v>
      </c>
      <c r="F24" s="45">
        <f>1!H17+2!H18+3!H23+4!H18+5!H18+6!H18+8!H18+9!H18+'10'!H18+'11'!H18+'12'!H18+'13'!H18+'14'!H18+'15'!H18+'16'!H21+'17'!H18+'18'!H18+'19'!H18+'20'!H18+'22'!H18+'23'!H18+'21'!H18+'24'!H18+'25'!H18+'26'!H18+'27'!H18+'28'!H18+'29'!H18+'30'!H18+'31'!H18+'32'!H17+'33'!H18+'34'!H18+'35'!H18+'36'!H18+'37'!H18+7!H18</f>
        <v>155810</v>
      </c>
      <c r="G24" s="45">
        <f>1!I17+2!I18+3!I23+4!I18+5!I18+6!I18+8!I18+9!I18+'10'!I18+'11'!I18+'12'!I18+'13'!I18+'14'!I18+'15'!I18+'16'!I21+'17'!I18+'18'!I18+'19'!I18+'20'!I18+'22'!I18+'23'!I18+'21'!I18+'24'!I18+'25'!I18+'26'!I18+'27'!I18+'28'!I18+'29'!I18+'30'!I18+'31'!I18+'32'!I17+'33'!I18+'34'!I18+'35'!I18+'36'!I18+'37'!I18+7!I18</f>
        <v>138638</v>
      </c>
      <c r="H24" s="160">
        <f t="shared" si="0"/>
        <v>88.97888453886144</v>
      </c>
      <c r="J24" s="84"/>
    </row>
    <row r="25" spans="2:8" ht="13.5" customHeight="1">
      <c r="B25" s="14"/>
      <c r="C25" s="37">
        <v>613200</v>
      </c>
      <c r="D25" s="15" t="s">
        <v>87</v>
      </c>
      <c r="E25" s="45">
        <f>1!G18+2!G19+3!G24+4!G19+5!G19+6!G19+8!G19+9!G19+'10'!G19+'11'!G19+'12'!G19+'13'!G19+'14'!G19+'15'!G19+'16'!G22+'17'!G19+'18'!G19+'19'!G19+'20'!G19+'22'!G19+'23'!G19+'21'!G19+'24'!G19+'25'!G19+'26'!G19+'27'!G19+'28'!G19+'29'!G19+'30'!G19+'31'!G19+'32'!G18+'33'!G19+'34'!G19+'35'!G19+'36'!G19+'37'!G19+7!G19</f>
        <v>738500</v>
      </c>
      <c r="F25" s="45">
        <f>1!H18+2!H19+3!H24+4!H19+5!H19+6!H19+8!H19+9!H19+'10'!H19+'11'!H19+'12'!H19+'13'!H19+'14'!H19+'15'!H19+'16'!H22+'17'!H19+'18'!H19+'19'!H19+'20'!H19+'22'!H19+'23'!H19+'21'!H19+'24'!H19+'25'!H19+'26'!H19+'27'!H19+'28'!H19+'29'!H19+'30'!H19+'31'!H19+'32'!H18+'33'!H19+'34'!H19+'35'!H19+'36'!H19+'37'!H19+7!H19</f>
        <v>711510</v>
      </c>
      <c r="G25" s="45">
        <f>1!I18+2!I19+3!I24+4!I19+5!I19+6!I19+8!I19+9!I19+'10'!I19+'11'!I19+'12'!I19+'13'!I19+'14'!I19+'15'!I19+'16'!I22+'17'!I19+'18'!I19+'19'!I19+'20'!I19+'22'!I19+'23'!I19+'21'!I19+'24'!I19+'25'!I19+'26'!I19+'27'!I19+'28'!I19+'29'!I19+'30'!I19+'31'!I19+'32'!I18+'33'!I19+'34'!I19+'35'!I19+'36'!I19+'37'!I19+7!I19</f>
        <v>659248</v>
      </c>
      <c r="H25" s="160">
        <f t="shared" si="0"/>
        <v>92.65477646132872</v>
      </c>
    </row>
    <row r="26" spans="2:8" ht="13.5" customHeight="1">
      <c r="B26" s="14"/>
      <c r="C26" s="37">
        <v>613300</v>
      </c>
      <c r="D26" s="26" t="s">
        <v>205</v>
      </c>
      <c r="E26" s="45">
        <f>1!G19+2!G20+3!G25+4!G20+5!G20+6!G20+8!G20+9!G20+'10'!G20+'11'!G20+'12'!G20+'13'!G20+'14'!G20+'15'!G20+'16'!G23+'17'!G20+'18'!G20+'19'!G20+'20'!G20+'22'!G20+'23'!G20+'21'!G20+'24'!G20+'25'!G20+'26'!G20+'27'!G20+'28'!G20+'29'!G20+'30'!G20+'31'!G20+'32'!G19+'33'!G20+'34'!G20+'35'!G20+'36'!G20+'37'!G20+7!G20</f>
        <v>430500</v>
      </c>
      <c r="F26" s="45">
        <f>1!H19+2!H20+3!H25+4!H20+5!H20+6!H20+8!H20+9!H20+'10'!H20+'11'!H20+'12'!H20+'13'!H20+'14'!H20+'15'!H20+'16'!H23+'17'!H20+'18'!H20+'19'!H20+'20'!H20+'22'!H20+'23'!H20+'21'!H20+'24'!H20+'25'!H20+'26'!H20+'27'!H20+'28'!H20+'29'!H20+'30'!H20+'31'!H20+'32'!H19+'33'!H20+'34'!H20+'35'!H20+'36'!H20+'37'!H20+7!H20</f>
        <v>431320</v>
      </c>
      <c r="G26" s="45">
        <f>1!I19+2!I20+3!I25+4!I20+5!I20+6!I20+8!I20+9!I20+'10'!I20+'11'!I20+'12'!I20+'13'!I20+'14'!I20+'15'!I20+'16'!I23+'17'!I20+'18'!I20+'19'!I20+'20'!I20+'22'!I20+'23'!I20+'21'!I20+'24'!I20+'25'!I20+'26'!I20+'27'!I20+'28'!I20+'29'!I20+'30'!I20+'31'!I20+'32'!I19+'33'!I20+'34'!I20+'35'!I20+'36'!I20+'37'!I20+7!I20</f>
        <v>390625</v>
      </c>
      <c r="H26" s="160">
        <f t="shared" si="0"/>
        <v>90.56500973754986</v>
      </c>
    </row>
    <row r="27" spans="2:8" ht="13.5" customHeight="1">
      <c r="B27" s="14"/>
      <c r="C27" s="37">
        <v>613400</v>
      </c>
      <c r="D27" s="26" t="s">
        <v>170</v>
      </c>
      <c r="E27" s="45">
        <f>1!G20+2!G21+3!G26+4!G21+5!G21+6!G21+8!G21+9!G21+'10'!G21+'11'!G21+'12'!G21+'13'!G21+'14'!G21+'15'!G21+'16'!G24+'17'!G21+'18'!G21+'19'!G21+'20'!G21+'22'!G21+'23'!G21+'21'!G21+'24'!G21+'25'!G21+'26'!G21+'27'!G21+'28'!G21+'29'!G21+'30'!G21+'31'!G21+'32'!G20+'33'!G21+'34'!G21+'35'!G21+'36'!G21+'37'!G21+7!G21</f>
        <v>592050</v>
      </c>
      <c r="F27" s="45">
        <f>1!H20+2!H21+3!H26+4!H21+5!H21+6!H21+8!H21+9!H21+'10'!H21+'11'!H21+'12'!H21+'13'!H21+'14'!H21+'15'!H21+'16'!H24+'17'!H21+'18'!H21+'19'!H21+'20'!H21+'22'!H21+'23'!H21+'21'!H21+'24'!H21+'25'!H21+'26'!H21+'27'!H21+'28'!H21+'29'!H21+'30'!H21+'31'!H21+'32'!H20+'33'!H21+'34'!H21+'35'!H21+'36'!H21+'37'!H21+7!H21</f>
        <v>591500</v>
      </c>
      <c r="G27" s="45">
        <f>1!I20+2!I21+3!I26+4!I21+5!I21+6!I21+8!I21+9!I21+'10'!I21+'11'!I21+'12'!I21+'13'!I21+'14'!I21+'15'!I21+'16'!I24+'17'!I21+'18'!I21+'19'!I21+'20'!I21+'22'!I21+'23'!I21+'21'!I21+'24'!I21+'25'!I21+'26'!I21+'27'!I21+'28'!I21+'29'!I21+'30'!I21+'31'!I21+'32'!I20+'33'!I21+'34'!I21+'35'!I21+'36'!I21+'37'!I21+7!I21</f>
        <v>573435</v>
      </c>
      <c r="H27" s="160">
        <f t="shared" si="0"/>
        <v>96.94590025359257</v>
      </c>
    </row>
    <row r="28" spans="2:8" ht="13.5" customHeight="1">
      <c r="B28" s="14"/>
      <c r="C28" s="37">
        <v>613500</v>
      </c>
      <c r="D28" s="19" t="s">
        <v>88</v>
      </c>
      <c r="E28" s="104">
        <f>1!G21+2!G22+3!G27+4!G22+5!G22+6!G22+8!G22+9!G22+'10'!G22+'11'!G22+'12'!G22+'13'!G22+'14'!G22+'15'!G22+'16'!G25+'17'!G22+'18'!G22+'19'!G22+'20'!G22+'22'!G22+'23'!G22+'21'!G22+'24'!G22+'25'!G22+'26'!G22+'27'!G22+'28'!G22+'29'!G22+'30'!G22+'31'!G22+'32'!G21+'33'!G22+'34'!G22+'35'!G22+'36'!G22+'37'!G22+7!G22</f>
        <v>201790</v>
      </c>
      <c r="F28" s="104">
        <f>1!H21+2!H22+3!H27+4!H22+5!H22+6!H22+8!H22+9!H22+'10'!H22+'11'!H22+'12'!H22+'13'!H22+'14'!H22+'15'!H22+'16'!H25+'17'!H22+'18'!H22+'19'!H22+'20'!H22+'22'!H22+'23'!H22+'21'!H22+'24'!H22+'25'!H22+'26'!H22+'27'!H22+'28'!H22+'29'!H22+'30'!H22+'31'!H22+'32'!H21+'33'!H22+'34'!H22+'35'!H22+'36'!H22+'37'!H22+7!H22</f>
        <v>200840</v>
      </c>
      <c r="G28" s="104">
        <f>1!I21+2!I22+3!I27+4!I22+5!I22+6!I22+8!I22+9!I22+'10'!I22+'11'!I22+'12'!I22+'13'!I22+'14'!I22+'15'!I22+'16'!I25+'17'!I22+'18'!I22+'19'!I22+'20'!I22+'22'!I22+'23'!I22+'21'!I22+'24'!I22+'25'!I22+'26'!I22+'27'!I22+'28'!I22+'29'!I22+'30'!I22+'31'!I22+'32'!I21+'33'!I22+'34'!I22+'35'!I22+'36'!I22+'37'!I22+7!I22</f>
        <v>185332</v>
      </c>
      <c r="H28" s="160">
        <f t="shared" si="0"/>
        <v>92.27843059151564</v>
      </c>
    </row>
    <row r="29" spans="2:8" ht="13.5" customHeight="1">
      <c r="B29" s="14"/>
      <c r="C29" s="37">
        <v>613600</v>
      </c>
      <c r="D29" s="98" t="s">
        <v>206</v>
      </c>
      <c r="E29" s="104">
        <f>1!G22+2!G23+3!G28+4!G23+5!G23+6!G23+8!G23+9!G23+'10'!G23+'11'!G23+'12'!G23+'13'!G23+'14'!G23+'15'!G23+'16'!G26+'17'!G23+'18'!G23+'19'!G23+'20'!G23+'22'!G23+'23'!G23+'21'!G23+'24'!G23+'25'!G23+'26'!G23+'27'!G23+'28'!G23+'29'!G23+'30'!G23+'31'!G23+'32'!G22+'33'!G23+'34'!G23+'35'!G23+'36'!G23+'37'!G23+7!G23</f>
        <v>37000</v>
      </c>
      <c r="F29" s="104">
        <f>1!H22+2!H23+3!H28+4!H23+5!H23+6!H23+8!H23+9!H23+'10'!H23+'11'!H23+'12'!H23+'13'!H23+'14'!H23+'15'!H23+'16'!H26+'17'!H23+'18'!H23+'19'!H23+'20'!H23+'22'!H23+'23'!H23+'21'!H23+'24'!H23+'25'!H23+'26'!H23+'27'!H23+'28'!H23+'29'!H23+'30'!H23+'31'!H23+'32'!H22+'33'!H23+'34'!H23+'35'!H23+'36'!H23+'37'!H23+7!H23</f>
        <v>37000</v>
      </c>
      <c r="G29" s="104">
        <f>1!I22+2!I23+3!I28+4!I23+5!I23+6!I23+8!I23+9!I23+'10'!I23+'11'!I23+'12'!I23+'13'!I23+'14'!I23+'15'!I23+'16'!I26+'17'!I23+'18'!I23+'19'!I23+'20'!I23+'22'!I23+'23'!I23+'21'!I23+'24'!I23+'25'!I23+'26'!I23+'27'!I23+'28'!I23+'29'!I23+'30'!I23+'31'!I23+'32'!I22+'33'!I23+'34'!I23+'35'!I23+'36'!I23+'37'!I23+7!I23</f>
        <v>36504</v>
      </c>
      <c r="H29" s="160">
        <f t="shared" si="0"/>
        <v>98.65945945945947</v>
      </c>
    </row>
    <row r="30" spans="2:8" ht="13.5" customHeight="1">
      <c r="B30" s="14"/>
      <c r="C30" s="37">
        <v>613700</v>
      </c>
      <c r="D30" s="19" t="s">
        <v>89</v>
      </c>
      <c r="E30" s="104">
        <f>SUM(E31:E32)</f>
        <v>516100</v>
      </c>
      <c r="F30" s="104">
        <f>SUM(F31:F32)</f>
        <v>516030</v>
      </c>
      <c r="G30" s="104">
        <f>SUM(G31:G32)</f>
        <v>499467</v>
      </c>
      <c r="H30" s="160">
        <f t="shared" si="0"/>
        <v>96.7903028893669</v>
      </c>
    </row>
    <row r="31" spans="2:8" ht="13.5" customHeight="1">
      <c r="B31" s="14"/>
      <c r="C31" s="368">
        <v>613700</v>
      </c>
      <c r="D31" s="355" t="s">
        <v>89</v>
      </c>
      <c r="E31" s="356">
        <f>1!G23+2!G24+3!G29+4!G24+5!G24+6!G24+8!G24+9!G24+'10'!G24+'11'!G24+'12'!G24+'13'!G24+'14'!G24+'15'!G24+'16'!G27+'17'!G24+'18'!G24+'19'!G24+'20'!G24+'22'!G24+'23'!G24+'21'!G24+'24'!G24+'25'!G24+'26'!G24+'27'!G24+'28'!G24+'29'!G24+'30'!G24+'31'!G24+'32'!G23+'33'!G24+'34'!G24+'35'!G24+'36'!G24+'37'!G24+7!G24</f>
        <v>316100</v>
      </c>
      <c r="F31" s="356">
        <f>1!H23+2!H24+3!H29+4!H24+5!H24+6!H24+8!H24+9!H24+'10'!H24+'11'!H24+'12'!H24+'13'!H24+'14'!H24+'15'!H24+'16'!H27+'17'!H24+'18'!H24+'19'!H24+'20'!H24+'22'!H24+'23'!H24+'21'!H24+'24'!H24+'25'!H24+'26'!H24+'27'!H24+'28'!H24+'29'!H24+'30'!H24+'31'!H24+'32'!H23+'33'!H24+'34'!H24+'35'!H24+'36'!H24+'37'!H24+7!H24</f>
        <v>316030</v>
      </c>
      <c r="G31" s="356">
        <f>1!I23+2!I24+3!I29+4!I24+5!I24+6!I24+8!I24+9!I24+'10'!I24+'11'!I24+'12'!I24+'13'!I24+'14'!I24+'15'!I24+'16'!I27+'17'!I24+'18'!I24+'19'!I24+'20'!I24+'22'!I24+'23'!I24+'21'!I24+'24'!I24+'25'!I24+'26'!I24+'27'!I24+'28'!I24+'29'!I24+'30'!I24+'31'!I24+'32'!I23+'33'!I24+'34'!I24+'35'!I24+'36'!I24+'37'!I24+7!I24</f>
        <v>299573</v>
      </c>
      <c r="H31" s="354">
        <f t="shared" si="0"/>
        <v>94.79258298262823</v>
      </c>
    </row>
    <row r="32" spans="2:8" ht="13.5" customHeight="1">
      <c r="B32" s="14"/>
      <c r="C32" s="368">
        <v>613700</v>
      </c>
      <c r="D32" s="355" t="s">
        <v>90</v>
      </c>
      <c r="E32" s="356">
        <f>'18'!G25</f>
        <v>200000</v>
      </c>
      <c r="F32" s="356">
        <f>'18'!H25</f>
        <v>200000</v>
      </c>
      <c r="G32" s="356">
        <f>'18'!I25</f>
        <v>199894</v>
      </c>
      <c r="H32" s="354">
        <f t="shared" si="0"/>
        <v>99.947</v>
      </c>
    </row>
    <row r="33" spans="2:8" ht="13.5" customHeight="1">
      <c r="B33" s="14"/>
      <c r="C33" s="37">
        <v>613800</v>
      </c>
      <c r="D33" s="98" t="s">
        <v>171</v>
      </c>
      <c r="E33" s="104">
        <f>SUM(E34:E35)</f>
        <v>47750</v>
      </c>
      <c r="F33" s="104">
        <f>SUM(F34:F35)</f>
        <v>47070</v>
      </c>
      <c r="G33" s="104">
        <f>SUM(G34:G35)</f>
        <v>38224</v>
      </c>
      <c r="H33" s="160">
        <f>IF(F33=0,"",G33/F33*100)</f>
        <v>81.20671340556618</v>
      </c>
    </row>
    <row r="34" spans="2:8" ht="13.5" customHeight="1">
      <c r="B34" s="14"/>
      <c r="C34" s="368">
        <v>613800</v>
      </c>
      <c r="D34" s="355" t="s">
        <v>171</v>
      </c>
      <c r="E34" s="356">
        <f>1!G24+2!G25+3!G30+4!G25+5!G25+6!G25+8!G25+9!G25+'10'!G25+'11'!G25+'12'!G25+'13'!G25+'14'!G25+'15'!G25+'16'!G28+'17'!G25+'18'!G26+'19'!G25+'20'!G25+'22'!G25+'23'!G25+'21'!G25+'24'!G25+'25'!G25+'26'!G25+'27'!G25+'28'!G25+'29'!G25+'30'!G25+'31'!G25+'32'!G24+'33'!G25+'34'!G25+'35'!G25+'36'!G25+'37'!G25+7!G25</f>
        <v>47750</v>
      </c>
      <c r="F34" s="356">
        <f>1!H24+2!H25+3!H30+4!H25+5!H25+6!H25+8!H25+9!H25+'10'!H25+'11'!H25+'12'!H25+'13'!H25+'14'!H25+'15'!H25+'16'!H28+'17'!H25+'18'!H26+'19'!H25+'20'!H25+'22'!H25+'23'!H25+'21'!H25+'24'!H25+'25'!H25+'26'!H25+'27'!H25+'28'!H25+'29'!H25+'30'!H25+'31'!H25+'32'!H24+'33'!H25+'34'!H25+'35'!H25+'36'!H25+'37'!H25+7!H25</f>
        <v>47070</v>
      </c>
      <c r="G34" s="356">
        <f>1!I24+2!I25+3!I30+4!I25+5!I25+6!I25+8!I25+9!I25+'10'!I25+'11'!I25+'12'!I25+'13'!I25+'14'!I25+'15'!I25+'16'!I28+'17'!I25+'18'!I26+'19'!I25+'20'!I25+'22'!I25+'23'!I25+'21'!I25+'24'!I25+'25'!I25+'26'!I25+'27'!I25+'28'!I25+'29'!I25+'30'!I25+'31'!I25+'32'!I24+'33'!I25+'34'!I25+'35'!I25+'36'!I25+'37'!I25+7!I25</f>
        <v>38224</v>
      </c>
      <c r="H34" s="354">
        <f t="shared" si="0"/>
        <v>81.20671340556618</v>
      </c>
    </row>
    <row r="35" spans="2:8" ht="13.5" customHeight="1">
      <c r="B35" s="14"/>
      <c r="C35" s="368">
        <v>613800</v>
      </c>
      <c r="D35" s="352" t="s">
        <v>191</v>
      </c>
      <c r="E35" s="353">
        <f>'20'!G26</f>
        <v>0</v>
      </c>
      <c r="F35" s="353">
        <f>'20'!H26</f>
        <v>0</v>
      </c>
      <c r="G35" s="353">
        <f>'20'!I26</f>
        <v>0</v>
      </c>
      <c r="H35" s="354">
        <f t="shared" si="0"/>
      </c>
    </row>
    <row r="36" spans="2:8" ht="13.5" customHeight="1">
      <c r="B36" s="14"/>
      <c r="C36" s="107">
        <v>613900</v>
      </c>
      <c r="D36" s="98" t="s">
        <v>172</v>
      </c>
      <c r="E36" s="108">
        <f>SUM(E37:E43)</f>
        <v>1849150</v>
      </c>
      <c r="F36" s="108">
        <f>SUM(F37:F43)</f>
        <v>1880570</v>
      </c>
      <c r="G36" s="108">
        <f>SUM(G37:G43)</f>
        <v>1763340</v>
      </c>
      <c r="H36" s="160">
        <f>IF(F36=0,"",G36/F36*100)</f>
        <v>93.7662517215525</v>
      </c>
    </row>
    <row r="37" spans="2:8" ht="13.5" customHeight="1">
      <c r="B37" s="14"/>
      <c r="C37" s="369">
        <v>613900</v>
      </c>
      <c r="D37" s="355" t="s">
        <v>172</v>
      </c>
      <c r="E37" s="357">
        <f>1!G25+2!G26+3!G31+4!G26+5!G26+6!G26+8!G26+9!G26+'10'!G26+'11'!G26+'12'!G26+'13'!G26+'14'!G26+'15'!G26+'16'!G29+'17'!G26+'18'!G27+'19'!G26+'20'!G27+'22'!G26+'23'!G26+'21'!G26+'24'!G26+'25'!G26+'26'!G26+'27'!G26+'28'!G26+'29'!G26+'30'!G26+'31'!G26+'32'!G25+'33'!G26+'34'!G26+'35'!G26+'36'!G26+'37'!G26+7!G26</f>
        <v>1429150</v>
      </c>
      <c r="F37" s="357">
        <f>1!H25+2!H26+3!H31+4!H26+5!H26+6!H26+8!H26+9!H26+'10'!H26+'11'!H26+'12'!H26+'13'!H26+'14'!H26+'15'!H26+'16'!H29+'17'!H26+'18'!H27+'19'!H26+'20'!H27+'22'!H26+'23'!H26+'21'!H26+'24'!H26+'25'!H26+'26'!H26+'27'!H26+'28'!H26+'29'!H26+'30'!H26+'31'!H26+'32'!H25+'33'!H26+'34'!H26+'35'!H26+'36'!H26+'37'!H26+7!H26</f>
        <v>1460820</v>
      </c>
      <c r="G37" s="357">
        <f>1!I25+2!I26+3!I31+4!I26+5!I26+6!I26+8!I26+9!I26+'10'!I26+'11'!I26+'12'!I26+'13'!I26+'14'!I26+'15'!I26+'16'!I29+'17'!I26+'18'!I27+'19'!I26+'20'!I27+'22'!I26+'23'!I26+'21'!I26+'24'!I26+'25'!I26+'26'!I26+'27'!I26+'28'!I26+'29'!I26+'30'!I26+'31'!I26+'32'!I25+'33'!I26+'34'!I26+'35'!I26+'36'!I26+'37'!I26+7!I26</f>
        <v>1402082</v>
      </c>
      <c r="H37" s="354">
        <f t="shared" si="0"/>
        <v>95.97910762448488</v>
      </c>
    </row>
    <row r="38" spans="2:8" ht="13.5" customHeight="1">
      <c r="B38" s="14"/>
      <c r="C38" s="368">
        <v>613900</v>
      </c>
      <c r="D38" s="352" t="s">
        <v>213</v>
      </c>
      <c r="E38" s="353">
        <f>3!G32</f>
        <v>29500</v>
      </c>
      <c r="F38" s="353">
        <f>3!H32</f>
        <v>30310</v>
      </c>
      <c r="G38" s="353">
        <f>3!I32</f>
        <v>30304</v>
      </c>
      <c r="H38" s="354">
        <f t="shared" si="0"/>
        <v>99.98020455295283</v>
      </c>
    </row>
    <row r="39" spans="2:8" ht="13.5" customHeight="1">
      <c r="B39" s="14"/>
      <c r="C39" s="368">
        <v>613900</v>
      </c>
      <c r="D39" s="352" t="s">
        <v>699</v>
      </c>
      <c r="E39" s="353">
        <f>'16'!G30</f>
        <v>73500</v>
      </c>
      <c r="F39" s="353">
        <f>'16'!H30</f>
        <v>73500</v>
      </c>
      <c r="G39" s="353">
        <f>'16'!I30</f>
        <v>65457</v>
      </c>
      <c r="H39" s="354">
        <f t="shared" si="0"/>
        <v>89.05714285714285</v>
      </c>
    </row>
    <row r="40" spans="2:8" ht="13.5" customHeight="1">
      <c r="B40" s="14"/>
      <c r="C40" s="368">
        <v>613900</v>
      </c>
      <c r="D40" s="352" t="s">
        <v>185</v>
      </c>
      <c r="E40" s="353">
        <f>'20'!G28</f>
        <v>66000</v>
      </c>
      <c r="F40" s="353">
        <f>'20'!H28</f>
        <v>66000</v>
      </c>
      <c r="G40" s="353">
        <f>'20'!I28</f>
        <v>65849</v>
      </c>
      <c r="H40" s="354">
        <f t="shared" si="0"/>
        <v>99.77121212121212</v>
      </c>
    </row>
    <row r="41" spans="2:8" ht="13.5" customHeight="1">
      <c r="B41" s="14"/>
      <c r="C41" s="368">
        <v>613900</v>
      </c>
      <c r="D41" s="352" t="s">
        <v>716</v>
      </c>
      <c r="E41" s="353">
        <f>1!G26+2!G27+3!G33+4!G27+5!G27+6!G27+8!G27+9!G27+'10'!G27+'11'!G27+'12'!G27+'13'!G27+'14'!G27+'15'!G27+'16'!G31+'17'!G27+'18'!G28+'19'!G27+'20'!G29+'22'!G27+'23'!G27+'21'!G27+'24'!G27+'25'!G27+'26'!G27+'27'!G27+'28'!G27+'29'!G27+'30'!G27+'31'!G27+'32'!G26+'33'!G27+'34'!G27+'35'!G27+'36'!G27+'37'!G27+7!G27</f>
        <v>186000</v>
      </c>
      <c r="F41" s="353">
        <f>1!H26+2!H27+3!H33+4!H27+5!H27+6!H27+8!H27+9!H27+'10'!H27+'11'!H27+'12'!H27+'13'!H27+'14'!H27+'15'!H27+'16'!H31+'17'!H27+'18'!H28+'19'!H27+'20'!H29+'22'!H27+'23'!H27+'21'!H27+'24'!H27+'25'!H27+'26'!H27+'27'!H27+'28'!H27+'29'!H27+'30'!H27+'31'!H27+'32'!H26+'33'!H27+'34'!H27+'35'!H27+'36'!H27+'37'!H27+7!H27</f>
        <v>182400</v>
      </c>
      <c r="G41" s="353">
        <f>1!I26+2!I27+3!I33+4!I27+5!I27+6!I27+8!I27+9!I27+'10'!I27+'11'!I27+'12'!I27+'13'!I27+'14'!I27+'15'!I27+'16'!I31+'17'!I27+'18'!I28+'19'!I27+'20'!I29+'22'!I27+'23'!I27+'21'!I27+'24'!I27+'25'!I27+'26'!I27+'27'!I27+'28'!I27+'29'!I27+'30'!I27+'31'!I27+'32'!I26+'33'!I27+'34'!I27+'35'!I27+'36'!I27+'37'!I27+7!I27</f>
        <v>182110</v>
      </c>
      <c r="H41" s="354">
        <f t="shared" si="0"/>
        <v>99.84100877192984</v>
      </c>
    </row>
    <row r="42" spans="2:8" ht="13.5" customHeight="1">
      <c r="B42" s="14"/>
      <c r="C42" s="368">
        <v>613900</v>
      </c>
      <c r="D42" s="352" t="s">
        <v>698</v>
      </c>
      <c r="E42" s="353">
        <f>'15'!G28</f>
        <v>50000</v>
      </c>
      <c r="F42" s="353">
        <f>'15'!H28</f>
        <v>50000</v>
      </c>
      <c r="G42" s="353">
        <f>'15'!I28</f>
        <v>0</v>
      </c>
      <c r="H42" s="354">
        <f>IF(F42=0,"",G42/F42*100)</f>
        <v>0</v>
      </c>
    </row>
    <row r="43" spans="2:8" ht="13.5" customHeight="1">
      <c r="B43" s="14"/>
      <c r="C43" s="368">
        <v>613900</v>
      </c>
      <c r="D43" s="352" t="s">
        <v>702</v>
      </c>
      <c r="E43" s="353">
        <f>'23'!G28</f>
        <v>15000</v>
      </c>
      <c r="F43" s="353">
        <f>'23'!H28</f>
        <v>17540</v>
      </c>
      <c r="G43" s="353">
        <f>'23'!I28</f>
        <v>17538</v>
      </c>
      <c r="H43" s="354">
        <f>IF(F43=0,"",G43/F43*100)</f>
        <v>99.98859749144812</v>
      </c>
    </row>
    <row r="44" spans="2:8" ht="13.5" customHeight="1">
      <c r="B44" s="14"/>
      <c r="C44" s="37"/>
      <c r="D44" s="15"/>
      <c r="E44" s="78"/>
      <c r="F44" s="78"/>
      <c r="G44" s="78"/>
      <c r="H44" s="160">
        <f t="shared" si="0"/>
      </c>
    </row>
    <row r="45" spans="2:10" ht="13.5" customHeight="1">
      <c r="B45" s="14"/>
      <c r="C45" s="8">
        <v>614000</v>
      </c>
      <c r="D45" s="12" t="s">
        <v>207</v>
      </c>
      <c r="E45" s="96">
        <f>E46+E57+E65+E75+E80</f>
        <v>9665000</v>
      </c>
      <c r="F45" s="96">
        <f>F46+F57+F65+F75+F80</f>
        <v>9665000</v>
      </c>
      <c r="G45" s="96">
        <f>G46+G57+G65+G75+G80</f>
        <v>9439310</v>
      </c>
      <c r="H45" s="155">
        <f t="shared" si="0"/>
        <v>97.66487325400931</v>
      </c>
      <c r="J45" s="127"/>
    </row>
    <row r="46" spans="2:10" s="86" customFormat="1" ht="13.5" customHeight="1">
      <c r="B46" s="87"/>
      <c r="C46" s="358">
        <v>614100</v>
      </c>
      <c r="D46" s="26" t="s">
        <v>710</v>
      </c>
      <c r="E46" s="104">
        <f>SUM(E47:E56)</f>
        <v>2210000</v>
      </c>
      <c r="F46" s="104">
        <f>SUM(F47:F56)</f>
        <v>2210000</v>
      </c>
      <c r="G46" s="104">
        <f>SUM(G47:G56)</f>
        <v>2150208</v>
      </c>
      <c r="H46" s="160">
        <f>IF(F46=0,"",G46/F46*100)</f>
        <v>97.29447963800905</v>
      </c>
      <c r="J46" s="162"/>
    </row>
    <row r="47" spans="2:10" s="86" customFormat="1" ht="13.5" customHeight="1">
      <c r="B47" s="87"/>
      <c r="C47" s="368">
        <v>614100</v>
      </c>
      <c r="D47" s="352" t="s">
        <v>327</v>
      </c>
      <c r="E47" s="356">
        <f>3!G36</f>
        <v>200000</v>
      </c>
      <c r="F47" s="356">
        <f>3!H36</f>
        <v>200000</v>
      </c>
      <c r="G47" s="356">
        <f>3!I36</f>
        <v>200000</v>
      </c>
      <c r="H47" s="354">
        <f t="shared" si="0"/>
        <v>100</v>
      </c>
      <c r="J47" s="162"/>
    </row>
    <row r="48" spans="2:8" s="86" customFormat="1" ht="13.5" customHeight="1">
      <c r="B48" s="87"/>
      <c r="C48" s="368">
        <v>614100</v>
      </c>
      <c r="D48" s="355" t="s">
        <v>328</v>
      </c>
      <c r="E48" s="356">
        <f>3!G37</f>
        <v>200000</v>
      </c>
      <c r="F48" s="356">
        <f>3!H37</f>
        <v>200000</v>
      </c>
      <c r="G48" s="356">
        <f>3!I37</f>
        <v>200000</v>
      </c>
      <c r="H48" s="354">
        <f t="shared" si="0"/>
        <v>100</v>
      </c>
    </row>
    <row r="49" spans="2:8" s="1" customFormat="1" ht="13.5" customHeight="1">
      <c r="B49" s="17"/>
      <c r="C49" s="368">
        <v>614100</v>
      </c>
      <c r="D49" s="359" t="s">
        <v>333</v>
      </c>
      <c r="E49" s="353">
        <f>'16'!G34</f>
        <v>270000</v>
      </c>
      <c r="F49" s="353">
        <f>'16'!H34</f>
        <v>270000</v>
      </c>
      <c r="G49" s="353">
        <f>'16'!I34</f>
        <v>270000</v>
      </c>
      <c r="H49" s="354">
        <f t="shared" si="0"/>
        <v>100</v>
      </c>
    </row>
    <row r="50" spans="2:8" s="1" customFormat="1" ht="13.5" customHeight="1">
      <c r="B50" s="17"/>
      <c r="C50" s="370">
        <v>614100</v>
      </c>
      <c r="D50" s="352" t="s">
        <v>220</v>
      </c>
      <c r="E50" s="353">
        <f>'17'!G30</f>
        <v>430000</v>
      </c>
      <c r="F50" s="353">
        <f>'17'!H30</f>
        <v>430000</v>
      </c>
      <c r="G50" s="353">
        <f>'17'!I30</f>
        <v>430000</v>
      </c>
      <c r="H50" s="354">
        <f t="shared" si="0"/>
        <v>100</v>
      </c>
    </row>
    <row r="51" spans="2:8" s="1" customFormat="1" ht="13.5" customHeight="1">
      <c r="B51" s="17"/>
      <c r="C51" s="368">
        <v>614100</v>
      </c>
      <c r="D51" s="360" t="s">
        <v>181</v>
      </c>
      <c r="E51" s="353">
        <f>'18'!G31</f>
        <v>160000</v>
      </c>
      <c r="F51" s="353">
        <f>'18'!H31</f>
        <v>160000</v>
      </c>
      <c r="G51" s="353">
        <f>'18'!I31</f>
        <v>158780</v>
      </c>
      <c r="H51" s="354">
        <f t="shared" si="0"/>
        <v>99.2375</v>
      </c>
    </row>
    <row r="52" spans="2:8" s="1" customFormat="1" ht="13.5" customHeight="1">
      <c r="B52" s="17"/>
      <c r="C52" s="368">
        <v>614100</v>
      </c>
      <c r="D52" s="360" t="s">
        <v>223</v>
      </c>
      <c r="E52" s="353">
        <f>'18'!G32</f>
        <v>0</v>
      </c>
      <c r="F52" s="353">
        <f>'18'!H32</f>
        <v>0</v>
      </c>
      <c r="G52" s="353">
        <f>'18'!I32</f>
        <v>0</v>
      </c>
      <c r="H52" s="354">
        <f t="shared" si="0"/>
      </c>
    </row>
    <row r="53" spans="2:8" s="1" customFormat="1" ht="13.5" customHeight="1">
      <c r="B53" s="17"/>
      <c r="C53" s="368">
        <v>614100</v>
      </c>
      <c r="D53" s="355" t="s">
        <v>166</v>
      </c>
      <c r="E53" s="353">
        <f>'19'!G30</f>
        <v>180000</v>
      </c>
      <c r="F53" s="353">
        <f>'19'!H30</f>
        <v>180000</v>
      </c>
      <c r="G53" s="353">
        <f>'19'!I30</f>
        <v>131478</v>
      </c>
      <c r="H53" s="354">
        <f t="shared" si="0"/>
        <v>73.04333333333334</v>
      </c>
    </row>
    <row r="54" spans="2:8" s="1" customFormat="1" ht="26.25" customHeight="1">
      <c r="B54" s="17"/>
      <c r="C54" s="370">
        <v>614100</v>
      </c>
      <c r="D54" s="361" t="s">
        <v>718</v>
      </c>
      <c r="E54" s="353">
        <f>'20'!G32</f>
        <v>150000</v>
      </c>
      <c r="F54" s="353">
        <f>'20'!H32</f>
        <v>150000</v>
      </c>
      <c r="G54" s="353">
        <f>'20'!I32</f>
        <v>140050</v>
      </c>
      <c r="H54" s="354">
        <f t="shared" si="0"/>
        <v>93.36666666666666</v>
      </c>
    </row>
    <row r="55" spans="2:8" s="1" customFormat="1" ht="13.5" customHeight="1">
      <c r="B55" s="17"/>
      <c r="C55" s="371" t="s">
        <v>110</v>
      </c>
      <c r="D55" s="362" t="s">
        <v>102</v>
      </c>
      <c r="E55" s="356">
        <f>'20'!G33</f>
        <v>320000</v>
      </c>
      <c r="F55" s="356">
        <f>'20'!H33</f>
        <v>320000</v>
      </c>
      <c r="G55" s="356">
        <f>'20'!I33</f>
        <v>319900</v>
      </c>
      <c r="H55" s="354">
        <f t="shared" si="0"/>
        <v>99.96875</v>
      </c>
    </row>
    <row r="56" spans="2:8" s="1" customFormat="1" ht="13.5" customHeight="1">
      <c r="B56" s="17"/>
      <c r="C56" s="371" t="s">
        <v>110</v>
      </c>
      <c r="D56" s="362" t="s">
        <v>475</v>
      </c>
      <c r="E56" s="356">
        <f>'20'!G34</f>
        <v>300000</v>
      </c>
      <c r="F56" s="356">
        <f>'20'!H34</f>
        <v>300000</v>
      </c>
      <c r="G56" s="356">
        <f>'20'!I34</f>
        <v>300000</v>
      </c>
      <c r="H56" s="354">
        <f t="shared" si="0"/>
        <v>100</v>
      </c>
    </row>
    <row r="57" spans="2:8" s="1" customFormat="1" ht="12.75" customHeight="1">
      <c r="B57" s="17"/>
      <c r="C57" s="109" t="s">
        <v>108</v>
      </c>
      <c r="D57" s="363" t="s">
        <v>711</v>
      </c>
      <c r="E57" s="104">
        <f>SUM(E58:E64)</f>
        <v>4175000</v>
      </c>
      <c r="F57" s="104">
        <f>SUM(F58:F64)</f>
        <v>4175000</v>
      </c>
      <c r="G57" s="104">
        <f>SUM(G58:G64)</f>
        <v>4164933</v>
      </c>
      <c r="H57" s="160">
        <f>IF(F57=0,"",G57/F57*100)</f>
        <v>99.758874251497</v>
      </c>
    </row>
    <row r="58" spans="2:8" s="1" customFormat="1" ht="12.75" customHeight="1">
      <c r="B58" s="17"/>
      <c r="C58" s="371" t="s">
        <v>108</v>
      </c>
      <c r="D58" s="364" t="s">
        <v>331</v>
      </c>
      <c r="E58" s="356">
        <f>3!G38</f>
        <v>100000</v>
      </c>
      <c r="F58" s="356">
        <f>3!H38</f>
        <v>100000</v>
      </c>
      <c r="G58" s="356">
        <f>3!I38</f>
        <v>99960</v>
      </c>
      <c r="H58" s="354">
        <f t="shared" si="0"/>
        <v>99.96000000000001</v>
      </c>
    </row>
    <row r="59" spans="2:8" s="1" customFormat="1" ht="13.5" customHeight="1">
      <c r="B59" s="17"/>
      <c r="C59" s="370">
        <v>614200</v>
      </c>
      <c r="D59" s="359" t="s">
        <v>101</v>
      </c>
      <c r="E59" s="353">
        <f>4!G30</f>
        <v>15000</v>
      </c>
      <c r="F59" s="353">
        <f>4!H30</f>
        <v>15000</v>
      </c>
      <c r="G59" s="353">
        <f>4!I30</f>
        <v>15000</v>
      </c>
      <c r="H59" s="354">
        <f t="shared" si="0"/>
        <v>100</v>
      </c>
    </row>
    <row r="60" spans="2:8" s="1" customFormat="1" ht="13.5" customHeight="1">
      <c r="B60" s="17"/>
      <c r="C60" s="370" t="s">
        <v>108</v>
      </c>
      <c r="D60" s="352" t="s">
        <v>107</v>
      </c>
      <c r="E60" s="353">
        <f>'17'!G31</f>
        <v>2700000</v>
      </c>
      <c r="F60" s="353">
        <f>'17'!H31</f>
        <v>2700000</v>
      </c>
      <c r="G60" s="353">
        <f>'17'!I31</f>
        <v>2699917</v>
      </c>
      <c r="H60" s="354">
        <f t="shared" si="0"/>
        <v>99.99692592592592</v>
      </c>
    </row>
    <row r="61" spans="2:8" s="1" customFormat="1" ht="13.5" customHeight="1">
      <c r="B61" s="17"/>
      <c r="C61" s="370" t="s">
        <v>108</v>
      </c>
      <c r="D61" s="359" t="s">
        <v>115</v>
      </c>
      <c r="E61" s="353">
        <f>'20'!G35</f>
        <v>120000</v>
      </c>
      <c r="F61" s="353">
        <f>'20'!H35</f>
        <v>120000</v>
      </c>
      <c r="G61" s="353">
        <f>'20'!I35</f>
        <v>111900</v>
      </c>
      <c r="H61" s="354">
        <f t="shared" si="0"/>
        <v>93.25</v>
      </c>
    </row>
    <row r="62" spans="2:8" s="1" customFormat="1" ht="26.25" customHeight="1">
      <c r="B62" s="17"/>
      <c r="C62" s="370" t="s">
        <v>108</v>
      </c>
      <c r="D62" s="365" t="s">
        <v>322</v>
      </c>
      <c r="E62" s="353">
        <f>'20'!G36</f>
        <v>10000</v>
      </c>
      <c r="F62" s="353">
        <f>'20'!H36</f>
        <v>10000</v>
      </c>
      <c r="G62" s="353">
        <f>'20'!I36</f>
        <v>10000</v>
      </c>
      <c r="H62" s="354">
        <f t="shared" si="0"/>
        <v>100</v>
      </c>
    </row>
    <row r="63" spans="2:8" s="1" customFormat="1" ht="13.5" customHeight="1">
      <c r="B63" s="17"/>
      <c r="C63" s="370">
        <v>614200</v>
      </c>
      <c r="D63" s="359" t="s">
        <v>118</v>
      </c>
      <c r="E63" s="353">
        <f>'31'!G30</f>
        <v>1000000</v>
      </c>
      <c r="F63" s="353">
        <f>'31'!H30</f>
        <v>1000000</v>
      </c>
      <c r="G63" s="353">
        <f>'31'!I30</f>
        <v>999399</v>
      </c>
      <c r="H63" s="354">
        <f t="shared" si="0"/>
        <v>99.93990000000001</v>
      </c>
    </row>
    <row r="64" spans="2:8" s="1" customFormat="1" ht="13.5" customHeight="1">
      <c r="B64" s="17"/>
      <c r="C64" s="370" t="s">
        <v>108</v>
      </c>
      <c r="D64" s="352" t="s">
        <v>119</v>
      </c>
      <c r="E64" s="353">
        <f>'33'!G30</f>
        <v>230000</v>
      </c>
      <c r="F64" s="353">
        <f>'33'!H30</f>
        <v>230000</v>
      </c>
      <c r="G64" s="353">
        <f>'33'!I30</f>
        <v>228757</v>
      </c>
      <c r="H64" s="354">
        <f t="shared" si="0"/>
        <v>99.4595652173913</v>
      </c>
    </row>
    <row r="65" spans="2:8" s="1" customFormat="1" ht="13.5" customHeight="1">
      <c r="B65" s="17"/>
      <c r="C65" s="33" t="s">
        <v>109</v>
      </c>
      <c r="D65" s="366" t="s">
        <v>712</v>
      </c>
      <c r="E65" s="45">
        <f>SUM(E66:E74)</f>
        <v>585000</v>
      </c>
      <c r="F65" s="45">
        <f>SUM(F66:F74)</f>
        <v>585000</v>
      </c>
      <c r="G65" s="45">
        <f>SUM(G66:G74)</f>
        <v>585000</v>
      </c>
      <c r="H65" s="160">
        <f>IF(F65=0,"",G65/F65*100)</f>
        <v>100</v>
      </c>
    </row>
    <row r="66" spans="2:8" s="1" customFormat="1" ht="13.5" customHeight="1">
      <c r="B66" s="17"/>
      <c r="C66" s="370" t="s">
        <v>109</v>
      </c>
      <c r="D66" s="359" t="s">
        <v>98</v>
      </c>
      <c r="E66" s="353">
        <f>3!G45</f>
        <v>160000</v>
      </c>
      <c r="F66" s="353">
        <f>3!H45</f>
        <v>160000</v>
      </c>
      <c r="G66" s="353">
        <f>3!I45</f>
        <v>160000</v>
      </c>
      <c r="H66" s="354">
        <f t="shared" si="0"/>
        <v>100</v>
      </c>
    </row>
    <row r="67" spans="2:8" s="1" customFormat="1" ht="13.5" customHeight="1">
      <c r="B67" s="17"/>
      <c r="C67" s="370" t="s">
        <v>109</v>
      </c>
      <c r="D67" s="355" t="s">
        <v>111</v>
      </c>
      <c r="E67" s="353">
        <f>3!G39</f>
        <v>70000</v>
      </c>
      <c r="F67" s="353">
        <f>3!H39</f>
        <v>70000</v>
      </c>
      <c r="G67" s="353">
        <f>3!I39</f>
        <v>70000</v>
      </c>
      <c r="H67" s="354">
        <f t="shared" si="0"/>
        <v>100</v>
      </c>
    </row>
    <row r="68" spans="2:8" ht="12" customHeight="1">
      <c r="B68" s="14"/>
      <c r="C68" s="370" t="s">
        <v>109</v>
      </c>
      <c r="D68" s="355" t="s">
        <v>227</v>
      </c>
      <c r="E68" s="356">
        <f>3!G40</f>
        <v>35000</v>
      </c>
      <c r="F68" s="356">
        <f>3!H40</f>
        <v>35000</v>
      </c>
      <c r="G68" s="356">
        <f>3!I40</f>
        <v>35000</v>
      </c>
      <c r="H68" s="354">
        <f t="shared" si="0"/>
        <v>100</v>
      </c>
    </row>
    <row r="69" spans="2:8" s="1" customFormat="1" ht="12" customHeight="1">
      <c r="B69" s="17"/>
      <c r="C69" s="371" t="s">
        <v>109</v>
      </c>
      <c r="D69" s="355" t="s">
        <v>313</v>
      </c>
      <c r="E69" s="356">
        <f>3!G41</f>
        <v>25000</v>
      </c>
      <c r="F69" s="356">
        <f>3!H41</f>
        <v>25000</v>
      </c>
      <c r="G69" s="356">
        <f>3!I41</f>
        <v>25000</v>
      </c>
      <c r="H69" s="354">
        <f t="shared" si="0"/>
        <v>100</v>
      </c>
    </row>
    <row r="70" spans="2:8" s="1" customFormat="1" ht="12" customHeight="1">
      <c r="B70" s="28"/>
      <c r="C70" s="371" t="s">
        <v>109</v>
      </c>
      <c r="D70" s="355" t="s">
        <v>323</v>
      </c>
      <c r="E70" s="356">
        <f>3!G42</f>
        <v>25000</v>
      </c>
      <c r="F70" s="356">
        <f>3!H42</f>
        <v>25000</v>
      </c>
      <c r="G70" s="356">
        <f>3!I42</f>
        <v>25000</v>
      </c>
      <c r="H70" s="354">
        <f t="shared" si="0"/>
        <v>100</v>
      </c>
    </row>
    <row r="71" spans="2:8" s="1" customFormat="1" ht="12" customHeight="1">
      <c r="B71" s="28"/>
      <c r="C71" s="371" t="s">
        <v>109</v>
      </c>
      <c r="D71" s="355" t="s">
        <v>611</v>
      </c>
      <c r="E71" s="356">
        <f>3!G43</f>
        <v>10000</v>
      </c>
      <c r="F71" s="356">
        <f>3!H43</f>
        <v>10000</v>
      </c>
      <c r="G71" s="356">
        <f>3!I43</f>
        <v>10000</v>
      </c>
      <c r="H71" s="354">
        <f t="shared" si="0"/>
        <v>100</v>
      </c>
    </row>
    <row r="72" spans="2:8" s="1" customFormat="1" ht="12" customHeight="1">
      <c r="B72" s="28"/>
      <c r="C72" s="371" t="s">
        <v>109</v>
      </c>
      <c r="D72" s="355" t="s">
        <v>229</v>
      </c>
      <c r="E72" s="356">
        <f>3!G44</f>
        <v>30000</v>
      </c>
      <c r="F72" s="356">
        <f>3!H44</f>
        <v>30000</v>
      </c>
      <c r="G72" s="356">
        <f>3!I44</f>
        <v>30000</v>
      </c>
      <c r="H72" s="354">
        <f t="shared" si="0"/>
        <v>100</v>
      </c>
    </row>
    <row r="73" spans="2:8" ht="12" customHeight="1" thickBot="1">
      <c r="B73" s="21"/>
      <c r="C73" s="371" t="s">
        <v>109</v>
      </c>
      <c r="D73" s="362" t="s">
        <v>103</v>
      </c>
      <c r="E73" s="356">
        <f>'20'!G37</f>
        <v>30000</v>
      </c>
      <c r="F73" s="356">
        <f>'20'!H37</f>
        <v>30000</v>
      </c>
      <c r="G73" s="356">
        <f>'20'!I37</f>
        <v>30000</v>
      </c>
      <c r="H73" s="354">
        <f t="shared" si="0"/>
        <v>100</v>
      </c>
    </row>
    <row r="74" spans="3:8" ht="12" customHeight="1">
      <c r="C74" s="371" t="s">
        <v>109</v>
      </c>
      <c r="D74" s="362" t="s">
        <v>104</v>
      </c>
      <c r="E74" s="356">
        <f>'20'!G38</f>
        <v>200000</v>
      </c>
      <c r="F74" s="356">
        <f>'20'!H38</f>
        <v>200000</v>
      </c>
      <c r="G74" s="356">
        <f>'20'!I38</f>
        <v>200000</v>
      </c>
      <c r="H74" s="354">
        <f t="shared" si="0"/>
        <v>100</v>
      </c>
    </row>
    <row r="75" spans="3:8" ht="12" customHeight="1">
      <c r="C75" s="109" t="s">
        <v>211</v>
      </c>
      <c r="D75" s="367" t="s">
        <v>713</v>
      </c>
      <c r="E75" s="78">
        <f>SUM(E76:E79)</f>
        <v>2615000</v>
      </c>
      <c r="F75" s="78">
        <f>SUM(F76:F79)</f>
        <v>2615000</v>
      </c>
      <c r="G75" s="78">
        <f>SUM(G76:G79)</f>
        <v>2459601</v>
      </c>
      <c r="H75" s="160">
        <f>IF(F75=0,"",G75/F75*100)</f>
        <v>94.05739961759082</v>
      </c>
    </row>
    <row r="76" spans="3:8" ht="12" customHeight="1">
      <c r="C76" s="371" t="s">
        <v>211</v>
      </c>
      <c r="D76" s="362" t="s">
        <v>117</v>
      </c>
      <c r="E76" s="356">
        <f>'15'!G31</f>
        <v>900000</v>
      </c>
      <c r="F76" s="356">
        <f>'15'!H31</f>
        <v>900000</v>
      </c>
      <c r="G76" s="356">
        <f>'15'!I31</f>
        <v>897163</v>
      </c>
      <c r="H76" s="354">
        <f t="shared" si="0"/>
        <v>99.68477777777778</v>
      </c>
    </row>
    <row r="77" spans="3:8" ht="12" customHeight="1">
      <c r="C77" s="370" t="s">
        <v>211</v>
      </c>
      <c r="D77" s="359" t="s">
        <v>472</v>
      </c>
      <c r="E77" s="353">
        <f>'19'!G31</f>
        <v>900000</v>
      </c>
      <c r="F77" s="353">
        <f>'19'!H31</f>
        <v>900000</v>
      </c>
      <c r="G77" s="353">
        <f>'19'!I31</f>
        <v>899778</v>
      </c>
      <c r="H77" s="354">
        <f t="shared" si="0"/>
        <v>99.97533333333334</v>
      </c>
    </row>
    <row r="78" spans="3:8" ht="12" customHeight="1">
      <c r="C78" s="370" t="s">
        <v>211</v>
      </c>
      <c r="D78" s="359" t="s">
        <v>473</v>
      </c>
      <c r="E78" s="353">
        <f>'19'!G32</f>
        <v>400000</v>
      </c>
      <c r="F78" s="353">
        <f>'19'!H32</f>
        <v>400000</v>
      </c>
      <c r="G78" s="353">
        <f>'19'!I32</f>
        <v>381908</v>
      </c>
      <c r="H78" s="354">
        <f t="shared" si="0"/>
        <v>95.477</v>
      </c>
    </row>
    <row r="79" spans="3:8" ht="12" customHeight="1">
      <c r="C79" s="370" t="s">
        <v>211</v>
      </c>
      <c r="D79" s="359" t="s">
        <v>474</v>
      </c>
      <c r="E79" s="353">
        <f>'19'!G33</f>
        <v>415000</v>
      </c>
      <c r="F79" s="353">
        <f>'19'!H33</f>
        <v>415000</v>
      </c>
      <c r="G79" s="353">
        <f>'19'!I33</f>
        <v>280752</v>
      </c>
      <c r="H79" s="354">
        <f t="shared" si="0"/>
        <v>67.6510843373494</v>
      </c>
    </row>
    <row r="80" spans="3:8" ht="12" customHeight="1">
      <c r="C80" s="33">
        <v>614800</v>
      </c>
      <c r="D80" s="366" t="s">
        <v>714</v>
      </c>
      <c r="E80" s="44">
        <f>SUM(E81:E82)</f>
        <v>80000</v>
      </c>
      <c r="F80" s="44">
        <f>SUM(F81:F82)</f>
        <v>80000</v>
      </c>
      <c r="G80" s="44">
        <f>SUM(G81:G82)</f>
        <v>79568</v>
      </c>
      <c r="H80" s="160">
        <f>IF(F80=0,"",G80/F80*100)</f>
        <v>99.46000000000001</v>
      </c>
    </row>
    <row r="81" spans="3:8" ht="12" customHeight="1">
      <c r="C81" s="370">
        <v>614800</v>
      </c>
      <c r="D81" s="359" t="s">
        <v>114</v>
      </c>
      <c r="E81" s="353">
        <f>'16'!G35</f>
        <v>50600</v>
      </c>
      <c r="F81" s="353">
        <f>'16'!H35</f>
        <v>50920</v>
      </c>
      <c r="G81" s="353">
        <f>'16'!I35</f>
        <v>50592</v>
      </c>
      <c r="H81" s="354">
        <f t="shared" si="0"/>
        <v>99.35585231736056</v>
      </c>
    </row>
    <row r="82" spans="3:8" ht="12" customHeight="1">
      <c r="C82" s="370">
        <v>614800</v>
      </c>
      <c r="D82" s="359" t="s">
        <v>610</v>
      </c>
      <c r="E82" s="353">
        <f>'16'!G36</f>
        <v>29400</v>
      </c>
      <c r="F82" s="353">
        <f>'16'!H36</f>
        <v>29080</v>
      </c>
      <c r="G82" s="353">
        <f>'16'!I36</f>
        <v>28976</v>
      </c>
      <c r="H82" s="354">
        <f t="shared" si="0"/>
        <v>99.6423658872077</v>
      </c>
    </row>
    <row r="83" spans="3:8" ht="12" customHeight="1">
      <c r="C83" s="17"/>
      <c r="D83" s="12"/>
      <c r="E83" s="20"/>
      <c r="F83" s="20"/>
      <c r="G83" s="20"/>
      <c r="H83" s="160">
        <f t="shared" si="0"/>
      </c>
    </row>
    <row r="84" spans="3:8" ht="12" customHeight="1">
      <c r="C84" s="14"/>
      <c r="D84" s="15"/>
      <c r="E84" s="44"/>
      <c r="F84" s="44"/>
      <c r="G84" s="44"/>
      <c r="H84" s="160">
        <f aca="true" t="shared" si="1" ref="H84:H109">IF(F84=0,"",G84/F84*100)</f>
      </c>
    </row>
    <row r="85" spans="3:8" ht="12" customHeight="1">
      <c r="C85" s="40">
        <v>615000</v>
      </c>
      <c r="D85" s="34" t="s">
        <v>91</v>
      </c>
      <c r="E85" s="20">
        <f>SUM(E86:E87)</f>
        <v>400000</v>
      </c>
      <c r="F85" s="20">
        <f>SUM(F86:F87)</f>
        <v>400000</v>
      </c>
      <c r="G85" s="20">
        <f>SUM(G86:G87)</f>
        <v>400000</v>
      </c>
      <c r="H85" s="155">
        <f t="shared" si="1"/>
        <v>100</v>
      </c>
    </row>
    <row r="86" spans="3:8" ht="12" customHeight="1">
      <c r="C86" s="76" t="s">
        <v>214</v>
      </c>
      <c r="D86" s="66" t="s">
        <v>91</v>
      </c>
      <c r="E86" s="45">
        <f>3!G48+'20'!G41</f>
        <v>400000</v>
      </c>
      <c r="F86" s="45">
        <f>3!H48+'20'!H41</f>
        <v>400000</v>
      </c>
      <c r="G86" s="45">
        <f>3!I48+'20'!I41</f>
        <v>400000</v>
      </c>
      <c r="H86" s="160">
        <f t="shared" si="1"/>
        <v>100</v>
      </c>
    </row>
    <row r="87" spans="3:8" ht="12" customHeight="1">
      <c r="C87" s="39"/>
      <c r="D87" s="30"/>
      <c r="E87" s="45"/>
      <c r="F87" s="45"/>
      <c r="G87" s="45"/>
      <c r="H87" s="160">
        <f t="shared" si="1"/>
      </c>
    </row>
    <row r="88" spans="3:8" ht="12" customHeight="1">
      <c r="C88" s="38"/>
      <c r="D88" s="30"/>
      <c r="E88" s="45"/>
      <c r="F88" s="45"/>
      <c r="G88" s="45"/>
      <c r="H88" s="160">
        <f t="shared" si="1"/>
      </c>
    </row>
    <row r="89" spans="3:8" ht="12" customHeight="1">
      <c r="C89" s="10" t="s">
        <v>105</v>
      </c>
      <c r="D89" s="34" t="s">
        <v>208</v>
      </c>
      <c r="E89" s="20">
        <f>SUM(E90:E93)</f>
        <v>80230</v>
      </c>
      <c r="F89" s="20">
        <f>SUM(F90:F93)</f>
        <v>80230</v>
      </c>
      <c r="G89" s="20">
        <f>SUM(G90:G93)</f>
        <v>77248</v>
      </c>
      <c r="H89" s="155">
        <f t="shared" si="1"/>
        <v>96.28318584070796</v>
      </c>
    </row>
    <row r="90" spans="3:8" ht="12" customHeight="1">
      <c r="C90" s="37">
        <v>616300</v>
      </c>
      <c r="D90" s="66" t="s">
        <v>199</v>
      </c>
      <c r="E90" s="45">
        <f>'20'!G44</f>
        <v>9330</v>
      </c>
      <c r="F90" s="45">
        <f>'20'!H44</f>
        <v>9330</v>
      </c>
      <c r="G90" s="45">
        <f>'20'!I44</f>
        <v>9325</v>
      </c>
      <c r="H90" s="160">
        <f t="shared" si="1"/>
        <v>99.94640943193997</v>
      </c>
    </row>
    <row r="91" spans="3:8" ht="12" customHeight="1">
      <c r="C91" s="37">
        <v>616300</v>
      </c>
      <c r="D91" s="66" t="s">
        <v>326</v>
      </c>
      <c r="E91" s="45">
        <f>'16'!G39</f>
        <v>7400</v>
      </c>
      <c r="F91" s="45">
        <f>'16'!H39</f>
        <v>7400</v>
      </c>
      <c r="G91" s="45">
        <f>'16'!I39</f>
        <v>6622</v>
      </c>
      <c r="H91" s="160">
        <f t="shared" si="1"/>
        <v>89.48648648648648</v>
      </c>
    </row>
    <row r="92" spans="3:8" ht="12" customHeight="1">
      <c r="C92" s="37">
        <v>616300</v>
      </c>
      <c r="D92" s="66" t="s">
        <v>217</v>
      </c>
      <c r="E92" s="45">
        <f>'16'!G40</f>
        <v>22900</v>
      </c>
      <c r="F92" s="45">
        <f>'16'!H40</f>
        <v>22900</v>
      </c>
      <c r="G92" s="45">
        <f>'16'!I40</f>
        <v>22861</v>
      </c>
      <c r="H92" s="160">
        <f t="shared" si="1"/>
        <v>99.8296943231441</v>
      </c>
    </row>
    <row r="93" spans="3:8" ht="12" customHeight="1">
      <c r="C93" s="37">
        <v>616300</v>
      </c>
      <c r="D93" s="66" t="s">
        <v>222</v>
      </c>
      <c r="E93" s="45">
        <f>'16'!G41</f>
        <v>40600</v>
      </c>
      <c r="F93" s="45">
        <f>'16'!H41</f>
        <v>40600</v>
      </c>
      <c r="G93" s="45">
        <f>'16'!I41</f>
        <v>38440</v>
      </c>
      <c r="H93" s="160">
        <f t="shared" si="1"/>
        <v>94.67980295566502</v>
      </c>
    </row>
    <row r="94" spans="3:8" ht="12" customHeight="1">
      <c r="C94" s="37"/>
      <c r="D94" s="66"/>
      <c r="E94" s="45"/>
      <c r="F94" s="45"/>
      <c r="G94" s="45"/>
      <c r="H94" s="160">
        <f t="shared" si="1"/>
      </c>
    </row>
    <row r="95" spans="3:8" ht="12" customHeight="1">
      <c r="C95" s="37"/>
      <c r="D95" s="15"/>
      <c r="E95" s="44"/>
      <c r="F95" s="44"/>
      <c r="G95" s="44"/>
      <c r="H95" s="160">
        <f t="shared" si="1"/>
      </c>
    </row>
    <row r="96" spans="3:8" ht="12" customHeight="1">
      <c r="C96" s="8">
        <v>821000</v>
      </c>
      <c r="D96" s="12" t="s">
        <v>92</v>
      </c>
      <c r="E96" s="20">
        <f>SUM(E97:E100)</f>
        <v>1988650</v>
      </c>
      <c r="F96" s="20">
        <f>SUM(F97:F100)</f>
        <v>1988650</v>
      </c>
      <c r="G96" s="20">
        <f>SUM(G97:G100)</f>
        <v>1977019</v>
      </c>
      <c r="H96" s="155">
        <f t="shared" si="1"/>
        <v>99.41513086767405</v>
      </c>
    </row>
    <row r="97" spans="3:8" ht="12" customHeight="1">
      <c r="C97" s="107">
        <v>821200</v>
      </c>
      <c r="D97" s="19" t="s">
        <v>93</v>
      </c>
      <c r="E97" s="104">
        <f>1!G37+2!G37+3!G51+4!G38+5!G37+6!G37+7!G37+8!G37+9!G37+'10'!G37+'11'!G37+'12'!G37+'13'!G37+'14'!G37+'15'!G34+'16'!G44+'17'!G35+'18'!G38+'19'!G36+'20'!G47+'21'!G37+'22'!G37+'23'!G38+'24'!G37+'25'!G37+'26'!G37+'27'!G37+'28'!G37+'29'!G37+'30'!G37+'31'!G34+'32'!G36+'33'!G35+'34'!G37+'35'!G37+'36'!G37+'37'!G37</f>
        <v>295520</v>
      </c>
      <c r="F97" s="104">
        <f>1!H37+2!H37+3!H51+4!H38+5!H37+6!H37+7!H37+8!H37+9!H37+'10'!H37+'11'!H37+'12'!H37+'13'!H37+'14'!H37+'15'!H34+'16'!H44+'17'!H35+'18'!H38+'19'!H36+'20'!H47+'21'!H37+'22'!H37+'23'!H38+'24'!H37+'25'!H37+'26'!H37+'27'!H37+'28'!H37+'29'!H37+'30'!H37+'31'!H34+'32'!H36+'33'!H35+'34'!H37+'35'!H37+'36'!H37+'37'!H37</f>
        <v>286110</v>
      </c>
      <c r="G97" s="104">
        <f>1!I37+2!I37+3!I51+4!I38+5!I37+6!I37+7!I37+8!I37+9!I37+'10'!I37+'11'!I37+'12'!I37+'13'!I37+'14'!I37+'15'!I34+'16'!I44+'17'!I35+'18'!I38+'19'!I36+'20'!I47+'21'!I37+'22'!I37+'23'!I38+'24'!I37+'25'!I37+'26'!I37+'27'!I37+'28'!I37+'29'!I37+'30'!I37+'31'!I34+'32'!I36+'33'!I35+'34'!I37+'35'!I37+'36'!I37+'37'!I37</f>
        <v>283831</v>
      </c>
      <c r="H97" s="160">
        <f t="shared" si="1"/>
        <v>99.20345321729404</v>
      </c>
    </row>
    <row r="98" spans="3:8" ht="12" customHeight="1">
      <c r="C98" s="107">
        <v>821300</v>
      </c>
      <c r="D98" s="19" t="s">
        <v>94</v>
      </c>
      <c r="E98" s="104">
        <f>1!G38+2!G38+3!G52+4!G39+5!G38+6!G38+7!G38+8!G38+9!G38+'10'!G38+'11'!G38+'12'!G38+'13'!G38+'14'!G38+'15'!G35+'16'!G45+'17'!G36+'18'!G39+'19'!G37+'20'!G48+'21'!G38+'22'!G38+'23'!G39+'24'!G38+'25'!G38+'26'!G38+'27'!G38+'28'!G38+'29'!G38+'30'!G38+'31'!G35+'32'!G37+'33'!G36+'34'!G38+'35'!G38+'36'!G38+'37'!G38</f>
        <v>572010</v>
      </c>
      <c r="F98" s="104">
        <f>1!H38+2!H38+3!H52+4!H39+5!H38+6!H38+7!H38+8!H38+9!H38+'10'!H38+'11'!H38+'12'!H38+'13'!H38+'14'!H38+'15'!H35+'16'!H45+'17'!H36+'18'!H39+'19'!H37+'20'!H48+'21'!H38+'22'!H38+'23'!H39+'24'!H38+'25'!H38+'26'!H38+'27'!H38+'28'!H38+'29'!H38+'30'!H38+'31'!H35+'32'!H37+'33'!H36+'34'!H38+'35'!H38+'36'!H38+'37'!H38</f>
        <v>543480</v>
      </c>
      <c r="G98" s="104">
        <f>1!I38+2!I38+3!I52+4!I39+5!I38+6!I38+7!I38+8!I38+9!I38+'10'!I38+'11'!I38+'12'!I38+'13'!I38+'14'!I38+'15'!I35+'16'!I45+'17'!I36+'18'!I39+'19'!I37+'20'!I48+'21'!I38+'22'!I38+'23'!I39+'24'!I38+'25'!I38+'26'!I38+'27'!I38+'28'!I38+'29'!I38+'30'!I38+'31'!I35+'32'!I37+'33'!I36+'34'!I38+'35'!I38+'36'!I38+'37'!I38</f>
        <v>535983</v>
      </c>
      <c r="H98" s="160">
        <f t="shared" si="1"/>
        <v>98.62055641421948</v>
      </c>
    </row>
    <row r="99" spans="3:8" ht="12" customHeight="1">
      <c r="C99" s="107">
        <v>821500</v>
      </c>
      <c r="D99" s="279" t="s">
        <v>612</v>
      </c>
      <c r="E99" s="104">
        <f>3!G53</f>
        <v>381120</v>
      </c>
      <c r="F99" s="104">
        <f>3!H53</f>
        <v>419060</v>
      </c>
      <c r="G99" s="104">
        <f>3!I53</f>
        <v>419056</v>
      </c>
      <c r="H99" s="160">
        <f t="shared" si="1"/>
        <v>99.99904548274709</v>
      </c>
    </row>
    <row r="100" spans="3:8" ht="12" customHeight="1">
      <c r="C100" s="107">
        <v>821600</v>
      </c>
      <c r="D100" s="98" t="s">
        <v>106</v>
      </c>
      <c r="E100" s="104">
        <f>'18'!G40</f>
        <v>740000</v>
      </c>
      <c r="F100" s="104">
        <f>'18'!H40</f>
        <v>740000</v>
      </c>
      <c r="G100" s="104">
        <f>'18'!I40</f>
        <v>738149</v>
      </c>
      <c r="H100" s="160">
        <f t="shared" si="1"/>
        <v>99.74986486486486</v>
      </c>
    </row>
    <row r="101" spans="3:8" ht="12" customHeight="1">
      <c r="C101" s="37"/>
      <c r="D101" s="15"/>
      <c r="E101" s="44"/>
      <c r="F101" s="44"/>
      <c r="G101" s="44"/>
      <c r="H101" s="160">
        <f t="shared" si="1"/>
      </c>
    </row>
    <row r="102" spans="3:8" ht="12" customHeight="1">
      <c r="C102" s="37"/>
      <c r="D102" s="26"/>
      <c r="E102" s="45"/>
      <c r="F102" s="45"/>
      <c r="G102" s="45"/>
      <c r="H102" s="160">
        <f t="shared" si="1"/>
      </c>
    </row>
    <row r="103" spans="3:8" ht="12" customHeight="1">
      <c r="C103" s="8">
        <v>823000</v>
      </c>
      <c r="D103" s="12" t="s">
        <v>209</v>
      </c>
      <c r="E103" s="20">
        <f>SUM(E104:E105)</f>
        <v>1459600</v>
      </c>
      <c r="F103" s="20">
        <f>SUM(F104:F105)</f>
        <v>1459600</v>
      </c>
      <c r="G103" s="20">
        <f>SUM(G104:G105)</f>
        <v>1459555</v>
      </c>
      <c r="H103" s="155">
        <f t="shared" si="1"/>
        <v>99.99691696355167</v>
      </c>
    </row>
    <row r="104" spans="3:8" ht="12" customHeight="1">
      <c r="C104" s="37">
        <v>823300</v>
      </c>
      <c r="D104" s="26" t="s">
        <v>221</v>
      </c>
      <c r="E104" s="44">
        <f>'20'!G51</f>
        <v>74980</v>
      </c>
      <c r="F104" s="44">
        <f>'20'!H51</f>
        <v>74980</v>
      </c>
      <c r="G104" s="44">
        <f>'20'!I51</f>
        <v>74940</v>
      </c>
      <c r="H104" s="160">
        <f t="shared" si="1"/>
        <v>99.94665244065084</v>
      </c>
    </row>
    <row r="105" spans="3:8" ht="12" customHeight="1">
      <c r="C105" s="37">
        <v>823300</v>
      </c>
      <c r="D105" s="26" t="s">
        <v>325</v>
      </c>
      <c r="E105" s="45">
        <f>'16'!G48</f>
        <v>1384620</v>
      </c>
      <c r="F105" s="45">
        <f>'16'!H48</f>
        <v>1384620</v>
      </c>
      <c r="G105" s="45">
        <f>'16'!I48</f>
        <v>1384615</v>
      </c>
      <c r="H105" s="160">
        <f t="shared" si="1"/>
        <v>99.99963889009258</v>
      </c>
    </row>
    <row r="106" spans="3:8" ht="12" customHeight="1">
      <c r="C106" s="37"/>
      <c r="D106" s="15"/>
      <c r="E106" s="44"/>
      <c r="F106" s="44"/>
      <c r="G106" s="44"/>
      <c r="H106" s="141">
        <f t="shared" si="1"/>
      </c>
    </row>
    <row r="107" spans="3:8" ht="12" customHeight="1">
      <c r="C107" s="37"/>
      <c r="D107" s="15"/>
      <c r="E107" s="44"/>
      <c r="F107" s="44"/>
      <c r="G107" s="44"/>
      <c r="H107" s="141">
        <f t="shared" si="1"/>
      </c>
    </row>
    <row r="108" spans="3:8" ht="12" customHeight="1">
      <c r="C108" s="8"/>
      <c r="D108" s="12" t="s">
        <v>95</v>
      </c>
      <c r="E108" s="121" t="s">
        <v>715</v>
      </c>
      <c r="F108" s="121" t="s">
        <v>715</v>
      </c>
      <c r="G108" s="121" t="s">
        <v>760</v>
      </c>
      <c r="H108" s="157"/>
    </row>
    <row r="109" spans="3:8" ht="12" customHeight="1">
      <c r="C109" s="8"/>
      <c r="D109" s="12" t="s">
        <v>116</v>
      </c>
      <c r="E109" s="20">
        <f>1!G42+2!G42+3!G56+4!G43+5!G42+6!G42+7!G42+8!G42+9!G42+'10'!G42+'11'!G42+'12'!G42+'13'!G42+'14'!G42+'15'!G39+'16'!G51+'17'!G40+'18'!G43+'19'!G41+'20'!G55+'21'!G42+'22'!G42+'23'!G43+'24'!G42+'25'!G42+'26'!G42+'27'!G42+'28'!G42+'29'!G42+'30'!G42+'31'!G39+'32'!G41+'33'!G40+'34'!G42+'35'!G42+'36'!G42+'37'!G42</f>
        <v>40327360</v>
      </c>
      <c r="F109" s="20">
        <f>1!H42+2!H42+3!H56+4!H43+5!H42+6!H42+7!H42+8!H42+9!H42+'10'!H42+'11'!H42+'12'!H42+'13'!H42+'14'!H42+'15'!H39+'16'!H51+'17'!H40+'18'!H43+'19'!H41+'20'!H55+'21'!H42+'22'!H42+'23'!H43+'24'!H42+'25'!H42+'26'!H42+'27'!H42+'28'!H42+'29'!H42+'30'!H42+'31'!H39+'32'!H41+'33'!H40+'34'!H42+'35'!H42+'36'!H42+'37'!H42</f>
        <v>40327360</v>
      </c>
      <c r="G109" s="20">
        <f>1!I42+2!I42+3!I56+4!I43+5!I42+6!I42+7!I42+8!I42+9!I42+'10'!I42+'11'!I42+'12'!I42+'13'!I42+'14'!I42+'15'!I39+'16'!I51+'17'!I40+'18'!I43+'19'!I41+'20'!I55+'21'!I42+'22'!I42+'23'!I43+'24'!I42+'25'!I42+'26'!I42+'27'!I42+'28'!I42+'29'!I42+'30'!I42+'31'!I39+'32'!I41+'33'!I40+'34'!I42+'35'!I42+'36'!I42+'37'!I42</f>
        <v>39474206</v>
      </c>
      <c r="H109" s="142">
        <f t="shared" si="1"/>
        <v>97.88442883441911</v>
      </c>
    </row>
    <row r="110" spans="3:8" ht="12" customHeight="1" thickBot="1">
      <c r="C110" s="41"/>
      <c r="D110" s="22"/>
      <c r="E110" s="36"/>
      <c r="F110" s="36"/>
      <c r="G110" s="22"/>
      <c r="H110" s="143"/>
    </row>
    <row r="111" spans="3:8" ht="12" customHeight="1" thickBot="1">
      <c r="C111" s="73"/>
      <c r="D111" s="74"/>
      <c r="E111" s="74"/>
      <c r="F111" s="74"/>
      <c r="G111" s="74"/>
      <c r="H111" s="131"/>
    </row>
    <row r="113" spans="3:7" ht="12" customHeight="1">
      <c r="C113" s="92"/>
      <c r="F113" s="83"/>
      <c r="G113" s="83"/>
    </row>
    <row r="114" ht="12" customHeight="1">
      <c r="C114" s="47"/>
    </row>
    <row r="115" ht="12" customHeight="1">
      <c r="C115" s="93"/>
    </row>
    <row r="116" ht="12" customHeight="1">
      <c r="C116" s="94"/>
    </row>
    <row r="117" spans="3:8" ht="12" customHeight="1">
      <c r="C117" s="456"/>
      <c r="D117" s="456"/>
      <c r="E117" s="456"/>
      <c r="F117" s="456"/>
      <c r="G117" s="456"/>
      <c r="H117" s="456"/>
    </row>
    <row r="118" spans="3:8" ht="12" customHeight="1">
      <c r="C118" s="456"/>
      <c r="D118" s="456"/>
      <c r="E118" s="48"/>
      <c r="F118" s="48"/>
      <c r="G118" s="48"/>
      <c r="H118" s="132"/>
    </row>
    <row r="119" ht="12" customHeight="1">
      <c r="C119" s="94"/>
    </row>
    <row r="120" spans="3:8" ht="12" customHeight="1">
      <c r="C120" s="457"/>
      <c r="D120" s="457"/>
      <c r="E120" s="457"/>
      <c r="F120" s="457"/>
      <c r="G120" s="457"/>
      <c r="H120" s="457"/>
    </row>
    <row r="121" spans="3:8" ht="27" customHeight="1">
      <c r="C121" s="458"/>
      <c r="D121" s="458"/>
      <c r="E121" s="458"/>
      <c r="F121" s="458"/>
      <c r="G121" s="458"/>
      <c r="H121" s="458"/>
    </row>
  </sheetData>
  <sheetProtection/>
  <mergeCells count="6">
    <mergeCell ref="G3:H3"/>
    <mergeCell ref="C3:D3"/>
    <mergeCell ref="C117:H117"/>
    <mergeCell ref="C118:D118"/>
    <mergeCell ref="C120:H120"/>
    <mergeCell ref="C121:H121"/>
  </mergeCells>
  <printOptions/>
  <pageMargins left="0.46" right="0.15748031496062992" top="0.5511811023622047" bottom="0.7874015748031497" header="0.5118110236220472" footer="0.3937007874015748"/>
  <pageSetup firstPageNumber="6" useFirstPageNumber="1" horizontalDpi="600" verticalDpi="600" orientation="portrait" paperSize="9" scale="79" r:id="rId1"/>
  <headerFooter alignWithMargins="0">
    <oddFooter>&amp;R&amp;P</oddFooter>
  </headerFooter>
  <rowBreaks count="1" manualBreakCount="1">
    <brk id="65" min="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M47"/>
  <sheetViews>
    <sheetView workbookViewId="0" topLeftCell="B4">
      <selection activeCell="K46" sqref="K4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59" t="s">
        <v>120</v>
      </c>
      <c r="C2" s="459"/>
      <c r="D2" s="459"/>
      <c r="E2" s="459"/>
      <c r="F2" s="459"/>
      <c r="G2" s="459"/>
      <c r="H2" s="459"/>
      <c r="I2" s="459"/>
      <c r="J2" s="459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67" t="s">
        <v>676</v>
      </c>
      <c r="H4" s="67" t="s">
        <v>678</v>
      </c>
      <c r="I4" s="67" t="s">
        <v>679</v>
      </c>
      <c r="J4" s="136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>
        <v>10</v>
      </c>
      <c r="C6" s="11" t="s">
        <v>83</v>
      </c>
      <c r="D6" s="11" t="s">
        <v>84</v>
      </c>
      <c r="E6" s="9"/>
      <c r="F6" s="9"/>
      <c r="G6" s="35"/>
      <c r="H6" s="35"/>
      <c r="I6" s="9"/>
      <c r="J6" s="138"/>
    </row>
    <row r="7" spans="2:12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443878</v>
      </c>
      <c r="H7" s="20">
        <f>SUM(H8:H10)</f>
        <v>443878</v>
      </c>
      <c r="I7" s="20">
        <f>SUM(I8:I10)</f>
        <v>438865</v>
      </c>
      <c r="J7" s="139">
        <f>IF(H7=0,"",I7/H7*100)</f>
        <v>98.8706356251042</v>
      </c>
      <c r="L7" s="82"/>
    </row>
    <row r="8" spans="2:12" ht="12.75" customHeight="1">
      <c r="B8" s="14"/>
      <c r="C8" s="15"/>
      <c r="D8" s="15"/>
      <c r="E8" s="16">
        <v>611100</v>
      </c>
      <c r="F8" s="26" t="s">
        <v>203</v>
      </c>
      <c r="G8" s="324">
        <v>359633</v>
      </c>
      <c r="H8" s="324">
        <v>359633</v>
      </c>
      <c r="I8" s="78">
        <v>356592</v>
      </c>
      <c r="J8" s="140">
        <f aca="true" t="shared" si="0" ref="J8:J42">IF(H8=0,"",I8/H8*100)</f>
        <v>99.15441575161344</v>
      </c>
      <c r="K8" s="77"/>
      <c r="L8" s="82"/>
    </row>
    <row r="9" spans="2:12" ht="12.75" customHeight="1">
      <c r="B9" s="14"/>
      <c r="C9" s="15"/>
      <c r="D9" s="15"/>
      <c r="E9" s="16">
        <v>611200</v>
      </c>
      <c r="F9" s="26" t="s">
        <v>204</v>
      </c>
      <c r="G9" s="324">
        <v>84245</v>
      </c>
      <c r="H9" s="324">
        <v>84245</v>
      </c>
      <c r="I9" s="78">
        <v>82273</v>
      </c>
      <c r="J9" s="140">
        <f t="shared" si="0"/>
        <v>97.6592082616179</v>
      </c>
      <c r="L9" s="82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L10" s="82"/>
    </row>
    <row r="11" spans="2:12" ht="12.75" customHeight="1">
      <c r="B11" s="14"/>
      <c r="C11" s="15"/>
      <c r="D11" s="15"/>
      <c r="E11" s="16"/>
      <c r="F11" s="15"/>
      <c r="G11" s="44"/>
      <c r="H11" s="44"/>
      <c r="I11" s="44"/>
      <c r="J11" s="139">
        <f t="shared" si="0"/>
      </c>
      <c r="L11" s="82"/>
    </row>
    <row r="12" spans="2:12" ht="12.75" customHeight="1">
      <c r="B12" s="17"/>
      <c r="C12" s="12"/>
      <c r="D12" s="12"/>
      <c r="E12" s="9">
        <v>612000</v>
      </c>
      <c r="F12" s="12" t="s">
        <v>167</v>
      </c>
      <c r="G12" s="20">
        <f>G13</f>
        <v>38456</v>
      </c>
      <c r="H12" s="20">
        <f>H13</f>
        <v>38456</v>
      </c>
      <c r="I12" s="20">
        <f>I13+I14</f>
        <v>38037</v>
      </c>
      <c r="J12" s="139">
        <f t="shared" si="0"/>
        <v>98.91044310380694</v>
      </c>
      <c r="L12" s="82"/>
    </row>
    <row r="13" spans="2:12" s="1" customFormat="1" ht="12.75" customHeight="1">
      <c r="B13" s="14"/>
      <c r="C13" s="15"/>
      <c r="D13" s="15"/>
      <c r="E13" s="16">
        <v>612100</v>
      </c>
      <c r="F13" s="18" t="s">
        <v>85</v>
      </c>
      <c r="G13" s="45">
        <v>38456</v>
      </c>
      <c r="H13" s="45">
        <v>38456</v>
      </c>
      <c r="I13" s="78">
        <v>38037</v>
      </c>
      <c r="J13" s="140">
        <f t="shared" si="0"/>
        <v>98.91044310380694</v>
      </c>
      <c r="L13" s="82"/>
    </row>
    <row r="14" spans="2:12" ht="12.75" customHeight="1">
      <c r="B14" s="14"/>
      <c r="C14" s="15"/>
      <c r="D14" s="15"/>
      <c r="E14" s="16"/>
      <c r="F14" s="15"/>
      <c r="G14" s="44"/>
      <c r="H14" s="44"/>
      <c r="I14" s="44"/>
      <c r="J14" s="139">
        <f t="shared" si="0"/>
      </c>
      <c r="L14" s="82"/>
    </row>
    <row r="15" spans="2:12" ht="12.75" customHeight="1">
      <c r="B15" s="14"/>
      <c r="C15" s="15"/>
      <c r="D15" s="15"/>
      <c r="E15" s="16"/>
      <c r="F15" s="15"/>
      <c r="G15" s="44"/>
      <c r="H15" s="44"/>
      <c r="I15" s="44"/>
      <c r="J15" s="139">
        <f t="shared" si="0"/>
      </c>
      <c r="L15" s="82"/>
    </row>
    <row r="16" spans="2:12" ht="12.75" customHeight="1">
      <c r="B16" s="17"/>
      <c r="C16" s="12"/>
      <c r="D16" s="12"/>
      <c r="E16" s="9">
        <v>613000</v>
      </c>
      <c r="F16" s="12" t="s">
        <v>169</v>
      </c>
      <c r="G16" s="20">
        <f>SUM(G17:G26)</f>
        <v>271778</v>
      </c>
      <c r="H16" s="20">
        <f>SUM(H17:H26)</f>
        <v>271778</v>
      </c>
      <c r="I16" s="50">
        <f>SUM(I17:I26)</f>
        <v>271167</v>
      </c>
      <c r="J16" s="139">
        <f t="shared" si="0"/>
        <v>99.77518415765809</v>
      </c>
      <c r="L16" s="82"/>
    </row>
    <row r="17" spans="2:12" s="1" customFormat="1" ht="12.75" customHeight="1">
      <c r="B17" s="14"/>
      <c r="C17" s="15"/>
      <c r="D17" s="15"/>
      <c r="E17" s="16">
        <v>613100</v>
      </c>
      <c r="F17" s="15" t="s">
        <v>86</v>
      </c>
      <c r="G17" s="44">
        <v>6500</v>
      </c>
      <c r="H17" s="44">
        <v>6500</v>
      </c>
      <c r="I17" s="44">
        <v>6498</v>
      </c>
      <c r="J17" s="140">
        <f t="shared" si="0"/>
        <v>99.96923076923076</v>
      </c>
      <c r="L17" s="82"/>
    </row>
    <row r="18" spans="2:12" ht="12.75" customHeight="1">
      <c r="B18" s="14"/>
      <c r="C18" s="15"/>
      <c r="D18" s="15"/>
      <c r="E18" s="16">
        <v>613200</v>
      </c>
      <c r="F18" s="15" t="s">
        <v>87</v>
      </c>
      <c r="G18" s="44">
        <v>13600</v>
      </c>
      <c r="H18" s="44">
        <v>12820</v>
      </c>
      <c r="I18" s="44">
        <v>12816</v>
      </c>
      <c r="J18" s="140">
        <f t="shared" si="0"/>
        <v>99.96879875195009</v>
      </c>
      <c r="L18" s="82"/>
    </row>
    <row r="19" spans="2:12" ht="12.75" customHeight="1">
      <c r="B19" s="14"/>
      <c r="C19" s="15"/>
      <c r="D19" s="15"/>
      <c r="E19" s="16">
        <v>613300</v>
      </c>
      <c r="F19" s="26" t="s">
        <v>205</v>
      </c>
      <c r="G19" s="324">
        <v>7300</v>
      </c>
      <c r="H19" s="324">
        <v>7200</v>
      </c>
      <c r="I19" s="44">
        <v>7094</v>
      </c>
      <c r="J19" s="140">
        <f t="shared" si="0"/>
        <v>98.52777777777779</v>
      </c>
      <c r="L19" s="82"/>
    </row>
    <row r="20" spans="2:12" ht="12.75" customHeight="1">
      <c r="B20" s="14"/>
      <c r="C20" s="15"/>
      <c r="D20" s="15"/>
      <c r="E20" s="16">
        <v>613400</v>
      </c>
      <c r="F20" s="26" t="s">
        <v>170</v>
      </c>
      <c r="G20" s="324">
        <v>5500</v>
      </c>
      <c r="H20" s="324">
        <v>5500</v>
      </c>
      <c r="I20" s="78">
        <v>5461</v>
      </c>
      <c r="J20" s="140">
        <f t="shared" si="0"/>
        <v>99.2909090909091</v>
      </c>
      <c r="L20" s="82"/>
    </row>
    <row r="21" spans="2:12" ht="12.75" customHeight="1">
      <c r="B21" s="14"/>
      <c r="C21" s="15"/>
      <c r="D21" s="15"/>
      <c r="E21" s="16">
        <v>613500</v>
      </c>
      <c r="F21" s="15" t="s">
        <v>88</v>
      </c>
      <c r="G21" s="44">
        <v>10000</v>
      </c>
      <c r="H21" s="44">
        <v>10000</v>
      </c>
      <c r="I21" s="78">
        <v>9940</v>
      </c>
      <c r="J21" s="140">
        <f t="shared" si="0"/>
        <v>99.4</v>
      </c>
      <c r="L21" s="82"/>
    </row>
    <row r="22" spans="2:12" ht="12.75" customHeight="1">
      <c r="B22" s="14"/>
      <c r="C22" s="15"/>
      <c r="D22" s="15"/>
      <c r="E22" s="16">
        <v>613600</v>
      </c>
      <c r="F22" s="26" t="s">
        <v>206</v>
      </c>
      <c r="G22" s="324">
        <v>0</v>
      </c>
      <c r="H22" s="324">
        <v>0</v>
      </c>
      <c r="I22" s="44">
        <v>0</v>
      </c>
      <c r="J22" s="140">
        <f t="shared" si="0"/>
      </c>
      <c r="L22" s="82"/>
    </row>
    <row r="23" spans="2:12" ht="12.75" customHeight="1">
      <c r="B23" s="14"/>
      <c r="C23" s="15"/>
      <c r="D23" s="15"/>
      <c r="E23" s="16">
        <v>613700</v>
      </c>
      <c r="F23" s="15" t="s">
        <v>89</v>
      </c>
      <c r="G23" s="44">
        <v>8000</v>
      </c>
      <c r="H23" s="44">
        <v>8000</v>
      </c>
      <c r="I23" s="44">
        <v>7982</v>
      </c>
      <c r="J23" s="140">
        <f t="shared" si="0"/>
        <v>99.775</v>
      </c>
      <c r="L23" s="82"/>
    </row>
    <row r="24" spans="2:12" ht="12.75" customHeight="1">
      <c r="B24" s="14"/>
      <c r="C24" s="15"/>
      <c r="D24" s="15"/>
      <c r="E24" s="16">
        <v>613800</v>
      </c>
      <c r="F24" s="26" t="s">
        <v>171</v>
      </c>
      <c r="G24" s="324">
        <v>2440</v>
      </c>
      <c r="H24" s="324">
        <v>2440</v>
      </c>
      <c r="I24" s="44">
        <v>2423</v>
      </c>
      <c r="J24" s="140">
        <f t="shared" si="0"/>
        <v>99.30327868852459</v>
      </c>
      <c r="L24" s="120"/>
    </row>
    <row r="25" spans="2:12" ht="12.75" customHeight="1">
      <c r="B25" s="14"/>
      <c r="C25" s="15"/>
      <c r="D25" s="15"/>
      <c r="E25" s="16">
        <v>613900</v>
      </c>
      <c r="F25" s="26" t="s">
        <v>172</v>
      </c>
      <c r="G25" s="324">
        <v>218438</v>
      </c>
      <c r="H25" s="324">
        <v>219318</v>
      </c>
      <c r="I25" s="78">
        <v>218953</v>
      </c>
      <c r="J25" s="140">
        <f t="shared" si="0"/>
        <v>99.83357499156476</v>
      </c>
      <c r="K25" s="83"/>
      <c r="L25" s="119"/>
    </row>
    <row r="26" spans="2:13" ht="12.75" customHeight="1">
      <c r="B26" s="14"/>
      <c r="C26" s="15"/>
      <c r="D26" s="15"/>
      <c r="E26" s="16">
        <v>613900</v>
      </c>
      <c r="F26" s="26" t="s">
        <v>690</v>
      </c>
      <c r="G26" s="97">
        <v>0</v>
      </c>
      <c r="H26" s="97">
        <v>0</v>
      </c>
      <c r="I26" s="44">
        <v>0</v>
      </c>
      <c r="J26" s="140">
        <f t="shared" si="0"/>
      </c>
      <c r="K26" s="252"/>
      <c r="L26" s="82"/>
      <c r="M26" s="77"/>
    </row>
    <row r="27" spans="2:12" ht="12.75" customHeight="1">
      <c r="B27" s="14"/>
      <c r="C27" s="15"/>
      <c r="D27" s="15"/>
      <c r="E27" s="16"/>
      <c r="F27" s="15"/>
      <c r="G27" s="44"/>
      <c r="H27" s="44"/>
      <c r="I27" s="44"/>
      <c r="J27" s="139">
        <f t="shared" si="0"/>
      </c>
      <c r="L27" s="82"/>
    </row>
    <row r="28" spans="2:12" ht="12.75" customHeight="1">
      <c r="B28" s="17"/>
      <c r="C28" s="12"/>
      <c r="D28" s="12"/>
      <c r="E28" s="9"/>
      <c r="F28" s="12"/>
      <c r="G28" s="20"/>
      <c r="H28" s="20"/>
      <c r="I28" s="20"/>
      <c r="J28" s="139">
        <f t="shared" si="0"/>
      </c>
      <c r="L28" s="82"/>
    </row>
    <row r="29" spans="2:12" s="1" customFormat="1" ht="12.75" customHeight="1">
      <c r="B29" s="14"/>
      <c r="C29" s="15"/>
      <c r="D29" s="15"/>
      <c r="E29" s="16"/>
      <c r="F29" s="26"/>
      <c r="G29" s="324"/>
      <c r="H29" s="324"/>
      <c r="I29" s="44"/>
      <c r="J29" s="140">
        <f t="shared" si="0"/>
      </c>
      <c r="L29" s="82"/>
    </row>
    <row r="30" spans="2:12" ht="12.75" customHeight="1">
      <c r="B30" s="14"/>
      <c r="C30" s="15"/>
      <c r="D30" s="15"/>
      <c r="E30" s="16"/>
      <c r="F30" s="26"/>
      <c r="G30" s="324"/>
      <c r="H30" s="324"/>
      <c r="I30" s="44"/>
      <c r="J30" s="139">
        <f t="shared" si="0"/>
      </c>
      <c r="L30" s="82"/>
    </row>
    <row r="31" spans="2:12" ht="12.75" customHeight="1">
      <c r="B31" s="14"/>
      <c r="C31" s="15"/>
      <c r="D31" s="15"/>
      <c r="E31" s="16"/>
      <c r="F31" s="15"/>
      <c r="G31" s="44"/>
      <c r="H31" s="44"/>
      <c r="I31" s="44"/>
      <c r="J31" s="139">
        <f t="shared" si="0"/>
      </c>
      <c r="L31" s="82"/>
    </row>
    <row r="32" spans="2:12" ht="12.75" customHeight="1">
      <c r="B32" s="14"/>
      <c r="C32" s="15"/>
      <c r="D32" s="15"/>
      <c r="E32" s="16"/>
      <c r="F32" s="15"/>
      <c r="G32" s="44"/>
      <c r="H32" s="44"/>
      <c r="I32" s="44"/>
      <c r="J32" s="139">
        <f t="shared" si="0"/>
      </c>
      <c r="L32" s="82"/>
    </row>
    <row r="33" spans="2:12" ht="12.75" customHeight="1">
      <c r="B33" s="14"/>
      <c r="C33" s="15"/>
      <c r="D33" s="15"/>
      <c r="E33" s="16"/>
      <c r="F33" s="15"/>
      <c r="G33" s="44"/>
      <c r="H33" s="44"/>
      <c r="I33" s="44"/>
      <c r="J33" s="139">
        <f t="shared" si="0"/>
      </c>
      <c r="L33" s="82"/>
    </row>
    <row r="34" spans="2:12" ht="12.75" customHeight="1">
      <c r="B34" s="14"/>
      <c r="C34" s="15"/>
      <c r="D34" s="15"/>
      <c r="E34" s="16"/>
      <c r="F34" s="19"/>
      <c r="G34" s="78"/>
      <c r="H34" s="78"/>
      <c r="I34" s="44"/>
      <c r="J34" s="139">
        <f t="shared" si="0"/>
      </c>
      <c r="L34" s="82"/>
    </row>
    <row r="35" spans="2:12" ht="12.75" customHeight="1">
      <c r="B35" s="14"/>
      <c r="C35" s="15"/>
      <c r="D35" s="15"/>
      <c r="E35" s="16"/>
      <c r="F35" s="15"/>
      <c r="G35" s="44"/>
      <c r="H35" s="44"/>
      <c r="I35" s="44"/>
      <c r="J35" s="139">
        <f t="shared" si="0"/>
      </c>
      <c r="L35" s="82"/>
    </row>
    <row r="36" spans="2:12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57000</v>
      </c>
      <c r="H36" s="20">
        <f>SUM(H37:H38)</f>
        <v>57000</v>
      </c>
      <c r="I36" s="20">
        <f>SUM(I37:I38)</f>
        <v>56847</v>
      </c>
      <c r="J36" s="139">
        <f t="shared" si="0"/>
        <v>99.73157894736842</v>
      </c>
      <c r="L36" s="82"/>
    </row>
    <row r="37" spans="2:12" s="1" customFormat="1" ht="12.75" customHeight="1">
      <c r="B37" s="14"/>
      <c r="C37" s="15"/>
      <c r="D37" s="15"/>
      <c r="E37" s="16">
        <v>821200</v>
      </c>
      <c r="F37" s="15" t="s">
        <v>93</v>
      </c>
      <c r="G37" s="44">
        <v>2000</v>
      </c>
      <c r="H37" s="44">
        <v>2000</v>
      </c>
      <c r="I37" s="78">
        <v>1947</v>
      </c>
      <c r="J37" s="140">
        <f t="shared" si="0"/>
        <v>97.35000000000001</v>
      </c>
      <c r="L37" s="82"/>
    </row>
    <row r="38" spans="2:12" ht="12.75" customHeight="1">
      <c r="B38" s="14"/>
      <c r="C38" s="15"/>
      <c r="D38" s="15"/>
      <c r="E38" s="16">
        <v>821300</v>
      </c>
      <c r="F38" s="15" t="s">
        <v>94</v>
      </c>
      <c r="G38" s="44">
        <v>55000</v>
      </c>
      <c r="H38" s="44">
        <v>55000</v>
      </c>
      <c r="I38" s="78">
        <v>54900</v>
      </c>
      <c r="J38" s="140">
        <f t="shared" si="0"/>
        <v>99.81818181818181</v>
      </c>
      <c r="K38" s="77"/>
      <c r="L38" s="82"/>
    </row>
    <row r="39" spans="2:12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  <c r="L39" s="82"/>
    </row>
    <row r="40" spans="2:12" ht="12.75" customHeight="1">
      <c r="B40" s="14"/>
      <c r="C40" s="15"/>
      <c r="D40" s="15"/>
      <c r="E40" s="16"/>
      <c r="F40" s="15"/>
      <c r="G40" s="44"/>
      <c r="H40" s="44"/>
      <c r="I40" s="44"/>
      <c r="J40" s="140">
        <f t="shared" si="0"/>
      </c>
      <c r="L40" s="82"/>
    </row>
    <row r="41" spans="2:12" ht="12.75" customHeight="1">
      <c r="B41" s="17"/>
      <c r="C41" s="12"/>
      <c r="D41" s="12"/>
      <c r="E41" s="9"/>
      <c r="F41" s="12" t="s">
        <v>95</v>
      </c>
      <c r="G41" s="25" t="s">
        <v>691</v>
      </c>
      <c r="H41" s="25" t="s">
        <v>691</v>
      </c>
      <c r="I41" s="96">
        <v>17</v>
      </c>
      <c r="J41" s="140"/>
      <c r="L41" s="82"/>
    </row>
    <row r="42" spans="2:12" s="1" customFormat="1" ht="12.75" customHeight="1">
      <c r="B42" s="17"/>
      <c r="C42" s="12"/>
      <c r="D42" s="12"/>
      <c r="E42" s="9"/>
      <c r="F42" s="12" t="s">
        <v>116</v>
      </c>
      <c r="G42" s="20">
        <f>G7+G12+G16+G28+G36</f>
        <v>811112</v>
      </c>
      <c r="H42" s="20">
        <f>H7+H12+H16+H28+H36</f>
        <v>811112</v>
      </c>
      <c r="I42" s="20">
        <f>I7+I12+I16+I28+I36</f>
        <v>804916</v>
      </c>
      <c r="J42" s="139">
        <f t="shared" si="0"/>
        <v>99.23611042618036</v>
      </c>
      <c r="L42" s="82"/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2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20"/>
      <c r="J44" s="142"/>
    </row>
    <row r="45" spans="2:10" s="1" customFormat="1" ht="12.75" customHeight="1" thickBot="1">
      <c r="B45" s="21"/>
      <c r="C45" s="22"/>
      <c r="D45" s="22"/>
      <c r="E45" s="23"/>
      <c r="F45" s="22"/>
      <c r="G45" s="36"/>
      <c r="H45" s="49"/>
      <c r="I45" s="46"/>
      <c r="J45" s="143"/>
    </row>
    <row r="46" ht="12.75" customHeight="1"/>
    <row r="47" ht="12.75">
      <c r="B47" s="77"/>
    </row>
  </sheetData>
  <sheetProtection/>
  <mergeCells count="2">
    <mergeCell ref="B2:J2"/>
    <mergeCell ref="F3:H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L47"/>
  <sheetViews>
    <sheetView workbookViewId="0" topLeftCell="A6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121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>
        <v>10</v>
      </c>
      <c r="C6" s="11" t="s">
        <v>83</v>
      </c>
      <c r="D6" s="11" t="s">
        <v>122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4412</v>
      </c>
      <c r="H7" s="20">
        <f>SUM(H8:H10)</f>
        <v>4412</v>
      </c>
      <c r="I7" s="20">
        <f>SUM(I8:I11)</f>
        <v>4412</v>
      </c>
      <c r="J7" s="139">
        <f aca="true" t="shared" si="0" ref="J7:J44">IF(H7=0,"",I7/H7*100)</f>
        <v>100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24">
        <v>3467</v>
      </c>
      <c r="H8" s="324">
        <v>3467</v>
      </c>
      <c r="I8" s="78">
        <v>3467</v>
      </c>
      <c r="J8" s="140">
        <f t="shared" si="0"/>
        <v>100</v>
      </c>
      <c r="K8" s="252"/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44">
        <v>945</v>
      </c>
      <c r="H9" s="44">
        <v>945</v>
      </c>
      <c r="I9" s="78">
        <v>945</v>
      </c>
      <c r="J9" s="140">
        <f t="shared" si="0"/>
        <v>100</v>
      </c>
      <c r="K9" s="83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L10" s="82"/>
    </row>
    <row r="11" spans="2:10" ht="12.75" customHeight="1">
      <c r="B11" s="14"/>
      <c r="C11" s="15"/>
      <c r="D11" s="15"/>
      <c r="E11" s="16"/>
      <c r="F11" s="26"/>
      <c r="G11" s="324"/>
      <c r="H11" s="324"/>
      <c r="I11" s="78"/>
      <c r="J11" s="139">
        <f t="shared" si="0"/>
      </c>
    </row>
    <row r="12" spans="2:10" ht="12.75" customHeight="1">
      <c r="B12" s="14"/>
      <c r="C12" s="15"/>
      <c r="D12" s="15"/>
      <c r="E12" s="16"/>
      <c r="F12" s="15"/>
      <c r="G12" s="44"/>
      <c r="H12" s="44"/>
      <c r="I12" s="96"/>
      <c r="J12" s="139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374</v>
      </c>
      <c r="H13" s="20">
        <f>H14</f>
        <v>374</v>
      </c>
      <c r="I13" s="96">
        <f>I14</f>
        <v>374</v>
      </c>
      <c r="J13" s="139">
        <f t="shared" si="0"/>
        <v>100</v>
      </c>
    </row>
    <row r="14" spans="2:11" ht="12.75" customHeight="1">
      <c r="B14" s="14"/>
      <c r="C14" s="15"/>
      <c r="D14" s="15"/>
      <c r="E14" s="16">
        <v>612100</v>
      </c>
      <c r="F14" s="18" t="s">
        <v>85</v>
      </c>
      <c r="G14" s="45">
        <v>374</v>
      </c>
      <c r="H14" s="45">
        <v>374</v>
      </c>
      <c r="I14" s="78">
        <v>374</v>
      </c>
      <c r="J14" s="140">
        <f t="shared" si="0"/>
        <v>100</v>
      </c>
      <c r="K14" s="83"/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39">
        <f t="shared" si="0"/>
      </c>
    </row>
    <row r="16" spans="2:10" ht="12.75" customHeight="1">
      <c r="B16" s="14"/>
      <c r="C16" s="15"/>
      <c r="D16" s="15"/>
      <c r="E16" s="16"/>
      <c r="F16" s="15"/>
      <c r="G16" s="44"/>
      <c r="H16" s="44"/>
      <c r="I16" s="50"/>
      <c r="J16" s="139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12</v>
      </c>
      <c r="H17" s="20">
        <f>SUM(H18:H27)</f>
        <v>12</v>
      </c>
      <c r="I17" s="50">
        <f>SUM(I18:I27)</f>
        <v>12</v>
      </c>
      <c r="J17" s="139">
        <f t="shared" si="0"/>
        <v>100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0</v>
      </c>
      <c r="H18" s="44">
        <v>0</v>
      </c>
      <c r="I18" s="44">
        <v>0</v>
      </c>
      <c r="J18" s="140">
        <f t="shared" si="0"/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324">
        <v>0</v>
      </c>
      <c r="H20" s="324">
        <v>0</v>
      </c>
      <c r="I20" s="44">
        <v>0</v>
      </c>
      <c r="J20" s="140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0</v>
      </c>
      <c r="H21" s="44">
        <v>0</v>
      </c>
      <c r="I21" s="44">
        <v>0</v>
      </c>
      <c r="J21" s="140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324">
        <v>0</v>
      </c>
      <c r="H23" s="32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0</v>
      </c>
      <c r="H24" s="44">
        <v>0</v>
      </c>
      <c r="I24" s="44">
        <v>0</v>
      </c>
      <c r="J24" s="140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4">
        <v>0</v>
      </c>
      <c r="H25" s="44">
        <v>0</v>
      </c>
      <c r="I25" s="44">
        <v>0</v>
      </c>
      <c r="J25" s="14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4">
        <v>12</v>
      </c>
      <c r="H26" s="44">
        <v>12</v>
      </c>
      <c r="I26" s="44">
        <v>12</v>
      </c>
      <c r="J26" s="140">
        <f t="shared" si="0"/>
        <v>100</v>
      </c>
    </row>
    <row r="27" spans="2:10" ht="12.75" customHeight="1">
      <c r="B27" s="14"/>
      <c r="C27" s="15"/>
      <c r="D27" s="15"/>
      <c r="E27" s="16">
        <v>613900</v>
      </c>
      <c r="F27" s="306" t="s">
        <v>636</v>
      </c>
      <c r="G27" s="97">
        <v>0</v>
      </c>
      <c r="H27" s="97">
        <v>0</v>
      </c>
      <c r="I27" s="45">
        <v>0</v>
      </c>
      <c r="J27" s="140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20"/>
      <c r="H28" s="20"/>
      <c r="I28" s="44"/>
      <c r="J28" s="139">
        <f t="shared" si="0"/>
      </c>
    </row>
    <row r="29" spans="2:10" ht="12.75" customHeight="1">
      <c r="B29" s="14"/>
      <c r="C29" s="15"/>
      <c r="D29" s="15"/>
      <c r="E29" s="16"/>
      <c r="F29" s="26"/>
      <c r="G29" s="324"/>
      <c r="H29" s="324"/>
      <c r="I29" s="44"/>
      <c r="J29" s="139">
        <f t="shared" si="0"/>
      </c>
    </row>
    <row r="30" spans="2:10" ht="12.75" customHeight="1">
      <c r="B30" s="14"/>
      <c r="C30" s="15"/>
      <c r="D30" s="15"/>
      <c r="E30" s="16"/>
      <c r="F30" s="15"/>
      <c r="G30" s="44"/>
      <c r="H30" s="44"/>
      <c r="I30" s="44"/>
      <c r="J30" s="139">
        <f t="shared" si="0"/>
      </c>
    </row>
    <row r="31" spans="2:10" ht="12.75" customHeight="1">
      <c r="B31" s="14"/>
      <c r="C31" s="15"/>
      <c r="D31" s="15"/>
      <c r="E31" s="16"/>
      <c r="F31" s="15"/>
      <c r="G31" s="44"/>
      <c r="H31" s="44"/>
      <c r="I31" s="44"/>
      <c r="J31" s="139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44"/>
      <c r="J32" s="139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44"/>
      <c r="J33" s="139">
        <f t="shared" si="0"/>
      </c>
    </row>
    <row r="34" spans="2:10" ht="12.75" customHeight="1">
      <c r="B34" s="14"/>
      <c r="C34" s="15"/>
      <c r="D34" s="15"/>
      <c r="E34" s="16"/>
      <c r="F34" s="19"/>
      <c r="G34" s="78"/>
      <c r="H34" s="78"/>
      <c r="I34" s="44"/>
      <c r="J34" s="139">
        <f t="shared" si="0"/>
      </c>
    </row>
    <row r="35" spans="2:10" ht="12.75" customHeight="1">
      <c r="B35" s="14"/>
      <c r="C35" s="15"/>
      <c r="D35" s="15"/>
      <c r="E35" s="16"/>
      <c r="F35" s="15"/>
      <c r="G35" s="44"/>
      <c r="H35" s="44"/>
      <c r="I35" s="20"/>
      <c r="J35" s="139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0</v>
      </c>
      <c r="H36" s="20">
        <f>SUM(H37:H38)</f>
        <v>0</v>
      </c>
      <c r="I36" s="20">
        <f>SUM(I37:I38)</f>
        <v>0</v>
      </c>
      <c r="J36" s="139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4">
        <v>0</v>
      </c>
      <c r="H37" s="44">
        <v>0</v>
      </c>
      <c r="I37" s="78">
        <v>0</v>
      </c>
      <c r="J37" s="140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4">
        <v>0</v>
      </c>
      <c r="H38" s="44">
        <v>0</v>
      </c>
      <c r="I38" s="44">
        <v>0</v>
      </c>
      <c r="J38" s="140">
        <f t="shared" si="0"/>
      </c>
    </row>
    <row r="39" spans="2:10" ht="12.75" customHeight="1">
      <c r="B39" s="14"/>
      <c r="C39" s="15"/>
      <c r="D39" s="15"/>
      <c r="E39" s="16"/>
      <c r="F39" s="15"/>
      <c r="G39" s="44"/>
      <c r="H39" s="44"/>
      <c r="I39" s="44"/>
      <c r="J39" s="140">
        <f t="shared" si="0"/>
      </c>
    </row>
    <row r="40" spans="2:10" ht="12.75" customHeight="1">
      <c r="B40" s="14"/>
      <c r="C40" s="15"/>
      <c r="D40" s="15"/>
      <c r="E40" s="16"/>
      <c r="F40" s="15"/>
      <c r="G40" s="44"/>
      <c r="H40" s="44"/>
      <c r="I40" s="20"/>
      <c r="J40" s="140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692</v>
      </c>
      <c r="H41" s="25" t="s">
        <v>692</v>
      </c>
      <c r="I41" s="25">
        <v>0</v>
      </c>
      <c r="J41" s="140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4798</v>
      </c>
      <c r="H42" s="20">
        <f>H7+H13+H17+H36</f>
        <v>4798</v>
      </c>
      <c r="I42" s="20">
        <f>I7+I13+I17+I36</f>
        <v>4798</v>
      </c>
      <c r="J42" s="139">
        <f t="shared" si="0"/>
        <v>100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G42+1!G42</f>
        <v>815910</v>
      </c>
      <c r="H43" s="20">
        <f>H42+1!H42</f>
        <v>815910</v>
      </c>
      <c r="I43" s="20">
        <f>I42+1!I42</f>
        <v>809714</v>
      </c>
      <c r="J43" s="139">
        <f t="shared" si="0"/>
        <v>99.24060251743452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G43+1!G43</f>
        <v>815910</v>
      </c>
      <c r="H44" s="20">
        <f>H43+1!H43</f>
        <v>815910</v>
      </c>
      <c r="I44" s="20">
        <f>I43+1!I43</f>
        <v>809714</v>
      </c>
      <c r="J44" s="139">
        <f t="shared" si="0"/>
        <v>99.24060251743452</v>
      </c>
    </row>
    <row r="45" spans="2:10" ht="12.75" customHeight="1" thickBot="1">
      <c r="B45" s="21"/>
      <c r="C45" s="22"/>
      <c r="D45" s="22"/>
      <c r="E45" s="23"/>
      <c r="F45" s="22"/>
      <c r="G45" s="36"/>
      <c r="H45" s="49"/>
      <c r="I45" s="22"/>
      <c r="J45" s="143"/>
    </row>
    <row r="47" ht="12.75">
      <c r="B47" s="77"/>
    </row>
  </sheetData>
  <sheetProtection/>
  <mergeCells count="2">
    <mergeCell ref="B2:I2"/>
    <mergeCell ref="F3:H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N62"/>
  <sheetViews>
    <sheetView workbookViewId="0" topLeftCell="B22">
      <selection activeCell="J55" sqref="J5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ht="15" customHeight="1">
      <c r="B2" s="461" t="s">
        <v>123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84</v>
      </c>
      <c r="E6" s="9"/>
      <c r="F6" s="9"/>
      <c r="G6" s="9"/>
      <c r="H6" s="9"/>
      <c r="I6" s="148"/>
      <c r="J6" s="138"/>
    </row>
    <row r="7" spans="2:10" s="2" customFormat="1" ht="12.75" customHeight="1">
      <c r="B7" s="10"/>
      <c r="C7" s="11"/>
      <c r="D7" s="11"/>
      <c r="E7" s="9">
        <v>600000</v>
      </c>
      <c r="F7" s="27" t="s">
        <v>125</v>
      </c>
      <c r="G7" s="327">
        <f>SUM(G8:G10)</f>
        <v>675000</v>
      </c>
      <c r="H7" s="327">
        <f>SUM(H8:H10)</f>
        <v>675000</v>
      </c>
      <c r="I7" s="149">
        <f>I8+I9+I10</f>
        <v>670775</v>
      </c>
      <c r="J7" s="185">
        <f aca="true" t="shared" si="0" ref="J7:J56">IF(H7=0,"",I7/H7*100)</f>
        <v>99.37407407407407</v>
      </c>
    </row>
    <row r="8" spans="2:10" s="2" customFormat="1" ht="12.75" customHeight="1">
      <c r="B8" s="10"/>
      <c r="C8" s="11"/>
      <c r="D8" s="11"/>
      <c r="E8" s="56">
        <v>600000</v>
      </c>
      <c r="F8" s="57" t="s">
        <v>99</v>
      </c>
      <c r="G8" s="326">
        <v>630000</v>
      </c>
      <c r="H8" s="326">
        <v>630000</v>
      </c>
      <c r="I8" s="147">
        <v>625775</v>
      </c>
      <c r="J8" s="140">
        <f t="shared" si="0"/>
        <v>99.32936507936509</v>
      </c>
    </row>
    <row r="9" spans="2:10" s="2" customFormat="1" ht="12.75" customHeight="1">
      <c r="B9" s="10"/>
      <c r="C9" s="11"/>
      <c r="D9" s="11"/>
      <c r="E9" s="56">
        <v>600000</v>
      </c>
      <c r="F9" s="57" t="s">
        <v>100</v>
      </c>
      <c r="G9" s="326">
        <v>30000</v>
      </c>
      <c r="H9" s="326">
        <v>30000</v>
      </c>
      <c r="I9" s="147">
        <v>30000</v>
      </c>
      <c r="J9" s="140">
        <f t="shared" si="0"/>
        <v>100</v>
      </c>
    </row>
    <row r="10" spans="2:10" s="2" customFormat="1" ht="12.75" customHeight="1">
      <c r="B10" s="10"/>
      <c r="C10" s="11"/>
      <c r="D10" s="11"/>
      <c r="E10" s="56">
        <v>600000</v>
      </c>
      <c r="F10" s="57" t="s">
        <v>126</v>
      </c>
      <c r="G10" s="326">
        <v>15000</v>
      </c>
      <c r="H10" s="326">
        <v>15000</v>
      </c>
      <c r="I10" s="147">
        <v>15000</v>
      </c>
      <c r="J10" s="140">
        <f t="shared" si="0"/>
        <v>100</v>
      </c>
    </row>
    <row r="11" spans="2:10" s="2" customFormat="1" ht="12.75" customHeight="1">
      <c r="B11" s="10"/>
      <c r="C11" s="11"/>
      <c r="D11" s="11"/>
      <c r="E11" s="9"/>
      <c r="F11" s="9"/>
      <c r="G11" s="327"/>
      <c r="H11" s="327"/>
      <c r="I11" s="150"/>
      <c r="J11" s="140">
        <f t="shared" si="0"/>
      </c>
    </row>
    <row r="12" spans="2:10" s="1" customFormat="1" ht="12.75" customHeight="1">
      <c r="B12" s="17"/>
      <c r="C12" s="12"/>
      <c r="D12" s="12"/>
      <c r="E12" s="9">
        <v>611000</v>
      </c>
      <c r="F12" s="12" t="s">
        <v>168</v>
      </c>
      <c r="G12" s="327">
        <f>SUM(G13:G15)</f>
        <v>295090</v>
      </c>
      <c r="H12" s="327">
        <f>SUM(H13:H15)</f>
        <v>295090</v>
      </c>
      <c r="I12" s="150">
        <f>SUM(I13:I16)</f>
        <v>286164</v>
      </c>
      <c r="J12" s="185">
        <f t="shared" si="0"/>
        <v>96.97516012064116</v>
      </c>
    </row>
    <row r="13" spans="2:10" ht="12.75" customHeight="1">
      <c r="B13" s="14"/>
      <c r="C13" s="15"/>
      <c r="D13" s="15"/>
      <c r="E13" s="16">
        <v>611100</v>
      </c>
      <c r="F13" s="26" t="s">
        <v>203</v>
      </c>
      <c r="G13" s="328">
        <v>106480</v>
      </c>
      <c r="H13" s="328">
        <v>106480</v>
      </c>
      <c r="I13" s="144">
        <v>105476</v>
      </c>
      <c r="J13" s="140">
        <f t="shared" si="0"/>
        <v>99.05709992486852</v>
      </c>
    </row>
    <row r="14" spans="2:11" ht="12.75" customHeight="1">
      <c r="B14" s="14"/>
      <c r="C14" s="15"/>
      <c r="D14" s="15"/>
      <c r="E14" s="16">
        <v>611200</v>
      </c>
      <c r="F14" s="15" t="s">
        <v>204</v>
      </c>
      <c r="G14" s="329">
        <v>28610</v>
      </c>
      <c r="H14" s="329">
        <v>28610</v>
      </c>
      <c r="I14" s="144">
        <v>27666</v>
      </c>
      <c r="J14" s="140">
        <f t="shared" si="0"/>
        <v>96.70045438657812</v>
      </c>
      <c r="K14" s="83"/>
    </row>
    <row r="15" spans="2:12" ht="12.75" customHeight="1">
      <c r="B15" s="14"/>
      <c r="C15" s="15"/>
      <c r="D15" s="15"/>
      <c r="E15" s="16">
        <v>611200</v>
      </c>
      <c r="F15" s="26" t="s">
        <v>693</v>
      </c>
      <c r="G15" s="330">
        <v>160000</v>
      </c>
      <c r="H15" s="330">
        <v>160000</v>
      </c>
      <c r="I15" s="147">
        <v>153022</v>
      </c>
      <c r="J15" s="140">
        <f t="shared" si="0"/>
        <v>95.63874999999999</v>
      </c>
      <c r="L15" s="82"/>
    </row>
    <row r="16" spans="2:10" ht="12.75" customHeight="1">
      <c r="B16" s="14"/>
      <c r="C16" s="15"/>
      <c r="D16" s="15"/>
      <c r="E16" s="16"/>
      <c r="F16" s="26"/>
      <c r="G16" s="328"/>
      <c r="H16" s="328"/>
      <c r="I16" s="145"/>
      <c r="J16" s="140">
        <f t="shared" si="0"/>
      </c>
    </row>
    <row r="17" spans="2:10" ht="12.75" customHeight="1">
      <c r="B17" s="14"/>
      <c r="C17" s="15"/>
      <c r="D17" s="15"/>
      <c r="E17" s="16"/>
      <c r="F17" s="15"/>
      <c r="G17" s="329"/>
      <c r="H17" s="329"/>
      <c r="I17" s="144"/>
      <c r="J17" s="140">
        <f t="shared" si="0"/>
      </c>
    </row>
    <row r="18" spans="2:10" s="1" customFormat="1" ht="12.75" customHeight="1">
      <c r="B18" s="17"/>
      <c r="C18" s="12"/>
      <c r="D18" s="12"/>
      <c r="E18" s="9">
        <v>612000</v>
      </c>
      <c r="F18" s="12" t="s">
        <v>167</v>
      </c>
      <c r="G18" s="327">
        <f>G19</f>
        <v>11440</v>
      </c>
      <c r="H18" s="327">
        <f>H19</f>
        <v>11440</v>
      </c>
      <c r="I18" s="150">
        <f>I19+I20</f>
        <v>11239</v>
      </c>
      <c r="J18" s="185">
        <f t="shared" si="0"/>
        <v>98.243006993007</v>
      </c>
    </row>
    <row r="19" spans="2:10" ht="12.75" customHeight="1">
      <c r="B19" s="14"/>
      <c r="C19" s="15"/>
      <c r="D19" s="15"/>
      <c r="E19" s="16">
        <v>612100</v>
      </c>
      <c r="F19" s="18" t="s">
        <v>85</v>
      </c>
      <c r="G19" s="326">
        <v>11440</v>
      </c>
      <c r="H19" s="326">
        <v>11440</v>
      </c>
      <c r="I19" s="144">
        <v>11239</v>
      </c>
      <c r="J19" s="140">
        <f t="shared" si="0"/>
        <v>98.243006993007</v>
      </c>
    </row>
    <row r="20" spans="2:10" ht="12.75" customHeight="1">
      <c r="B20" s="14"/>
      <c r="C20" s="15"/>
      <c r="D20" s="15"/>
      <c r="E20" s="16"/>
      <c r="F20" s="15"/>
      <c r="G20" s="329"/>
      <c r="H20" s="329"/>
      <c r="I20" s="144"/>
      <c r="J20" s="140">
        <f t="shared" si="0"/>
      </c>
    </row>
    <row r="21" spans="2:10" ht="12.75" customHeight="1">
      <c r="B21" s="14"/>
      <c r="C21" s="15"/>
      <c r="D21" s="15"/>
      <c r="E21" s="16"/>
      <c r="F21" s="15"/>
      <c r="G21" s="329"/>
      <c r="H21" s="329"/>
      <c r="I21" s="144"/>
      <c r="J21" s="140">
        <f t="shared" si="0"/>
      </c>
    </row>
    <row r="22" spans="2:10" s="1" customFormat="1" ht="12.75" customHeight="1">
      <c r="B22" s="17"/>
      <c r="C22" s="12"/>
      <c r="D22" s="12"/>
      <c r="E22" s="9">
        <v>613000</v>
      </c>
      <c r="F22" s="12" t="s">
        <v>169</v>
      </c>
      <c r="G22" s="327">
        <f>SUM(G23:G33)</f>
        <v>387460</v>
      </c>
      <c r="H22" s="327">
        <f>SUM(H23:H33)</f>
        <v>397460</v>
      </c>
      <c r="I22" s="145">
        <f>SUM(I23:I33)</f>
        <v>395407</v>
      </c>
      <c r="J22" s="185">
        <f t="shared" si="0"/>
        <v>99.48347003472048</v>
      </c>
    </row>
    <row r="23" spans="2:11" ht="12.75" customHeight="1">
      <c r="B23" s="14"/>
      <c r="C23" s="15"/>
      <c r="D23" s="15"/>
      <c r="E23" s="16">
        <v>613100</v>
      </c>
      <c r="F23" s="15" t="s">
        <v>86</v>
      </c>
      <c r="G23" s="329">
        <v>14000</v>
      </c>
      <c r="H23" s="329">
        <v>13380</v>
      </c>
      <c r="I23" s="144">
        <v>13372</v>
      </c>
      <c r="J23" s="140">
        <f t="shared" si="0"/>
        <v>99.94020926756353</v>
      </c>
      <c r="K23" s="83"/>
    </row>
    <row r="24" spans="2:14" ht="12.75" customHeight="1">
      <c r="B24" s="14"/>
      <c r="C24" s="15"/>
      <c r="D24" s="15"/>
      <c r="E24" s="16">
        <v>613200</v>
      </c>
      <c r="F24" s="15" t="s">
        <v>87</v>
      </c>
      <c r="G24" s="329">
        <v>0</v>
      </c>
      <c r="H24" s="329">
        <v>0</v>
      </c>
      <c r="I24" s="144">
        <v>0</v>
      </c>
      <c r="J24" s="140">
        <f t="shared" si="0"/>
      </c>
      <c r="K24" s="83"/>
      <c r="N24" s="83"/>
    </row>
    <row r="25" spans="2:11" ht="12.75" customHeight="1">
      <c r="B25" s="14"/>
      <c r="C25" s="15"/>
      <c r="D25" s="15"/>
      <c r="E25" s="16">
        <v>613300</v>
      </c>
      <c r="F25" s="26" t="s">
        <v>205</v>
      </c>
      <c r="G25" s="328">
        <v>5500</v>
      </c>
      <c r="H25" s="328">
        <v>5500</v>
      </c>
      <c r="I25" s="144">
        <v>5184</v>
      </c>
      <c r="J25" s="140">
        <f t="shared" si="0"/>
        <v>94.25454545454545</v>
      </c>
      <c r="K25" s="83"/>
    </row>
    <row r="26" spans="2:11" ht="12.75" customHeight="1">
      <c r="B26" s="14"/>
      <c r="C26" s="15"/>
      <c r="D26" s="15"/>
      <c r="E26" s="16">
        <v>613400</v>
      </c>
      <c r="F26" s="15" t="s">
        <v>170</v>
      </c>
      <c r="G26" s="329">
        <v>1500</v>
      </c>
      <c r="H26" s="329">
        <v>620</v>
      </c>
      <c r="I26" s="144">
        <v>613</v>
      </c>
      <c r="J26" s="140">
        <f t="shared" si="0"/>
        <v>98.87096774193549</v>
      </c>
      <c r="K26" s="83"/>
    </row>
    <row r="27" spans="2:11" ht="12.75" customHeight="1">
      <c r="B27" s="14"/>
      <c r="C27" s="15"/>
      <c r="D27" s="15"/>
      <c r="E27" s="16">
        <v>613500</v>
      </c>
      <c r="F27" s="15" t="s">
        <v>88</v>
      </c>
      <c r="G27" s="329">
        <v>1500</v>
      </c>
      <c r="H27" s="329">
        <v>1500</v>
      </c>
      <c r="I27" s="146">
        <v>1175</v>
      </c>
      <c r="J27" s="140">
        <f t="shared" si="0"/>
        <v>78.33333333333333</v>
      </c>
      <c r="K27" s="83"/>
    </row>
    <row r="28" spans="2:11" ht="12.75" customHeight="1">
      <c r="B28" s="14"/>
      <c r="C28" s="15"/>
      <c r="D28" s="15"/>
      <c r="E28" s="16">
        <v>613600</v>
      </c>
      <c r="F28" s="26" t="s">
        <v>206</v>
      </c>
      <c r="G28" s="328">
        <v>0</v>
      </c>
      <c r="H28" s="328">
        <v>0</v>
      </c>
      <c r="I28" s="144">
        <v>0</v>
      </c>
      <c r="J28" s="140">
        <f t="shared" si="0"/>
      </c>
      <c r="K28" s="83"/>
    </row>
    <row r="29" spans="2:11" ht="12.75" customHeight="1">
      <c r="B29" s="14"/>
      <c r="C29" s="15"/>
      <c r="D29" s="15"/>
      <c r="E29" s="16">
        <v>613700</v>
      </c>
      <c r="F29" s="15" t="s">
        <v>89</v>
      </c>
      <c r="G29" s="329">
        <v>7000</v>
      </c>
      <c r="H29" s="329">
        <v>6290</v>
      </c>
      <c r="I29" s="144">
        <v>6287</v>
      </c>
      <c r="J29" s="140">
        <f t="shared" si="0"/>
        <v>99.9523052464229</v>
      </c>
      <c r="K29" s="83"/>
    </row>
    <row r="30" spans="2:11" ht="12.75" customHeight="1">
      <c r="B30" s="14"/>
      <c r="C30" s="15"/>
      <c r="D30" s="15"/>
      <c r="E30" s="16">
        <v>613800</v>
      </c>
      <c r="F30" s="15" t="s">
        <v>171</v>
      </c>
      <c r="G30" s="329">
        <v>3460</v>
      </c>
      <c r="H30" s="329">
        <v>2490</v>
      </c>
      <c r="I30" s="147">
        <v>2460</v>
      </c>
      <c r="J30" s="140">
        <f t="shared" si="0"/>
        <v>98.79518072289156</v>
      </c>
      <c r="K30" s="83"/>
    </row>
    <row r="31" spans="2:13" ht="12.75" customHeight="1">
      <c r="B31" s="14"/>
      <c r="C31" s="15"/>
      <c r="D31" s="15"/>
      <c r="E31" s="106">
        <v>613900</v>
      </c>
      <c r="F31" s="19" t="s">
        <v>172</v>
      </c>
      <c r="G31" s="331">
        <v>152100</v>
      </c>
      <c r="H31" s="331">
        <v>168470</v>
      </c>
      <c r="I31" s="147">
        <v>167118</v>
      </c>
      <c r="J31" s="140">
        <f t="shared" si="0"/>
        <v>99.19748323143587</v>
      </c>
      <c r="K31" s="322"/>
      <c r="L31" s="83"/>
      <c r="M31" s="83"/>
    </row>
    <row r="32" spans="2:12" ht="12.75" customHeight="1">
      <c r="B32" s="14"/>
      <c r="C32" s="15"/>
      <c r="D32" s="15"/>
      <c r="E32" s="16">
        <v>613900</v>
      </c>
      <c r="F32" s="26" t="s">
        <v>212</v>
      </c>
      <c r="G32" s="328">
        <v>29500</v>
      </c>
      <c r="H32" s="328">
        <v>30310</v>
      </c>
      <c r="I32" s="147">
        <v>30304</v>
      </c>
      <c r="J32" s="140">
        <f t="shared" si="0"/>
        <v>99.98020455295283</v>
      </c>
      <c r="K32" s="85"/>
      <c r="L32" s="83"/>
    </row>
    <row r="33" spans="2:11" ht="12.75" customHeight="1">
      <c r="B33" s="14"/>
      <c r="C33" s="15"/>
      <c r="D33" s="15"/>
      <c r="E33" s="16">
        <v>613900</v>
      </c>
      <c r="F33" s="98" t="s">
        <v>694</v>
      </c>
      <c r="G33" s="332">
        <v>172900</v>
      </c>
      <c r="H33" s="332">
        <v>168900</v>
      </c>
      <c r="I33" s="144">
        <v>168894</v>
      </c>
      <c r="J33" s="140">
        <f t="shared" si="0"/>
        <v>99.99644760213144</v>
      </c>
      <c r="K33" s="85"/>
    </row>
    <row r="34" spans="2:10" ht="12.75" customHeight="1">
      <c r="B34" s="14"/>
      <c r="C34" s="15"/>
      <c r="D34" s="15"/>
      <c r="E34" s="16"/>
      <c r="F34" s="15"/>
      <c r="G34" s="329"/>
      <c r="H34" s="329"/>
      <c r="I34" s="144"/>
      <c r="J34" s="140">
        <f t="shared" si="0"/>
      </c>
    </row>
    <row r="35" spans="2:10" s="1" customFormat="1" ht="12.75" customHeight="1">
      <c r="B35" s="17"/>
      <c r="C35" s="12"/>
      <c r="D35" s="12"/>
      <c r="E35" s="9">
        <v>614000</v>
      </c>
      <c r="F35" s="12" t="s">
        <v>207</v>
      </c>
      <c r="G35" s="327">
        <f>SUM(G36:G45)</f>
        <v>855000</v>
      </c>
      <c r="H35" s="327">
        <f>SUM(H36:H45)</f>
        <v>855000</v>
      </c>
      <c r="I35" s="150">
        <f>SUM(I36:I45)</f>
        <v>854960</v>
      </c>
      <c r="J35" s="185">
        <f t="shared" si="0"/>
        <v>99.9953216374269</v>
      </c>
    </row>
    <row r="36" spans="2:10" s="86" customFormat="1" ht="12.75" customHeight="1">
      <c r="B36" s="87"/>
      <c r="C36" s="18"/>
      <c r="D36" s="18"/>
      <c r="E36" s="56">
        <v>614100</v>
      </c>
      <c r="F36" s="18" t="s">
        <v>327</v>
      </c>
      <c r="G36" s="326">
        <v>200000</v>
      </c>
      <c r="H36" s="326">
        <v>200000</v>
      </c>
      <c r="I36" s="146">
        <v>200000</v>
      </c>
      <c r="J36" s="140">
        <f t="shared" si="0"/>
        <v>100</v>
      </c>
    </row>
    <row r="37" spans="2:10" s="86" customFormat="1" ht="12.75" customHeight="1">
      <c r="B37" s="87"/>
      <c r="C37" s="18"/>
      <c r="D37" s="18"/>
      <c r="E37" s="56">
        <v>614100</v>
      </c>
      <c r="F37" s="103" t="s">
        <v>328</v>
      </c>
      <c r="G37" s="333">
        <v>200000</v>
      </c>
      <c r="H37" s="333">
        <v>200000</v>
      </c>
      <c r="I37" s="146">
        <v>200000</v>
      </c>
      <c r="J37" s="140">
        <f t="shared" si="0"/>
        <v>100</v>
      </c>
    </row>
    <row r="38" spans="2:14" s="183" customFormat="1" ht="26.25" customHeight="1">
      <c r="B38" s="178"/>
      <c r="C38" s="179"/>
      <c r="D38" s="179"/>
      <c r="E38" s="180">
        <v>614200</v>
      </c>
      <c r="F38" s="181" t="s">
        <v>329</v>
      </c>
      <c r="G38" s="334">
        <v>100000</v>
      </c>
      <c r="H38" s="334">
        <v>100000</v>
      </c>
      <c r="I38" s="182">
        <v>99960</v>
      </c>
      <c r="J38" s="140">
        <f t="shared" si="0"/>
        <v>99.96000000000001</v>
      </c>
      <c r="N38" s="184"/>
    </row>
    <row r="39" spans="2:10" ht="12.75" customHeight="1">
      <c r="B39" s="14"/>
      <c r="C39" s="15"/>
      <c r="D39" s="15"/>
      <c r="E39" s="16">
        <v>614300</v>
      </c>
      <c r="F39" s="29" t="s">
        <v>111</v>
      </c>
      <c r="G39" s="335">
        <v>70000</v>
      </c>
      <c r="H39" s="335">
        <v>70000</v>
      </c>
      <c r="I39" s="151">
        <v>70000</v>
      </c>
      <c r="J39" s="140">
        <f t="shared" si="0"/>
        <v>100</v>
      </c>
    </row>
    <row r="40" spans="2:10" ht="12.75" customHeight="1">
      <c r="B40" s="14"/>
      <c r="C40" s="15"/>
      <c r="D40" s="15"/>
      <c r="E40" s="16">
        <v>614300</v>
      </c>
      <c r="F40" s="98" t="s">
        <v>227</v>
      </c>
      <c r="G40" s="336">
        <v>35000</v>
      </c>
      <c r="H40" s="336">
        <v>35000</v>
      </c>
      <c r="I40" s="151">
        <v>35000</v>
      </c>
      <c r="J40" s="140">
        <f t="shared" si="0"/>
        <v>100</v>
      </c>
    </row>
    <row r="41" spans="2:10" ht="12.75" customHeight="1">
      <c r="B41" s="14"/>
      <c r="C41" s="15"/>
      <c r="D41" s="15"/>
      <c r="E41" s="16">
        <v>614300</v>
      </c>
      <c r="F41" s="98" t="s">
        <v>313</v>
      </c>
      <c r="G41" s="336">
        <v>25000</v>
      </c>
      <c r="H41" s="336">
        <v>25000</v>
      </c>
      <c r="I41" s="151">
        <v>25000</v>
      </c>
      <c r="J41" s="140">
        <f t="shared" si="0"/>
        <v>100</v>
      </c>
    </row>
    <row r="42" spans="2:10" ht="12.75" customHeight="1">
      <c r="B42" s="14"/>
      <c r="C42" s="15"/>
      <c r="D42" s="15"/>
      <c r="E42" s="16">
        <v>614300</v>
      </c>
      <c r="F42" s="98" t="s">
        <v>324</v>
      </c>
      <c r="G42" s="333">
        <v>25000</v>
      </c>
      <c r="H42" s="333">
        <v>25000</v>
      </c>
      <c r="I42" s="151">
        <v>25000</v>
      </c>
      <c r="J42" s="140">
        <f t="shared" si="0"/>
        <v>100</v>
      </c>
    </row>
    <row r="43" spans="2:10" ht="24.75" customHeight="1">
      <c r="B43" s="14"/>
      <c r="C43" s="15"/>
      <c r="D43" s="15"/>
      <c r="E43" s="16">
        <v>614300</v>
      </c>
      <c r="F43" s="280" t="s">
        <v>609</v>
      </c>
      <c r="G43" s="342">
        <v>10000</v>
      </c>
      <c r="H43" s="342">
        <v>10000</v>
      </c>
      <c r="I43" s="151">
        <v>10000</v>
      </c>
      <c r="J43" s="140">
        <f t="shared" si="0"/>
        <v>100</v>
      </c>
    </row>
    <row r="44" spans="2:10" ht="12.75" customHeight="1">
      <c r="B44" s="14"/>
      <c r="C44" s="15"/>
      <c r="D44" s="15"/>
      <c r="E44" s="16">
        <v>614300</v>
      </c>
      <c r="F44" s="98" t="s">
        <v>229</v>
      </c>
      <c r="G44" s="336">
        <v>30000</v>
      </c>
      <c r="H44" s="336">
        <v>30000</v>
      </c>
      <c r="I44" s="151">
        <v>30000</v>
      </c>
      <c r="J44" s="140">
        <f t="shared" si="0"/>
        <v>100</v>
      </c>
    </row>
    <row r="45" spans="2:10" ht="12.75" customHeight="1">
      <c r="B45" s="14"/>
      <c r="C45" s="15"/>
      <c r="D45" s="15"/>
      <c r="E45" s="16">
        <v>614300</v>
      </c>
      <c r="F45" s="279" t="s">
        <v>98</v>
      </c>
      <c r="G45" s="332">
        <v>160000</v>
      </c>
      <c r="H45" s="332">
        <v>160000</v>
      </c>
      <c r="I45" s="151">
        <v>160000</v>
      </c>
      <c r="J45" s="140">
        <f t="shared" si="0"/>
        <v>100</v>
      </c>
    </row>
    <row r="46" spans="2:10" ht="12.75" customHeight="1">
      <c r="B46" s="14"/>
      <c r="C46" s="15"/>
      <c r="D46" s="15"/>
      <c r="E46" s="16"/>
      <c r="F46" s="98"/>
      <c r="G46" s="337"/>
      <c r="H46" s="337"/>
      <c r="I46" s="151"/>
      <c r="J46" s="140">
        <f t="shared" si="0"/>
      </c>
    </row>
    <row r="47" spans="2:10" ht="12.75" customHeight="1">
      <c r="B47" s="14"/>
      <c r="C47" s="15"/>
      <c r="D47" s="15"/>
      <c r="E47" s="9">
        <v>615000</v>
      </c>
      <c r="F47" s="12" t="s">
        <v>91</v>
      </c>
      <c r="G47" s="327">
        <f>G48</f>
        <v>400000</v>
      </c>
      <c r="H47" s="327">
        <f>H48</f>
        <v>400000</v>
      </c>
      <c r="I47" s="150">
        <f>I48</f>
        <v>400000</v>
      </c>
      <c r="J47" s="185">
        <f t="shared" si="0"/>
        <v>100</v>
      </c>
    </row>
    <row r="48" spans="2:10" ht="12.75" customHeight="1">
      <c r="B48" s="14"/>
      <c r="C48" s="15"/>
      <c r="D48" s="15"/>
      <c r="E48" s="56">
        <v>615100</v>
      </c>
      <c r="F48" s="18" t="s">
        <v>91</v>
      </c>
      <c r="G48" s="326">
        <v>400000</v>
      </c>
      <c r="H48" s="326">
        <v>400000</v>
      </c>
      <c r="I48" s="146">
        <v>400000</v>
      </c>
      <c r="J48" s="140">
        <f t="shared" si="0"/>
        <v>100</v>
      </c>
    </row>
    <row r="49" spans="2:10" ht="12.75" customHeight="1">
      <c r="B49" s="14"/>
      <c r="C49" s="15"/>
      <c r="D49" s="15"/>
      <c r="E49" s="16"/>
      <c r="F49" s="19"/>
      <c r="G49" s="331"/>
      <c r="H49" s="331"/>
      <c r="I49" s="147"/>
      <c r="J49" s="140">
        <f t="shared" si="0"/>
      </c>
    </row>
    <row r="50" spans="2:10" ht="12.75" customHeight="1">
      <c r="B50" s="17"/>
      <c r="C50" s="12"/>
      <c r="D50" s="12"/>
      <c r="E50" s="9">
        <v>821000</v>
      </c>
      <c r="F50" s="12" t="s">
        <v>92</v>
      </c>
      <c r="G50" s="25">
        <f>SUM(G51:G53)</f>
        <v>466120</v>
      </c>
      <c r="H50" s="25">
        <f>SUM(H51:H53)</f>
        <v>477740</v>
      </c>
      <c r="I50" s="20">
        <f>SUM(I51:I53)</f>
        <v>477730</v>
      </c>
      <c r="J50" s="185">
        <f t="shared" si="0"/>
        <v>99.99790681123623</v>
      </c>
    </row>
    <row r="51" spans="2:10" ht="12.75" customHeight="1">
      <c r="B51" s="14"/>
      <c r="C51" s="15"/>
      <c r="D51" s="15"/>
      <c r="E51" s="16">
        <v>821200</v>
      </c>
      <c r="F51" s="15" t="s">
        <v>93</v>
      </c>
      <c r="G51" s="338">
        <v>0</v>
      </c>
      <c r="H51" s="338">
        <v>0</v>
      </c>
      <c r="I51" s="44">
        <v>0</v>
      </c>
      <c r="J51" s="140">
        <f t="shared" si="0"/>
      </c>
    </row>
    <row r="52" spans="2:10" ht="12.75" customHeight="1">
      <c r="B52" s="14"/>
      <c r="C52" s="15"/>
      <c r="D52" s="15"/>
      <c r="E52" s="16">
        <v>821300</v>
      </c>
      <c r="F52" s="15" t="s">
        <v>94</v>
      </c>
      <c r="G52" s="338">
        <v>85000</v>
      </c>
      <c r="H52" s="338">
        <v>58680</v>
      </c>
      <c r="I52" s="45">
        <v>58674</v>
      </c>
      <c r="J52" s="140">
        <f t="shared" si="0"/>
        <v>99.98977505112474</v>
      </c>
    </row>
    <row r="53" spans="2:10" ht="12.75" customHeight="1">
      <c r="B53" s="14"/>
      <c r="C53" s="15"/>
      <c r="D53" s="15"/>
      <c r="E53" s="16">
        <v>821500</v>
      </c>
      <c r="F53" s="15" t="s">
        <v>612</v>
      </c>
      <c r="G53" s="338">
        <v>381120</v>
      </c>
      <c r="H53" s="338">
        <v>419060</v>
      </c>
      <c r="I53" s="156">
        <v>419056</v>
      </c>
      <c r="J53" s="140">
        <f t="shared" si="0"/>
        <v>99.99904548274709</v>
      </c>
    </row>
    <row r="54" spans="2:10" s="1" customFormat="1" ht="12.75" customHeight="1">
      <c r="B54" s="14"/>
      <c r="C54" s="15"/>
      <c r="D54" s="15"/>
      <c r="E54" s="16"/>
      <c r="F54" s="15"/>
      <c r="G54" s="338"/>
      <c r="H54" s="338"/>
      <c r="I54" s="20"/>
      <c r="J54" s="140">
        <f t="shared" si="0"/>
      </c>
    </row>
    <row r="55" spans="2:10" ht="12.75" customHeight="1">
      <c r="B55" s="17"/>
      <c r="C55" s="12"/>
      <c r="D55" s="12"/>
      <c r="E55" s="9"/>
      <c r="F55" s="12" t="s">
        <v>95</v>
      </c>
      <c r="G55" s="25">
        <v>5</v>
      </c>
      <c r="H55" s="25">
        <v>5</v>
      </c>
      <c r="I55" s="20">
        <v>5</v>
      </c>
      <c r="J55" s="140"/>
    </row>
    <row r="56" spans="2:10" ht="12.75" customHeight="1">
      <c r="B56" s="17"/>
      <c r="C56" s="12"/>
      <c r="D56" s="12"/>
      <c r="E56" s="9"/>
      <c r="F56" s="12" t="s">
        <v>116</v>
      </c>
      <c r="G56" s="20">
        <f>G7+G12+G18+G22+G35+G47+G50</f>
        <v>3090110</v>
      </c>
      <c r="H56" s="20">
        <f>H7+H12+H18+H22+H35+H47+H50</f>
        <v>3111730</v>
      </c>
      <c r="I56" s="20">
        <f>I7+I12+I18+I22+I35+I47+I50</f>
        <v>3096275</v>
      </c>
      <c r="J56" s="185">
        <f t="shared" si="0"/>
        <v>99.50333094452282</v>
      </c>
    </row>
    <row r="57" spans="2:10" ht="12.75" customHeight="1">
      <c r="B57" s="17"/>
      <c r="C57" s="12"/>
      <c r="D57" s="12"/>
      <c r="E57" s="9"/>
      <c r="F57" s="12" t="s">
        <v>96</v>
      </c>
      <c r="G57" s="12"/>
      <c r="H57" s="20"/>
      <c r="I57" s="15"/>
      <c r="J57" s="141"/>
    </row>
    <row r="58" spans="2:10" ht="12.75" customHeight="1">
      <c r="B58" s="17"/>
      <c r="C58" s="12"/>
      <c r="D58" s="12"/>
      <c r="E58" s="9"/>
      <c r="F58" s="12" t="s">
        <v>97</v>
      </c>
      <c r="G58" s="12"/>
      <c r="H58" s="20"/>
      <c r="I58" s="15"/>
      <c r="J58" s="141"/>
    </row>
    <row r="59" spans="2:10" s="1" customFormat="1" ht="12.75" customHeight="1" thickBot="1">
      <c r="B59" s="21"/>
      <c r="C59" s="22"/>
      <c r="D59" s="22"/>
      <c r="E59" s="23"/>
      <c r="F59" s="22"/>
      <c r="G59" s="22"/>
      <c r="H59" s="46"/>
      <c r="I59" s="22"/>
      <c r="J59" s="143"/>
    </row>
    <row r="60" spans="2:10" s="1" customFormat="1" ht="12.75" customHeight="1">
      <c r="B60" s="13"/>
      <c r="C60" s="13"/>
      <c r="D60" s="13"/>
      <c r="E60" s="24"/>
      <c r="F60" s="13"/>
      <c r="G60" s="13"/>
      <c r="H60" s="13"/>
      <c r="I60" s="13"/>
      <c r="J60" s="127"/>
    </row>
    <row r="61" spans="2:10" s="1" customFormat="1" ht="12.75" customHeight="1">
      <c r="B61" s="13"/>
      <c r="C61" s="13"/>
      <c r="D61" s="13"/>
      <c r="E61" s="24"/>
      <c r="F61" s="13"/>
      <c r="G61" s="13"/>
      <c r="H61" s="13"/>
      <c r="I61" s="13"/>
      <c r="J61" s="127"/>
    </row>
    <row r="62" spans="2:10" s="1" customFormat="1" ht="12.75" customHeight="1">
      <c r="B62" s="13"/>
      <c r="C62" s="13"/>
      <c r="D62" s="13"/>
      <c r="E62" s="24"/>
      <c r="F62" s="13"/>
      <c r="G62" s="13"/>
      <c r="H62" s="13"/>
      <c r="I62" s="13"/>
      <c r="J62" s="127"/>
    </row>
    <row r="63" ht="12.75" customHeight="1"/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48"/>
  <sheetViews>
    <sheetView workbookViewId="0" topLeftCell="A7">
      <selection activeCell="P37" sqref="P3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27" customWidth="1"/>
    <col min="11" max="16384" width="9.140625" style="13" customWidth="1"/>
  </cols>
  <sheetData>
    <row r="2" spans="2:10" s="100" customFormat="1" ht="15" customHeight="1">
      <c r="B2" s="461" t="s">
        <v>127</v>
      </c>
      <c r="C2" s="461"/>
      <c r="D2" s="461"/>
      <c r="E2" s="461"/>
      <c r="F2" s="461"/>
      <c r="G2" s="461"/>
      <c r="H2" s="461"/>
      <c r="I2" s="461"/>
      <c r="J2" s="134"/>
    </row>
    <row r="3" spans="5:10" s="1" customFormat="1" ht="16.5" thickBot="1">
      <c r="E3" s="2"/>
      <c r="F3" s="460"/>
      <c r="G3" s="460"/>
      <c r="H3" s="460"/>
      <c r="I3" s="166"/>
      <c r="J3" s="167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278" t="s">
        <v>677</v>
      </c>
      <c r="H4" s="278" t="s">
        <v>678</v>
      </c>
      <c r="I4" s="278" t="s">
        <v>679</v>
      </c>
      <c r="J4" s="339" t="s">
        <v>658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37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122</v>
      </c>
      <c r="E6" s="9"/>
      <c r="F6" s="9"/>
      <c r="G6" s="35"/>
      <c r="H6" s="35"/>
      <c r="I6" s="9"/>
      <c r="J6" s="138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20500</v>
      </c>
      <c r="H7" s="20">
        <f>SUM(H8:H10)</f>
        <v>20500</v>
      </c>
      <c r="I7" s="20">
        <f>SUM(I8:I11)</f>
        <v>20319</v>
      </c>
      <c r="J7" s="185">
        <f aca="true" t="shared" si="0" ref="J7:J43">IF(H7=0,"",I7/H7*100)</f>
        <v>99.1170731707317</v>
      </c>
    </row>
    <row r="8" spans="2:11" ht="12.75" customHeight="1">
      <c r="B8" s="14"/>
      <c r="C8" s="15"/>
      <c r="D8" s="15"/>
      <c r="E8" s="16">
        <v>611100</v>
      </c>
      <c r="F8" s="26" t="s">
        <v>203</v>
      </c>
      <c r="G8" s="324">
        <v>16540</v>
      </c>
      <c r="H8" s="324">
        <v>16540</v>
      </c>
      <c r="I8" s="78">
        <v>16438</v>
      </c>
      <c r="J8" s="140">
        <f t="shared" si="0"/>
        <v>99.38331318016928</v>
      </c>
      <c r="K8" s="83"/>
    </row>
    <row r="9" spans="2:11" ht="12.75" customHeight="1">
      <c r="B9" s="14"/>
      <c r="C9" s="15"/>
      <c r="D9" s="15"/>
      <c r="E9" s="16">
        <v>611200</v>
      </c>
      <c r="F9" s="15" t="s">
        <v>204</v>
      </c>
      <c r="G9" s="44">
        <v>3960</v>
      </c>
      <c r="H9" s="44">
        <v>3960</v>
      </c>
      <c r="I9" s="78">
        <v>3881</v>
      </c>
      <c r="J9" s="140">
        <f t="shared" si="0"/>
        <v>98.0050505050505</v>
      </c>
      <c r="K9" s="83"/>
    </row>
    <row r="10" spans="2:12" ht="12.75" customHeight="1">
      <c r="B10" s="14"/>
      <c r="C10" s="15"/>
      <c r="D10" s="15"/>
      <c r="E10" s="16">
        <v>611200</v>
      </c>
      <c r="F10" s="26" t="s">
        <v>689</v>
      </c>
      <c r="G10" s="97">
        <v>0</v>
      </c>
      <c r="H10" s="97">
        <v>0</v>
      </c>
      <c r="I10" s="78">
        <v>0</v>
      </c>
      <c r="J10" s="140">
        <f t="shared" si="0"/>
      </c>
      <c r="K10" s="83"/>
      <c r="L10" s="82"/>
    </row>
    <row r="11" spans="2:10" ht="12.75" customHeight="1">
      <c r="B11" s="14"/>
      <c r="C11" s="15"/>
      <c r="D11" s="15"/>
      <c r="E11" s="16"/>
      <c r="F11" s="26"/>
      <c r="G11" s="324"/>
      <c r="H11" s="324"/>
      <c r="I11" s="44"/>
      <c r="J11" s="140">
        <f t="shared" si="0"/>
      </c>
    </row>
    <row r="12" spans="2:10" ht="12.75" customHeight="1">
      <c r="B12" s="14"/>
      <c r="C12" s="15"/>
      <c r="D12" s="15"/>
      <c r="E12" s="16"/>
      <c r="F12" s="15"/>
      <c r="G12" s="44"/>
      <c r="H12" s="44"/>
      <c r="I12" s="20"/>
      <c r="J12" s="140">
        <f t="shared" si="0"/>
      </c>
    </row>
    <row r="13" spans="2:13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1800</v>
      </c>
      <c r="H13" s="20">
        <f>H14</f>
        <v>1800</v>
      </c>
      <c r="I13" s="20">
        <f>I14</f>
        <v>1761</v>
      </c>
      <c r="J13" s="185">
        <f t="shared" si="0"/>
        <v>97.83333333333334</v>
      </c>
      <c r="M13" s="86"/>
    </row>
    <row r="14" spans="2:13" ht="12.75" customHeight="1">
      <c r="B14" s="14"/>
      <c r="C14" s="15"/>
      <c r="D14" s="15"/>
      <c r="E14" s="16">
        <v>612100</v>
      </c>
      <c r="F14" s="18" t="s">
        <v>85</v>
      </c>
      <c r="G14" s="45">
        <v>1800</v>
      </c>
      <c r="H14" s="45">
        <v>1800</v>
      </c>
      <c r="I14" s="78">
        <v>1761</v>
      </c>
      <c r="J14" s="140">
        <f t="shared" si="0"/>
        <v>97.83333333333334</v>
      </c>
      <c r="K14" s="83"/>
      <c r="M14" s="77"/>
    </row>
    <row r="15" spans="2:10" ht="12.75" customHeight="1">
      <c r="B15" s="14"/>
      <c r="C15" s="15"/>
      <c r="D15" s="15"/>
      <c r="E15" s="16"/>
      <c r="F15" s="15"/>
      <c r="G15" s="44"/>
      <c r="H15" s="44"/>
      <c r="I15" s="44"/>
      <c r="J15" s="140">
        <f t="shared" si="0"/>
      </c>
    </row>
    <row r="16" spans="2:10" ht="12.75" customHeight="1">
      <c r="B16" s="14"/>
      <c r="C16" s="15"/>
      <c r="D16" s="15"/>
      <c r="E16" s="16"/>
      <c r="F16" s="15"/>
      <c r="G16" s="44"/>
      <c r="H16" s="44"/>
      <c r="I16" s="50"/>
      <c r="J16" s="140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12000</v>
      </c>
      <c r="H17" s="20">
        <f>SUM(H18:H27)</f>
        <v>11500</v>
      </c>
      <c r="I17" s="50">
        <f>SUM(I18:I27)</f>
        <v>10512</v>
      </c>
      <c r="J17" s="185">
        <f t="shared" si="0"/>
        <v>91.4086956521739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4">
        <v>500</v>
      </c>
      <c r="H18" s="44">
        <v>500</v>
      </c>
      <c r="I18" s="44">
        <v>278</v>
      </c>
      <c r="J18" s="140">
        <f t="shared" si="0"/>
        <v>55.60000000000001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4">
        <v>0</v>
      </c>
      <c r="H19" s="44">
        <v>0</v>
      </c>
      <c r="I19" s="44">
        <v>0</v>
      </c>
      <c r="J19" s="14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205</v>
      </c>
      <c r="G20" s="324">
        <v>1100</v>
      </c>
      <c r="H20" s="324">
        <v>1100</v>
      </c>
      <c r="I20" s="44">
        <v>814</v>
      </c>
      <c r="J20" s="140">
        <f t="shared" si="0"/>
        <v>74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4">
        <v>0</v>
      </c>
      <c r="H21" s="44">
        <v>0</v>
      </c>
      <c r="I21" s="44">
        <v>0</v>
      </c>
      <c r="J21" s="140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4">
        <v>0</v>
      </c>
      <c r="H22" s="44">
        <v>0</v>
      </c>
      <c r="I22" s="44">
        <v>0</v>
      </c>
      <c r="J22" s="140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206</v>
      </c>
      <c r="G23" s="324">
        <v>0</v>
      </c>
      <c r="H23" s="324">
        <v>0</v>
      </c>
      <c r="I23" s="44">
        <v>0</v>
      </c>
      <c r="J23" s="14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4">
        <v>400</v>
      </c>
      <c r="H24" s="44">
        <v>400</v>
      </c>
      <c r="I24" s="44">
        <v>0</v>
      </c>
      <c r="J24" s="140">
        <f t="shared" si="0"/>
        <v>0</v>
      </c>
    </row>
    <row r="25" spans="2:11" ht="12.75" customHeight="1">
      <c r="B25" s="14"/>
      <c r="C25" s="15"/>
      <c r="D25" s="15"/>
      <c r="E25" s="16">
        <v>613800</v>
      </c>
      <c r="F25" s="15" t="s">
        <v>171</v>
      </c>
      <c r="G25" s="44">
        <v>0</v>
      </c>
      <c r="H25" s="44">
        <v>0</v>
      </c>
      <c r="I25" s="44">
        <v>0</v>
      </c>
      <c r="J25" s="140">
        <f t="shared" si="0"/>
      </c>
      <c r="K25" s="77"/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44">
        <v>10000</v>
      </c>
      <c r="H26" s="44">
        <v>9500</v>
      </c>
      <c r="I26" s="78">
        <v>9420</v>
      </c>
      <c r="J26" s="140">
        <f t="shared" si="0"/>
        <v>99.1578947368421</v>
      </c>
      <c r="K26" s="83"/>
    </row>
    <row r="27" spans="2:11" ht="12.75" customHeight="1">
      <c r="B27" s="14"/>
      <c r="C27" s="15"/>
      <c r="D27" s="15"/>
      <c r="E27" s="16">
        <v>613900</v>
      </c>
      <c r="F27" s="26" t="s">
        <v>690</v>
      </c>
      <c r="G27" s="97">
        <v>0</v>
      </c>
      <c r="H27" s="97">
        <v>0</v>
      </c>
      <c r="I27" s="44">
        <v>0</v>
      </c>
      <c r="J27" s="140">
        <f t="shared" si="0"/>
      </c>
      <c r="K27" s="83"/>
    </row>
    <row r="28" spans="2:10" ht="12.75" customHeight="1">
      <c r="B28" s="14"/>
      <c r="C28" s="15"/>
      <c r="D28" s="15"/>
      <c r="E28" s="16"/>
      <c r="F28" s="15"/>
      <c r="G28" s="44"/>
      <c r="H28" s="44"/>
      <c r="I28" s="20"/>
      <c r="J28" s="140">
        <f t="shared" si="0"/>
      </c>
    </row>
    <row r="29" spans="2:10" s="1" customFormat="1" ht="12.75" customHeight="1">
      <c r="B29" s="17"/>
      <c r="C29" s="12"/>
      <c r="D29" s="12"/>
      <c r="E29" s="59">
        <v>614000</v>
      </c>
      <c r="F29" s="12" t="s">
        <v>207</v>
      </c>
      <c r="G29" s="20">
        <f>G30</f>
        <v>15000</v>
      </c>
      <c r="H29" s="20">
        <f>H30</f>
        <v>15000</v>
      </c>
      <c r="I29" s="20">
        <f>I30</f>
        <v>15000</v>
      </c>
      <c r="J29" s="185">
        <f t="shared" si="0"/>
        <v>100</v>
      </c>
    </row>
    <row r="30" spans="2:10" ht="12.75" customHeight="1">
      <c r="B30" s="14"/>
      <c r="C30" s="15"/>
      <c r="D30" s="31"/>
      <c r="E30" s="61">
        <v>614200</v>
      </c>
      <c r="F30" s="58" t="s">
        <v>101</v>
      </c>
      <c r="G30" s="325">
        <v>15000</v>
      </c>
      <c r="H30" s="325">
        <v>15000</v>
      </c>
      <c r="I30" s="78">
        <v>15000</v>
      </c>
      <c r="J30" s="140">
        <f t="shared" si="0"/>
        <v>100</v>
      </c>
    </row>
    <row r="31" spans="2:10" ht="12.75" customHeight="1">
      <c r="B31" s="14"/>
      <c r="C31" s="15"/>
      <c r="D31" s="15"/>
      <c r="E31" s="60"/>
      <c r="F31" s="15"/>
      <c r="G31" s="44"/>
      <c r="H31" s="44"/>
      <c r="I31" s="44"/>
      <c r="J31" s="140">
        <f t="shared" si="0"/>
      </c>
    </row>
    <row r="32" spans="2:10" ht="12.75" customHeight="1">
      <c r="B32" s="14"/>
      <c r="C32" s="15"/>
      <c r="D32" s="15"/>
      <c r="E32" s="16"/>
      <c r="F32" s="15"/>
      <c r="G32" s="44"/>
      <c r="H32" s="44"/>
      <c r="I32" s="44"/>
      <c r="J32" s="140">
        <f t="shared" si="0"/>
      </c>
    </row>
    <row r="33" spans="2:10" ht="12.75" customHeight="1">
      <c r="B33" s="14"/>
      <c r="C33" s="15"/>
      <c r="D33" s="15"/>
      <c r="E33" s="16"/>
      <c r="F33" s="15"/>
      <c r="G33" s="44"/>
      <c r="H33" s="44"/>
      <c r="I33" s="44"/>
      <c r="J33" s="140">
        <f t="shared" si="0"/>
      </c>
    </row>
    <row r="34" spans="2:10" ht="12.75" customHeight="1">
      <c r="B34" s="14"/>
      <c r="C34" s="15"/>
      <c r="D34" s="15"/>
      <c r="E34" s="16"/>
      <c r="F34" s="15"/>
      <c r="G34" s="44"/>
      <c r="H34" s="44"/>
      <c r="I34" s="44"/>
      <c r="J34" s="140">
        <f t="shared" si="0"/>
      </c>
    </row>
    <row r="35" spans="2:10" ht="12.75" customHeight="1">
      <c r="B35" s="14"/>
      <c r="C35" s="15"/>
      <c r="D35" s="15"/>
      <c r="E35" s="16"/>
      <c r="F35" s="19"/>
      <c r="G35" s="78"/>
      <c r="H35" s="78"/>
      <c r="I35" s="44"/>
      <c r="J35" s="140">
        <f t="shared" si="0"/>
      </c>
    </row>
    <row r="36" spans="2:10" ht="12.75" customHeight="1">
      <c r="B36" s="14"/>
      <c r="C36" s="15"/>
      <c r="D36" s="15"/>
      <c r="E36" s="16"/>
      <c r="F36" s="15"/>
      <c r="G36" s="44"/>
      <c r="H36" s="44"/>
      <c r="I36" s="20"/>
      <c r="J36" s="140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92</v>
      </c>
      <c r="G37" s="20">
        <f>SUM(G38:G39)</f>
        <v>1000</v>
      </c>
      <c r="H37" s="20">
        <f>SUM(H38:H39)</f>
        <v>1000</v>
      </c>
      <c r="I37" s="20">
        <f>SUM(I38:I39)</f>
        <v>412</v>
      </c>
      <c r="J37" s="185">
        <f t="shared" si="0"/>
        <v>41.199999999999996</v>
      </c>
    </row>
    <row r="38" spans="2:10" ht="12.75" customHeight="1">
      <c r="B38" s="14"/>
      <c r="C38" s="15"/>
      <c r="D38" s="15"/>
      <c r="E38" s="16">
        <v>821200</v>
      </c>
      <c r="F38" s="15" t="s">
        <v>93</v>
      </c>
      <c r="G38" s="44">
        <v>0</v>
      </c>
      <c r="H38" s="44">
        <v>0</v>
      </c>
      <c r="I38" s="78">
        <v>0</v>
      </c>
      <c r="J38" s="140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94</v>
      </c>
      <c r="G39" s="44">
        <v>1000</v>
      </c>
      <c r="H39" s="44">
        <v>1000</v>
      </c>
      <c r="I39" s="44">
        <v>412</v>
      </c>
      <c r="J39" s="140">
        <f t="shared" si="0"/>
        <v>41.199999999999996</v>
      </c>
    </row>
    <row r="40" spans="2:10" ht="12.75" customHeight="1">
      <c r="B40" s="14"/>
      <c r="C40" s="15"/>
      <c r="D40" s="15"/>
      <c r="E40" s="16"/>
      <c r="F40" s="15"/>
      <c r="G40" s="44"/>
      <c r="H40" s="44"/>
      <c r="I40" s="44"/>
      <c r="J40" s="140">
        <f t="shared" si="0"/>
      </c>
    </row>
    <row r="41" spans="2:10" ht="12.75" customHeight="1">
      <c r="B41" s="14"/>
      <c r="C41" s="15"/>
      <c r="D41" s="15"/>
      <c r="E41" s="16"/>
      <c r="F41" s="15"/>
      <c r="G41" s="44"/>
      <c r="H41" s="44"/>
      <c r="I41" s="20"/>
      <c r="J41" s="140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95</v>
      </c>
      <c r="G42" s="96">
        <v>1</v>
      </c>
      <c r="H42" s="96">
        <v>1</v>
      </c>
      <c r="I42" s="96">
        <v>1</v>
      </c>
      <c r="J42" s="140"/>
    </row>
    <row r="43" spans="2:10" s="1" customFormat="1" ht="12.75" customHeight="1">
      <c r="B43" s="17"/>
      <c r="C43" s="12"/>
      <c r="D43" s="12"/>
      <c r="E43" s="9"/>
      <c r="F43" s="12" t="s">
        <v>116</v>
      </c>
      <c r="G43" s="20">
        <f>G37+G29+G17+G13+G7</f>
        <v>50300</v>
      </c>
      <c r="H43" s="20">
        <f>H37+H29+H17+H13+H7</f>
        <v>49800</v>
      </c>
      <c r="I43" s="20">
        <f>I37+I29+I17+I13+I7</f>
        <v>48004</v>
      </c>
      <c r="J43" s="185">
        <f t="shared" si="0"/>
        <v>96.39357429718875</v>
      </c>
    </row>
    <row r="44" spans="2:10" s="1" customFormat="1" ht="12.75" customHeight="1">
      <c r="B44" s="17"/>
      <c r="C44" s="12"/>
      <c r="D44" s="12"/>
      <c r="E44" s="9"/>
      <c r="F44" s="12" t="s">
        <v>96</v>
      </c>
      <c r="G44" s="12"/>
      <c r="H44" s="20"/>
      <c r="I44" s="20"/>
      <c r="J44" s="142"/>
    </row>
    <row r="45" spans="2:10" s="1" customFormat="1" ht="12.75" customHeight="1">
      <c r="B45" s="17"/>
      <c r="C45" s="12"/>
      <c r="D45" s="12"/>
      <c r="E45" s="9"/>
      <c r="F45" s="12" t="s">
        <v>97</v>
      </c>
      <c r="G45" s="12"/>
      <c r="H45" s="20"/>
      <c r="I45" s="44"/>
      <c r="J45" s="141"/>
    </row>
    <row r="46" spans="2:10" ht="12.75" customHeight="1" thickBot="1">
      <c r="B46" s="21"/>
      <c r="C46" s="22"/>
      <c r="D46" s="22"/>
      <c r="E46" s="23"/>
      <c r="F46" s="22"/>
      <c r="G46" s="36"/>
      <c r="H46" s="49"/>
      <c r="I46" s="22"/>
      <c r="J46" s="143"/>
    </row>
    <row r="48" ht="12.75">
      <c r="B48" s="77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Ružica Živković</cp:lastModifiedBy>
  <cp:lastPrinted>2018-03-05T14:14:04Z</cp:lastPrinted>
  <dcterms:created xsi:type="dcterms:W3CDTF">2004-07-23T11:14:23Z</dcterms:created>
  <dcterms:modified xsi:type="dcterms:W3CDTF">2018-03-05T14:15:23Z</dcterms:modified>
  <cp:category/>
  <cp:version/>
  <cp:contentType/>
  <cp:contentStatus/>
</cp:coreProperties>
</file>