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 activeTab="2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Rashodi!$1:$5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9">'15'!$B$1:$K$41</definedName>
    <definedName name="_xlnm.Print_Area" localSheetId="20">'16'!$A$1:$K$53</definedName>
    <definedName name="_xlnm.Print_Area" localSheetId="21">'17'!$A$1:$K$46</definedName>
    <definedName name="_xlnm.Print_Area" localSheetId="25">'21'!$A$1:$K$35</definedName>
    <definedName name="_xlnm.Print_Area" localSheetId="43">Funkcijska!$A$7:$F$114</definedName>
    <definedName name="_xlnm.Print_Area" localSheetId="4">Prihodi!$B$4:$H$216</definedName>
    <definedName name="_xlnm.Print_Area" localSheetId="5">Rashodi!$C$6:$I$116</definedName>
    <definedName name="_xlnm.Print_Area" localSheetId="1">Sadrzaj!$A$1:$J$47</definedName>
    <definedName name="_xlnm.Print_Area" localSheetId="2">Uvod!$A$1:$E$59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G146" i="65139"/>
  <c r="G89"/>
  <c r="J9" i="65079" l="1"/>
  <c r="J8"/>
  <c r="J13"/>
  <c r="G183" i="65139"/>
  <c r="J32" i="65080"/>
  <c r="F23" i="65125"/>
  <c r="F26"/>
  <c r="F28"/>
  <c r="F29"/>
  <c r="F35"/>
  <c r="F30"/>
  <c r="F31"/>
  <c r="E70" i="65137"/>
  <c r="E69"/>
  <c r="H194" i="65139" l="1"/>
  <c r="G80"/>
  <c r="G61"/>
  <c r="J9" i="65071" l="1"/>
  <c r="J28" i="65082"/>
  <c r="J22"/>
  <c r="J9" i="65098"/>
  <c r="J9" i="65096"/>
  <c r="J9" i="65095"/>
  <c r="J9" i="65093"/>
  <c r="J9" i="65088"/>
  <c r="J9" i="65087"/>
  <c r="J9" i="65086"/>
  <c r="J9" i="65085"/>
  <c r="J9" i="65083"/>
  <c r="J9" i="65122"/>
  <c r="J9" i="65082"/>
  <c r="J9" i="65069"/>
  <c r="J8" i="65098"/>
  <c r="J13" i="65089"/>
  <c r="J8"/>
  <c r="J13" i="65087"/>
  <c r="J8"/>
  <c r="J13" i="65085"/>
  <c r="J8"/>
  <c r="J13" i="65084"/>
  <c r="J8"/>
  <c r="J8" i="65082"/>
  <c r="J13" i="65069"/>
  <c r="J8"/>
  <c r="J9" i="16"/>
  <c r="J13"/>
  <c r="J8"/>
  <c r="J9" i="65066"/>
  <c r="J13"/>
  <c r="J8"/>
  <c r="J30" i="65122" l="1"/>
  <c r="J28" i="65085"/>
  <c r="J19" i="65084"/>
  <c r="J18"/>
  <c r="J9"/>
  <c r="F155" i="65139"/>
  <c r="E155"/>
  <c r="D155"/>
  <c r="G155"/>
  <c r="H156"/>
  <c r="J33" i="65076" l="1"/>
  <c r="J13" i="65086" l="1"/>
  <c r="J8"/>
  <c r="J13" i="65071"/>
  <c r="J8"/>
  <c r="J8" i="65070" l="1"/>
  <c r="J31" i="65069"/>
  <c r="J8" i="65094"/>
  <c r="J13"/>
  <c r="J9"/>
  <c r="J28" i="65076" l="1"/>
  <c r="G125" i="65139"/>
  <c r="J31" i="65065" l="1"/>
  <c r="J14"/>
  <c r="J9" i="65105"/>
  <c r="J13"/>
  <c r="J8"/>
  <c r="J13" i="65098"/>
  <c r="J9" i="65097"/>
  <c r="J13"/>
  <c r="J8"/>
  <c r="J13" i="65096"/>
  <c r="J8"/>
  <c r="J13" i="65095"/>
  <c r="J8"/>
  <c r="J12" i="65094"/>
  <c r="J13" i="65093"/>
  <c r="J8"/>
  <c r="J9" i="65089"/>
  <c r="J13" i="65088"/>
  <c r="J8"/>
  <c r="J8" i="65083"/>
  <c r="J13" i="65122"/>
  <c r="J9" i="65081"/>
  <c r="J13"/>
  <c r="J8"/>
  <c r="G172" i="65139"/>
  <c r="J9" i="65080"/>
  <c r="J13"/>
  <c r="J8"/>
  <c r="J9" i="65078"/>
  <c r="J13"/>
  <c r="J8"/>
  <c r="J9" i="65077"/>
  <c r="J13"/>
  <c r="J8"/>
  <c r="J12" i="65076"/>
  <c r="J16"/>
  <c r="J11"/>
  <c r="J9" i="65075"/>
  <c r="J13"/>
  <c r="J8"/>
  <c r="J9" i="65115"/>
  <c r="J13"/>
  <c r="J8"/>
  <c r="J9" i="65100"/>
  <c r="J13"/>
  <c r="J8"/>
  <c r="J9" i="65074"/>
  <c r="J13"/>
  <c r="J8"/>
  <c r="J9" i="65070"/>
  <c r="J13"/>
  <c r="J9" i="65068"/>
  <c r="J13"/>
  <c r="J8"/>
  <c r="J9" i="65123"/>
  <c r="J13"/>
  <c r="J8"/>
  <c r="J9" i="65099"/>
  <c r="J13"/>
  <c r="J8"/>
  <c r="J9" i="65067"/>
  <c r="J13"/>
  <c r="J8"/>
  <c r="J18" i="65065"/>
  <c r="J13"/>
  <c r="J26" i="65076"/>
  <c r="J22"/>
  <c r="G120" i="65139" l="1"/>
  <c r="G119" s="1"/>
  <c r="H165" l="1"/>
  <c r="G213"/>
  <c r="G44"/>
  <c r="D9" i="65137"/>
  <c r="F15" i="300"/>
  <c r="G15"/>
  <c r="H15"/>
  <c r="F17"/>
  <c r="F16" s="1"/>
  <c r="G17"/>
  <c r="H17"/>
  <c r="F18"/>
  <c r="G18"/>
  <c r="H18"/>
  <c r="F21"/>
  <c r="G21"/>
  <c r="H21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1"/>
  <c r="G31"/>
  <c r="H31"/>
  <c r="F34"/>
  <c r="G34"/>
  <c r="H34"/>
  <c r="F37"/>
  <c r="G37"/>
  <c r="H37"/>
  <c r="F41"/>
  <c r="G41"/>
  <c r="H41"/>
  <c r="F95"/>
  <c r="G95"/>
  <c r="H95"/>
  <c r="F96"/>
  <c r="G96"/>
  <c r="H96"/>
  <c r="G106"/>
  <c r="E106"/>
  <c r="E96"/>
  <c r="E95"/>
  <c r="E41"/>
  <c r="E37"/>
  <c r="E34"/>
  <c r="E31"/>
  <c r="E29"/>
  <c r="E28"/>
  <c r="E27"/>
  <c r="E26"/>
  <c r="E25"/>
  <c r="E24"/>
  <c r="E21"/>
  <c r="E18"/>
  <c r="E17"/>
  <c r="E15"/>
  <c r="H49" i="65065"/>
  <c r="H46"/>
  <c r="H33"/>
  <c r="H31"/>
  <c r="H20"/>
  <c r="H18"/>
  <c r="H17"/>
  <c r="H15"/>
  <c r="H14"/>
  <c r="H13"/>
  <c r="H12"/>
  <c r="H7"/>
  <c r="H55" s="1"/>
  <c r="H30" i="65066"/>
  <c r="H27"/>
  <c r="H15"/>
  <c r="H13"/>
  <c r="H12" s="1"/>
  <c r="H9"/>
  <c r="H8"/>
  <c r="H7"/>
  <c r="H27" i="65067"/>
  <c r="H15"/>
  <c r="H13"/>
  <c r="H12" s="1"/>
  <c r="H9"/>
  <c r="H8"/>
  <c r="H7"/>
  <c r="H27" i="65099"/>
  <c r="H15"/>
  <c r="H13"/>
  <c r="H12" s="1"/>
  <c r="H9"/>
  <c r="H8"/>
  <c r="H7"/>
  <c r="H27" i="65123"/>
  <c r="H15"/>
  <c r="H13"/>
  <c r="H12" s="1"/>
  <c r="H9"/>
  <c r="H8"/>
  <c r="H7"/>
  <c r="H27" i="65068"/>
  <c r="H15"/>
  <c r="H13"/>
  <c r="H12" s="1"/>
  <c r="H9"/>
  <c r="H8"/>
  <c r="H7"/>
  <c r="H31" i="65069"/>
  <c r="H27"/>
  <c r="H15"/>
  <c r="H13"/>
  <c r="H12"/>
  <c r="H9"/>
  <c r="H8"/>
  <c r="H7" s="1"/>
  <c r="H27" i="65070"/>
  <c r="H15"/>
  <c r="H13"/>
  <c r="H12"/>
  <c r="H9"/>
  <c r="H8"/>
  <c r="H7" s="1"/>
  <c r="H32" s="1"/>
  <c r="D29" i="65137" s="1"/>
  <c r="H28" i="65071"/>
  <c r="H15"/>
  <c r="H13"/>
  <c r="H12" s="1"/>
  <c r="H9"/>
  <c r="H8"/>
  <c r="H7"/>
  <c r="H33" s="1"/>
  <c r="H27" i="65074"/>
  <c r="H15"/>
  <c r="H13"/>
  <c r="H12"/>
  <c r="H9"/>
  <c r="H8"/>
  <c r="H7" s="1"/>
  <c r="H27" i="65100"/>
  <c r="H15"/>
  <c r="H13"/>
  <c r="H12"/>
  <c r="H9"/>
  <c r="H8"/>
  <c r="H7" s="1"/>
  <c r="H27" i="65115"/>
  <c r="H15"/>
  <c r="H13"/>
  <c r="H12"/>
  <c r="H9"/>
  <c r="H8"/>
  <c r="H7" s="1"/>
  <c r="H32" s="1"/>
  <c r="H33" s="1"/>
  <c r="H31" i="65075"/>
  <c r="H28"/>
  <c r="H15"/>
  <c r="H13"/>
  <c r="H12"/>
  <c r="H9"/>
  <c r="H8"/>
  <c r="H7" s="1"/>
  <c r="H44" i="65076"/>
  <c r="H40"/>
  <c r="H36"/>
  <c r="H31"/>
  <c r="H18"/>
  <c r="H16"/>
  <c r="H15"/>
  <c r="H12"/>
  <c r="H11"/>
  <c r="H10" s="1"/>
  <c r="H7"/>
  <c r="H31" i="65077"/>
  <c r="H27"/>
  <c r="H15"/>
  <c r="H13"/>
  <c r="H12"/>
  <c r="H9"/>
  <c r="H8"/>
  <c r="H7" s="1"/>
  <c r="H32" i="65078"/>
  <c r="H28"/>
  <c r="H15"/>
  <c r="H13"/>
  <c r="H12"/>
  <c r="H9"/>
  <c r="H8"/>
  <c r="H7" s="1"/>
  <c r="H33" i="65079"/>
  <c r="H27"/>
  <c r="H15"/>
  <c r="H13"/>
  <c r="H12"/>
  <c r="H9"/>
  <c r="H8"/>
  <c r="H7"/>
  <c r="H48" i="65080"/>
  <c r="H44"/>
  <c r="H41"/>
  <c r="H38"/>
  <c r="H29"/>
  <c r="H15"/>
  <c r="H13"/>
  <c r="H12"/>
  <c r="H9"/>
  <c r="H8"/>
  <c r="H7" s="1"/>
  <c r="H27" i="65082"/>
  <c r="H15"/>
  <c r="H13"/>
  <c r="H12"/>
  <c r="H9"/>
  <c r="H8"/>
  <c r="H7" s="1"/>
  <c r="H27" i="65081"/>
  <c r="H15"/>
  <c r="H13"/>
  <c r="H12"/>
  <c r="H9"/>
  <c r="H8"/>
  <c r="H7" s="1"/>
  <c r="H30" i="65122"/>
  <c r="H28"/>
  <c r="H15"/>
  <c r="H13"/>
  <c r="H12"/>
  <c r="H9"/>
  <c r="H8"/>
  <c r="H7"/>
  <c r="H33" s="1"/>
  <c r="H27" i="65083"/>
  <c r="H15"/>
  <c r="H13"/>
  <c r="H12"/>
  <c r="H9"/>
  <c r="H8"/>
  <c r="H7" s="1"/>
  <c r="H27" i="65084"/>
  <c r="H15"/>
  <c r="H13"/>
  <c r="H12"/>
  <c r="H9"/>
  <c r="H8"/>
  <c r="H7" s="1"/>
  <c r="H27" i="65085"/>
  <c r="H15"/>
  <c r="H13"/>
  <c r="H12"/>
  <c r="H9"/>
  <c r="H8"/>
  <c r="H7" s="1"/>
  <c r="H27" i="65086"/>
  <c r="H15"/>
  <c r="H13"/>
  <c r="H12"/>
  <c r="H9"/>
  <c r="H8"/>
  <c r="H7" s="1"/>
  <c r="H27" i="65087"/>
  <c r="H15"/>
  <c r="H13"/>
  <c r="H12"/>
  <c r="H9"/>
  <c r="H8"/>
  <c r="H7" s="1"/>
  <c r="H27" i="65088"/>
  <c r="H15"/>
  <c r="H13"/>
  <c r="H12"/>
  <c r="H9"/>
  <c r="H8"/>
  <c r="H7" s="1"/>
  <c r="H27" i="65089"/>
  <c r="H15"/>
  <c r="H13"/>
  <c r="H12"/>
  <c r="H9"/>
  <c r="H8"/>
  <c r="H7" s="1"/>
  <c r="H30" i="65093"/>
  <c r="H27"/>
  <c r="H15"/>
  <c r="H13"/>
  <c r="H12"/>
  <c r="H9"/>
  <c r="H8"/>
  <c r="H7" s="1"/>
  <c r="H27" i="65094"/>
  <c r="H15"/>
  <c r="H13"/>
  <c r="H12"/>
  <c r="H9"/>
  <c r="H8"/>
  <c r="H7" s="1"/>
  <c r="H31" i="65095"/>
  <c r="H27"/>
  <c r="H15"/>
  <c r="H13"/>
  <c r="H12"/>
  <c r="H9"/>
  <c r="H8"/>
  <c r="H7" s="1"/>
  <c r="H27" i="65096"/>
  <c r="H15"/>
  <c r="H13"/>
  <c r="H12"/>
  <c r="H9"/>
  <c r="H8"/>
  <c r="H7" s="1"/>
  <c r="H27" i="65097"/>
  <c r="H15"/>
  <c r="H13"/>
  <c r="H12"/>
  <c r="H9"/>
  <c r="H8"/>
  <c r="H7" s="1"/>
  <c r="H27" i="65098"/>
  <c r="H15"/>
  <c r="H13"/>
  <c r="H12"/>
  <c r="H9"/>
  <c r="H8"/>
  <c r="H7" s="1"/>
  <c r="H27" i="65105"/>
  <c r="H15"/>
  <c r="H13"/>
  <c r="H12"/>
  <c r="H9"/>
  <c r="H8"/>
  <c r="H7" s="1"/>
  <c r="H27" i="16"/>
  <c r="H15"/>
  <c r="H13"/>
  <c r="H12"/>
  <c r="H9"/>
  <c r="H8"/>
  <c r="H7" s="1"/>
  <c r="G49" i="65065"/>
  <c r="G46"/>
  <c r="G33"/>
  <c r="G31"/>
  <c r="G20"/>
  <c r="G18"/>
  <c r="G17"/>
  <c r="G15"/>
  <c r="G14"/>
  <c r="G13"/>
  <c r="G12"/>
  <c r="G7"/>
  <c r="G55" s="1"/>
  <c r="G30" i="65066"/>
  <c r="G27"/>
  <c r="G35" s="1"/>
  <c r="G15"/>
  <c r="G13"/>
  <c r="G12"/>
  <c r="G9"/>
  <c r="G8"/>
  <c r="G7"/>
  <c r="G27" i="65067"/>
  <c r="G15"/>
  <c r="G13"/>
  <c r="G12"/>
  <c r="G9"/>
  <c r="G8"/>
  <c r="G7" s="1"/>
  <c r="G32" s="1"/>
  <c r="G27" i="65099"/>
  <c r="G15"/>
  <c r="G13"/>
  <c r="G12"/>
  <c r="G9"/>
  <c r="G8"/>
  <c r="G7" s="1"/>
  <c r="G32" s="1"/>
  <c r="G27" i="65123"/>
  <c r="G15"/>
  <c r="G13"/>
  <c r="G12" s="1"/>
  <c r="G9"/>
  <c r="G8"/>
  <c r="G7"/>
  <c r="G32" s="1"/>
  <c r="G33" s="1"/>
  <c r="G34" s="1"/>
  <c r="G27" i="65068"/>
  <c r="G15"/>
  <c r="G13"/>
  <c r="G12"/>
  <c r="G9"/>
  <c r="G8"/>
  <c r="G7"/>
  <c r="G32" s="1"/>
  <c r="G33" s="1"/>
  <c r="G34" s="1"/>
  <c r="G31" i="65069"/>
  <c r="G27"/>
  <c r="G15"/>
  <c r="G13"/>
  <c r="G12" s="1"/>
  <c r="G9"/>
  <c r="G8"/>
  <c r="G7"/>
  <c r="G32" s="1"/>
  <c r="G33" s="1"/>
  <c r="G34" s="1"/>
  <c r="G27" i="65070"/>
  <c r="G15"/>
  <c r="G13"/>
  <c r="G12"/>
  <c r="G9"/>
  <c r="G8"/>
  <c r="G7" s="1"/>
  <c r="G32" s="1"/>
  <c r="G28" i="65071"/>
  <c r="G15"/>
  <c r="G13"/>
  <c r="G12" s="1"/>
  <c r="G9"/>
  <c r="G8"/>
  <c r="G7"/>
  <c r="G33" s="1"/>
  <c r="G34" s="1"/>
  <c r="G27" i="65074"/>
  <c r="G15"/>
  <c r="G13"/>
  <c r="G12"/>
  <c r="G9"/>
  <c r="G8"/>
  <c r="G7" s="1"/>
  <c r="G32" s="1"/>
  <c r="G33" s="1"/>
  <c r="G27" i="65100"/>
  <c r="G15"/>
  <c r="G13"/>
  <c r="G12"/>
  <c r="G9"/>
  <c r="G8"/>
  <c r="G7" s="1"/>
  <c r="G32" s="1"/>
  <c r="G33" s="1"/>
  <c r="G34" s="1"/>
  <c r="G27" i="65115"/>
  <c r="G15"/>
  <c r="G13"/>
  <c r="G12"/>
  <c r="G9"/>
  <c r="G8"/>
  <c r="G7" s="1"/>
  <c r="G32" s="1"/>
  <c r="G33" s="1"/>
  <c r="G34" s="1"/>
  <c r="G31" i="65075"/>
  <c r="G28"/>
  <c r="G15"/>
  <c r="G13"/>
  <c r="G12"/>
  <c r="G9"/>
  <c r="G8"/>
  <c r="G7" s="1"/>
  <c r="G36" s="1"/>
  <c r="G37" s="1"/>
  <c r="G38" s="1"/>
  <c r="G44" i="65076"/>
  <c r="G40"/>
  <c r="G36"/>
  <c r="G31"/>
  <c r="G18"/>
  <c r="G16"/>
  <c r="G15" s="1"/>
  <c r="G12"/>
  <c r="G11"/>
  <c r="G7"/>
  <c r="G31" i="65077"/>
  <c r="G27"/>
  <c r="G15"/>
  <c r="G13"/>
  <c r="G12"/>
  <c r="G9"/>
  <c r="G8"/>
  <c r="G7" s="1"/>
  <c r="G36" s="1"/>
  <c r="G37" s="1"/>
  <c r="G38" s="1"/>
  <c r="G32" i="65078"/>
  <c r="G28"/>
  <c r="G15"/>
  <c r="G13"/>
  <c r="G12"/>
  <c r="G9"/>
  <c r="G8"/>
  <c r="G7" s="1"/>
  <c r="G38" s="1"/>
  <c r="G39" s="1"/>
  <c r="G40" s="1"/>
  <c r="G33" i="65079"/>
  <c r="G27"/>
  <c r="G15"/>
  <c r="G13"/>
  <c r="G12"/>
  <c r="G9"/>
  <c r="G8"/>
  <c r="G7" s="1"/>
  <c r="G38" s="1"/>
  <c r="G39" s="1"/>
  <c r="G40" s="1"/>
  <c r="G48" i="65080"/>
  <c r="G44"/>
  <c r="G41"/>
  <c r="G38"/>
  <c r="G29"/>
  <c r="G15"/>
  <c r="G13"/>
  <c r="G12"/>
  <c r="G9"/>
  <c r="G8"/>
  <c r="G7" s="1"/>
  <c r="G52" s="1"/>
  <c r="G27" i="65082"/>
  <c r="G15"/>
  <c r="G13"/>
  <c r="G12"/>
  <c r="G9"/>
  <c r="G8"/>
  <c r="G7" s="1"/>
  <c r="G32" s="1"/>
  <c r="G27" i="65081"/>
  <c r="G15"/>
  <c r="G13"/>
  <c r="G12"/>
  <c r="G9"/>
  <c r="G8"/>
  <c r="G7" s="1"/>
  <c r="G32" s="1"/>
  <c r="G30" i="65122"/>
  <c r="G28" s="1"/>
  <c r="G15"/>
  <c r="G13"/>
  <c r="G12"/>
  <c r="G9"/>
  <c r="G8"/>
  <c r="G7" s="1"/>
  <c r="G33" s="1"/>
  <c r="G34" s="1"/>
  <c r="G27" i="65083"/>
  <c r="G15"/>
  <c r="G13"/>
  <c r="G12"/>
  <c r="G9"/>
  <c r="G8"/>
  <c r="G7" s="1"/>
  <c r="G32" s="1"/>
  <c r="G27" i="65084"/>
  <c r="G15"/>
  <c r="G13"/>
  <c r="G12"/>
  <c r="G9"/>
  <c r="G8"/>
  <c r="G7" s="1"/>
  <c r="G32" s="1"/>
  <c r="G27" i="65085"/>
  <c r="G15"/>
  <c r="G13"/>
  <c r="G12"/>
  <c r="G9"/>
  <c r="G8"/>
  <c r="G7" s="1"/>
  <c r="G32" s="1"/>
  <c r="G27" i="65086"/>
  <c r="G15"/>
  <c r="G13"/>
  <c r="G12"/>
  <c r="G9"/>
  <c r="G8"/>
  <c r="G7" s="1"/>
  <c r="G32" s="1"/>
  <c r="G27" i="65087"/>
  <c r="G15"/>
  <c r="G13"/>
  <c r="G12"/>
  <c r="G9"/>
  <c r="G8"/>
  <c r="G7" s="1"/>
  <c r="G32" s="1"/>
  <c r="G27" i="65088"/>
  <c r="G15"/>
  <c r="G13"/>
  <c r="G12"/>
  <c r="G9"/>
  <c r="G8"/>
  <c r="G7" s="1"/>
  <c r="G32" s="1"/>
  <c r="G27" i="65089"/>
  <c r="G15"/>
  <c r="G13"/>
  <c r="G12"/>
  <c r="G9"/>
  <c r="G8"/>
  <c r="G7" s="1"/>
  <c r="G32" s="1"/>
  <c r="G33" s="1"/>
  <c r="G34" s="1"/>
  <c r="G30" i="65093"/>
  <c r="G27"/>
  <c r="G15"/>
  <c r="G13"/>
  <c r="G12"/>
  <c r="G9"/>
  <c r="G8"/>
  <c r="G7"/>
  <c r="G35" s="1"/>
  <c r="G36" s="1"/>
  <c r="G37" s="1"/>
  <c r="G27" i="65094"/>
  <c r="G15"/>
  <c r="G13"/>
  <c r="G12"/>
  <c r="G9"/>
  <c r="G8"/>
  <c r="G7" s="1"/>
  <c r="G32" s="1"/>
  <c r="G33" s="1"/>
  <c r="G34" s="1"/>
  <c r="G31" i="65095"/>
  <c r="G27"/>
  <c r="G15"/>
  <c r="G13"/>
  <c r="G12" s="1"/>
  <c r="G9"/>
  <c r="G8"/>
  <c r="G7"/>
  <c r="G27" i="65096"/>
  <c r="G15"/>
  <c r="G13"/>
  <c r="G12"/>
  <c r="G9"/>
  <c r="G8"/>
  <c r="G7" s="1"/>
  <c r="G32" s="1"/>
  <c r="G33" s="1"/>
  <c r="G34" s="1"/>
  <c r="G27" i="65097"/>
  <c r="G15"/>
  <c r="G13"/>
  <c r="G12"/>
  <c r="G9"/>
  <c r="G8"/>
  <c r="G7" s="1"/>
  <c r="G32" s="1"/>
  <c r="G33" s="1"/>
  <c r="G34" s="1"/>
  <c r="G27" i="65098"/>
  <c r="G15"/>
  <c r="G13"/>
  <c r="G12"/>
  <c r="G9"/>
  <c r="G8"/>
  <c r="G7" s="1"/>
  <c r="G32" s="1"/>
  <c r="G33" s="1"/>
  <c r="G34" s="1"/>
  <c r="G27" i="65105"/>
  <c r="G15"/>
  <c r="G13"/>
  <c r="G12"/>
  <c r="G9"/>
  <c r="G8"/>
  <c r="G7" s="1"/>
  <c r="G32" s="1"/>
  <c r="G33" s="1"/>
  <c r="G34" s="1"/>
  <c r="G27" i="16"/>
  <c r="G15"/>
  <c r="G13"/>
  <c r="G12"/>
  <c r="G9"/>
  <c r="G8"/>
  <c r="G7" s="1"/>
  <c r="G32" s="1"/>
  <c r="H214" i="65139"/>
  <c r="H168"/>
  <c r="E199"/>
  <c r="E198" s="1"/>
  <c r="F199"/>
  <c r="F198" s="1"/>
  <c r="G199"/>
  <c r="G198" s="1"/>
  <c r="D199"/>
  <c r="D198" s="1"/>
  <c r="H201"/>
  <c r="H200"/>
  <c r="H199"/>
  <c r="H195"/>
  <c r="E182"/>
  <c r="E181" s="1"/>
  <c r="F182"/>
  <c r="F181" s="1"/>
  <c r="G182"/>
  <c r="G181" s="1"/>
  <c r="D182"/>
  <c r="D181" s="1"/>
  <c r="H188"/>
  <c r="H186"/>
  <c r="H185"/>
  <c r="E137"/>
  <c r="F137"/>
  <c r="G137"/>
  <c r="D137"/>
  <c r="H138"/>
  <c r="E93"/>
  <c r="F93"/>
  <c r="G93"/>
  <c r="D93"/>
  <c r="H94"/>
  <c r="H65"/>
  <c r="E47"/>
  <c r="F47"/>
  <c r="G47"/>
  <c r="D47"/>
  <c r="H48"/>
  <c r="H9"/>
  <c r="E213"/>
  <c r="E204"/>
  <c r="E203" s="1"/>
  <c r="E192"/>
  <c r="E190" s="1"/>
  <c r="E189" s="1"/>
  <c r="E180"/>
  <c r="E175"/>
  <c r="E174" s="1"/>
  <c r="E171"/>
  <c r="E169"/>
  <c r="E162"/>
  <c r="E153"/>
  <c r="E152" s="1"/>
  <c r="E143"/>
  <c r="E142" s="1"/>
  <c r="E130"/>
  <c r="E124"/>
  <c r="E123" s="1"/>
  <c r="E122"/>
  <c r="E121" s="1"/>
  <c r="E120"/>
  <c r="E119" s="1"/>
  <c r="E117"/>
  <c r="E114"/>
  <c r="E109"/>
  <c r="E99"/>
  <c r="E98" s="1"/>
  <c r="E89"/>
  <c r="E88" s="1"/>
  <c r="E87" s="1"/>
  <c r="E83"/>
  <c r="E79"/>
  <c r="E77" s="1"/>
  <c r="E74"/>
  <c r="E72"/>
  <c r="E69"/>
  <c r="E67"/>
  <c r="E62"/>
  <c r="E59"/>
  <c r="E52"/>
  <c r="E51" s="1"/>
  <c r="E46"/>
  <c r="E38"/>
  <c r="E37" s="1"/>
  <c r="E35"/>
  <c r="E33"/>
  <c r="E28"/>
  <c r="E20"/>
  <c r="E19" s="1"/>
  <c r="E16"/>
  <c r="E15" s="1"/>
  <c r="E12"/>
  <c r="E7"/>
  <c r="D213"/>
  <c r="D204"/>
  <c r="D203" s="1"/>
  <c r="B30" i="304" s="1"/>
  <c r="D192" i="65139"/>
  <c r="D190" s="1"/>
  <c r="D189" s="1"/>
  <c r="D180"/>
  <c r="D175"/>
  <c r="D174" s="1"/>
  <c r="D171"/>
  <c r="D169"/>
  <c r="D162"/>
  <c r="D153"/>
  <c r="D152" s="1"/>
  <c r="D143"/>
  <c r="D142" s="1"/>
  <c r="D130"/>
  <c r="D124"/>
  <c r="D123" s="1"/>
  <c r="D122"/>
  <c r="D121" s="1"/>
  <c r="D120"/>
  <c r="D119" s="1"/>
  <c r="D117"/>
  <c r="D114"/>
  <c r="D109"/>
  <c r="D99"/>
  <c r="D98" s="1"/>
  <c r="D89"/>
  <c r="D88" s="1"/>
  <c r="D87" s="1"/>
  <c r="D83"/>
  <c r="D79"/>
  <c r="D77" s="1"/>
  <c r="D74"/>
  <c r="D72"/>
  <c r="D69"/>
  <c r="D67"/>
  <c r="D62"/>
  <c r="D59"/>
  <c r="D52"/>
  <c r="D51" s="1"/>
  <c r="B26" i="304" s="1"/>
  <c r="D46" i="65139"/>
  <c r="B25" i="304" s="1"/>
  <c r="D38" i="65139"/>
  <c r="D37" s="1"/>
  <c r="B24" i="304" s="1"/>
  <c r="D35" i="65139"/>
  <c r="D33"/>
  <c r="D28"/>
  <c r="D20"/>
  <c r="D19" s="1"/>
  <c r="B22" i="304" s="1"/>
  <c r="D16" i="65139"/>
  <c r="D15" s="1"/>
  <c r="B21" i="304" s="1"/>
  <c r="D12" i="65139"/>
  <c r="D7"/>
  <c r="F171"/>
  <c r="G171"/>
  <c r="H173"/>
  <c r="H73" i="300"/>
  <c r="G73"/>
  <c r="F73"/>
  <c r="I73" s="1"/>
  <c r="E73"/>
  <c r="K43" i="65065"/>
  <c r="B45" i="304"/>
  <c r="I13" i="300"/>
  <c r="I19"/>
  <c r="I22"/>
  <c r="I44"/>
  <c r="I85"/>
  <c r="I88"/>
  <c r="I93"/>
  <c r="I99"/>
  <c r="I104"/>
  <c r="D72" i="65137"/>
  <c r="D65"/>
  <c r="D64"/>
  <c r="K32" i="65095"/>
  <c r="K33"/>
  <c r="K34"/>
  <c r="K33" i="65093"/>
  <c r="K33" i="65080"/>
  <c r="K34"/>
  <c r="K35"/>
  <c r="K36"/>
  <c r="K37"/>
  <c r="K38"/>
  <c r="K39"/>
  <c r="K40"/>
  <c r="K42"/>
  <c r="K43"/>
  <c r="K45"/>
  <c r="K46"/>
  <c r="K47"/>
  <c r="K49"/>
  <c r="K50"/>
  <c r="K28" i="65079"/>
  <c r="K29"/>
  <c r="K30"/>
  <c r="K31"/>
  <c r="K32"/>
  <c r="K34"/>
  <c r="K35"/>
  <c r="K36"/>
  <c r="K33" i="65078"/>
  <c r="K34"/>
  <c r="K35"/>
  <c r="K36"/>
  <c r="K29" i="65077"/>
  <c r="K30"/>
  <c r="K32"/>
  <c r="K33"/>
  <c r="K34"/>
  <c r="K34" i="65076"/>
  <c r="K35"/>
  <c r="K37"/>
  <c r="K38"/>
  <c r="K39"/>
  <c r="K41"/>
  <c r="K42"/>
  <c r="K43"/>
  <c r="K45"/>
  <c r="K46"/>
  <c r="K47"/>
  <c r="K34" i="65065"/>
  <c r="K35"/>
  <c r="K36"/>
  <c r="K37"/>
  <c r="K38"/>
  <c r="K39"/>
  <c r="K40"/>
  <c r="K41"/>
  <c r="K42"/>
  <c r="K44"/>
  <c r="K45"/>
  <c r="K47"/>
  <c r="K48"/>
  <c r="K50"/>
  <c r="K51"/>
  <c r="K52"/>
  <c r="K53"/>
  <c r="K31" i="65093"/>
  <c r="K31" i="65122"/>
  <c r="K31" i="65080"/>
  <c r="K31" i="65078"/>
  <c r="K31" i="65071"/>
  <c r="K31" i="65066"/>
  <c r="K33"/>
  <c r="K33" i="65067"/>
  <c r="K34"/>
  <c r="K33" i="65099"/>
  <c r="K34"/>
  <c r="K33" i="65070"/>
  <c r="K34"/>
  <c r="K34" i="65074"/>
  <c r="K33" i="65075"/>
  <c r="K34"/>
  <c r="K33" i="65076"/>
  <c r="K33" i="65082"/>
  <c r="K34"/>
  <c r="K33" i="65081"/>
  <c r="K34"/>
  <c r="K33" i="65083"/>
  <c r="K34"/>
  <c r="K33" i="65084"/>
  <c r="K34"/>
  <c r="K33" i="65085"/>
  <c r="K34"/>
  <c r="K33" i="65086"/>
  <c r="K34"/>
  <c r="K33" i="65087"/>
  <c r="K34"/>
  <c r="K33" i="65088"/>
  <c r="K34"/>
  <c r="K33" i="16"/>
  <c r="K34"/>
  <c r="K9" i="65065"/>
  <c r="K10"/>
  <c r="K11"/>
  <c r="K16"/>
  <c r="K19"/>
  <c r="K21"/>
  <c r="K22"/>
  <c r="K23"/>
  <c r="K24"/>
  <c r="K25"/>
  <c r="K26"/>
  <c r="K27"/>
  <c r="K28"/>
  <c r="K29"/>
  <c r="K30"/>
  <c r="K32"/>
  <c r="K9" i="65066"/>
  <c r="K10"/>
  <c r="K11"/>
  <c r="K13"/>
  <c r="K14"/>
  <c r="K16"/>
  <c r="K17"/>
  <c r="K18"/>
  <c r="K19"/>
  <c r="K20"/>
  <c r="K21"/>
  <c r="K22"/>
  <c r="K23"/>
  <c r="K24"/>
  <c r="K25"/>
  <c r="K26"/>
  <c r="K28"/>
  <c r="K29"/>
  <c r="K32"/>
  <c r="K9" i="6506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23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6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6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0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1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74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00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1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5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32"/>
  <c r="K9" i="65076"/>
  <c r="K13"/>
  <c r="K14"/>
  <c r="K17"/>
  <c r="K19"/>
  <c r="K20"/>
  <c r="K21"/>
  <c r="K22"/>
  <c r="K23"/>
  <c r="K24"/>
  <c r="K25"/>
  <c r="K26"/>
  <c r="K27"/>
  <c r="K28"/>
  <c r="K29"/>
  <c r="K30"/>
  <c r="K32"/>
  <c r="K9" i="65077"/>
  <c r="K10"/>
  <c r="K11"/>
  <c r="K13"/>
  <c r="K14"/>
  <c r="K16"/>
  <c r="K17"/>
  <c r="K18"/>
  <c r="K19"/>
  <c r="K20"/>
  <c r="K21"/>
  <c r="K22"/>
  <c r="K23"/>
  <c r="K24"/>
  <c r="K25"/>
  <c r="K26"/>
  <c r="K28"/>
  <c r="K9" i="65078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79"/>
  <c r="K10"/>
  <c r="K11"/>
  <c r="K13"/>
  <c r="K14"/>
  <c r="K16"/>
  <c r="K17"/>
  <c r="K18"/>
  <c r="K19"/>
  <c r="K20"/>
  <c r="K21"/>
  <c r="K22"/>
  <c r="K23"/>
  <c r="K24"/>
  <c r="K25"/>
  <c r="K26"/>
  <c r="K9" i="65080"/>
  <c r="K10"/>
  <c r="K11"/>
  <c r="K13"/>
  <c r="K14"/>
  <c r="K16"/>
  <c r="K17"/>
  <c r="K18"/>
  <c r="K19"/>
  <c r="K20"/>
  <c r="K21"/>
  <c r="K22"/>
  <c r="K23"/>
  <c r="K24"/>
  <c r="K25"/>
  <c r="K26"/>
  <c r="K27"/>
  <c r="K28"/>
  <c r="K30"/>
  <c r="K32"/>
  <c r="K9" i="65082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1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22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83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4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3"/>
  <c r="K10"/>
  <c r="K11"/>
  <c r="K13"/>
  <c r="K14"/>
  <c r="K16"/>
  <c r="K17"/>
  <c r="K18"/>
  <c r="K19"/>
  <c r="K20"/>
  <c r="K21"/>
  <c r="K22"/>
  <c r="K23"/>
  <c r="K24"/>
  <c r="K25"/>
  <c r="K26"/>
  <c r="K28"/>
  <c r="K29"/>
  <c r="K32"/>
  <c r="K9" i="65094"/>
  <c r="K10"/>
  <c r="K11"/>
  <c r="K13"/>
  <c r="K14"/>
  <c r="K16"/>
  <c r="K17"/>
  <c r="K18"/>
  <c r="K19"/>
  <c r="K20"/>
  <c r="K21"/>
  <c r="K22"/>
  <c r="K23"/>
  <c r="K24"/>
  <c r="K25"/>
  <c r="K26"/>
  <c r="K27"/>
  <c r="K28"/>
  <c r="K29"/>
  <c r="K30"/>
  <c r="K9" i="6509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0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1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8" i="65065"/>
  <c r="K8" i="65066"/>
  <c r="K8" i="65067"/>
  <c r="K8" i="65099"/>
  <c r="K8" i="65123"/>
  <c r="K8" i="65068"/>
  <c r="K8" i="65069"/>
  <c r="K8" i="65070"/>
  <c r="K8" i="65071"/>
  <c r="K8" i="65074"/>
  <c r="K8" i="65100"/>
  <c r="K8" i="65115"/>
  <c r="K8" i="65075"/>
  <c r="K8" i="65076"/>
  <c r="K8" i="65077"/>
  <c r="K8" i="65078"/>
  <c r="K8" i="65079"/>
  <c r="K8" i="65080"/>
  <c r="K8" i="65082"/>
  <c r="K8" i="65081"/>
  <c r="K8" i="65122"/>
  <c r="K8" i="65083"/>
  <c r="K8" i="65084"/>
  <c r="K8" i="65085"/>
  <c r="K8" i="65086"/>
  <c r="K8" i="65087"/>
  <c r="K8" i="65088"/>
  <c r="K8" i="65089"/>
  <c r="K8" i="65093"/>
  <c r="K8" i="65094"/>
  <c r="K8" i="65095"/>
  <c r="K8" i="65096"/>
  <c r="K8" i="65097"/>
  <c r="K8" i="65098"/>
  <c r="K8" i="65105"/>
  <c r="K8" i="16"/>
  <c r="I32" i="65105"/>
  <c r="I33" s="1"/>
  <c r="I34" s="1"/>
  <c r="I32" i="65098"/>
  <c r="I33" s="1"/>
  <c r="I34" s="1"/>
  <c r="I32" i="65097"/>
  <c r="I33" s="1"/>
  <c r="I34" s="1"/>
  <c r="I32" i="65096"/>
  <c r="I33" s="1"/>
  <c r="I34" s="1"/>
  <c r="I36" i="65095"/>
  <c r="I37" s="1"/>
  <c r="I38" s="1"/>
  <c r="I32" i="65094"/>
  <c r="I33" s="1"/>
  <c r="I34" s="1"/>
  <c r="I35" i="65093"/>
  <c r="I36" s="1"/>
  <c r="I37" s="1"/>
  <c r="I32" i="65089"/>
  <c r="I32" i="65088"/>
  <c r="I32" i="65087"/>
  <c r="I32" i="65086"/>
  <c r="I32" i="65085"/>
  <c r="I32" i="65084"/>
  <c r="I32" i="65083"/>
  <c r="I33" i="65122"/>
  <c r="I32" i="65081"/>
  <c r="I32" i="65082"/>
  <c r="I52" i="65080"/>
  <c r="I38" i="65079"/>
  <c r="I39" s="1"/>
  <c r="I40" s="1"/>
  <c r="I38" i="65078"/>
  <c r="I39" s="1"/>
  <c r="I40" s="1"/>
  <c r="I36" i="65077"/>
  <c r="I37" s="1"/>
  <c r="I38" s="1"/>
  <c r="I49" i="65076"/>
  <c r="I50" s="1"/>
  <c r="I51" s="1"/>
  <c r="I36" i="65075"/>
  <c r="I37" s="1"/>
  <c r="I38" s="1"/>
  <c r="I32" i="65115"/>
  <c r="I33" s="1"/>
  <c r="I32" i="65100"/>
  <c r="I33" s="1"/>
  <c r="I32" i="65074"/>
  <c r="I33" s="1"/>
  <c r="I33" i="65071"/>
  <c r="I34" s="1"/>
  <c r="I32" i="65070"/>
  <c r="I32" i="65069"/>
  <c r="I33" s="1"/>
  <c r="I34" s="1"/>
  <c r="I32" i="65068"/>
  <c r="I33" s="1"/>
  <c r="I34" s="1"/>
  <c r="I32" i="65123"/>
  <c r="I32" i="65099"/>
  <c r="I32" i="65067"/>
  <c r="I35" i="65066"/>
  <c r="I32" i="16"/>
  <c r="F76" i="300"/>
  <c r="I76" s="1"/>
  <c r="G76"/>
  <c r="H76"/>
  <c r="E76"/>
  <c r="J27" i="65095"/>
  <c r="K27" s="1"/>
  <c r="K16" i="65076"/>
  <c r="D58" i="65139" l="1"/>
  <c r="D6"/>
  <c r="D27"/>
  <c r="E27"/>
  <c r="E116"/>
  <c r="E92" s="1"/>
  <c r="E211"/>
  <c r="E210" s="1"/>
  <c r="E209" s="1"/>
  <c r="D76"/>
  <c r="E6"/>
  <c r="E5" s="1"/>
  <c r="H198"/>
  <c r="H16" i="300"/>
  <c r="D161" i="65139"/>
  <c r="D160" s="1"/>
  <c r="D159" s="1"/>
  <c r="D151" s="1"/>
  <c r="E161"/>
  <c r="E160" s="1"/>
  <c r="E159" s="1"/>
  <c r="E151" s="1"/>
  <c r="G16" i="300"/>
  <c r="I33" i="65089"/>
  <c r="I34" s="1"/>
  <c r="I34" i="65122"/>
  <c r="H38" i="65079"/>
  <c r="K11" i="65076"/>
  <c r="G10"/>
  <c r="I34" i="65100"/>
  <c r="I34" i="65115"/>
  <c r="H32" i="16"/>
  <c r="H32" i="65105"/>
  <c r="H32" i="65098"/>
  <c r="H32" i="65097"/>
  <c r="H32" i="65096"/>
  <c r="H36" i="65095"/>
  <c r="H32" i="65089"/>
  <c r="H32" i="65088"/>
  <c r="H32" i="65087"/>
  <c r="H32" i="65086"/>
  <c r="H32" i="65085"/>
  <c r="H32" i="65084"/>
  <c r="H32" i="65083"/>
  <c r="H32" i="65081"/>
  <c r="D70" i="65137" s="1"/>
  <c r="H32" i="65082"/>
  <c r="H52" i="65080"/>
  <c r="H39" i="65079"/>
  <c r="H40" s="1"/>
  <c r="D32" i="65137"/>
  <c r="H38" i="65078"/>
  <c r="H39" s="1"/>
  <c r="H40" s="1"/>
  <c r="H36" i="65075"/>
  <c r="H49" i="65076"/>
  <c r="H50" s="1"/>
  <c r="H51" s="1"/>
  <c r="H32" i="65068"/>
  <c r="H32" i="65123"/>
  <c r="H32" i="65099"/>
  <c r="H32" i="65067"/>
  <c r="H32" i="65094"/>
  <c r="H35" i="65093"/>
  <c r="H36" i="65077"/>
  <c r="H32" i="65100"/>
  <c r="H32" i="65074"/>
  <c r="H34" i="65071"/>
  <c r="H32" i="65069"/>
  <c r="H35" i="65066"/>
  <c r="G36" i="65095"/>
  <c r="G37" s="1"/>
  <c r="G38" s="1"/>
  <c r="G49" i="65076"/>
  <c r="G50" s="1"/>
  <c r="G51" s="1"/>
  <c r="D211" i="65139"/>
  <c r="D210" s="1"/>
  <c r="D209" s="1"/>
  <c r="B40" i="304" s="1"/>
  <c r="E179" i="65139"/>
  <c r="E58"/>
  <c r="E76"/>
  <c r="D116"/>
  <c r="D92" s="1"/>
  <c r="D179"/>
  <c r="B29" i="304" s="1"/>
  <c r="K13" i="65065"/>
  <c r="I55"/>
  <c r="I33" i="65123" s="1"/>
  <c r="I34" s="1"/>
  <c r="K18" i="65065"/>
  <c r="B23" i="304"/>
  <c r="B20"/>
  <c r="D5" i="65139" l="1"/>
  <c r="E71"/>
  <c r="D71"/>
  <c r="D57" s="1"/>
  <c r="D149" s="1"/>
  <c r="D207" s="1"/>
  <c r="D216" s="1"/>
  <c r="E57"/>
  <c r="E149" s="1"/>
  <c r="E207" s="1"/>
  <c r="E216" s="1"/>
  <c r="F106" i="300"/>
  <c r="H34" i="65122"/>
  <c r="H33" i="65100"/>
  <c r="H36" i="65093"/>
  <c r="H37" i="65075"/>
  <c r="H38" s="1"/>
  <c r="D39" i="65137"/>
  <c r="D76"/>
  <c r="H33" i="65089"/>
  <c r="H34" s="1"/>
  <c r="H33" i="65096"/>
  <c r="H33" i="65098"/>
  <c r="H33" i="65105"/>
  <c r="H33" i="65074"/>
  <c r="H37" i="65077"/>
  <c r="H38" s="1"/>
  <c r="D86" i="65137"/>
  <c r="H33" i="65068"/>
  <c r="D11" i="65137"/>
  <c r="D69"/>
  <c r="H37" i="65095"/>
  <c r="H38" s="1"/>
  <c r="D25" i="65137"/>
  <c r="H33" i="65097"/>
  <c r="H33" i="65069"/>
  <c r="D24" i="65137"/>
  <c r="H33" i="65094"/>
  <c r="H33" i="65123"/>
  <c r="H34" s="1"/>
  <c r="D26" i="65137"/>
  <c r="B28" i="304"/>
  <c r="B19"/>
  <c r="H172" i="65139"/>
  <c r="H171"/>
  <c r="H193"/>
  <c r="K15" i="65065"/>
  <c r="K31"/>
  <c r="B27" i="304" l="1"/>
  <c r="H34" i="65094"/>
  <c r="H34" i="65097"/>
  <c r="H34" i="65068"/>
  <c r="H34" i="65098"/>
  <c r="H34" i="65096"/>
  <c r="H34" i="65069"/>
  <c r="H34" i="65105"/>
  <c r="H37" i="65093"/>
  <c r="H34" i="65100"/>
  <c r="H34" i="65115"/>
  <c r="B18" i="304"/>
  <c r="K14" i="65065"/>
  <c r="B52" i="304" l="1"/>
  <c r="K12" i="65076"/>
  <c r="J27" i="65093"/>
  <c r="K27" s="1"/>
  <c r="J27" i="65079"/>
  <c r="K27" s="1"/>
  <c r="J27" i="65067"/>
  <c r="K27" s="1"/>
  <c r="F102" i="300" l="1"/>
  <c r="G102"/>
  <c r="H102"/>
  <c r="F103"/>
  <c r="G103"/>
  <c r="H103"/>
  <c r="E103"/>
  <c r="E102"/>
  <c r="J44" i="65076"/>
  <c r="K44" s="1"/>
  <c r="I103" i="300" l="1"/>
  <c r="I102"/>
  <c r="F101"/>
  <c r="G101"/>
  <c r="F97"/>
  <c r="G97"/>
  <c r="F98"/>
  <c r="G98"/>
  <c r="F90"/>
  <c r="G90"/>
  <c r="F91"/>
  <c r="G91"/>
  <c r="F92"/>
  <c r="G92"/>
  <c r="F87"/>
  <c r="G87"/>
  <c r="F83"/>
  <c r="G83"/>
  <c r="F84"/>
  <c r="G84"/>
  <c r="F78"/>
  <c r="G78"/>
  <c r="F79"/>
  <c r="G79"/>
  <c r="F80"/>
  <c r="G80"/>
  <c r="F81"/>
  <c r="G81"/>
  <c r="F66"/>
  <c r="G66"/>
  <c r="F67"/>
  <c r="G67"/>
  <c r="F68"/>
  <c r="G68"/>
  <c r="F69"/>
  <c r="G69"/>
  <c r="F70"/>
  <c r="G70"/>
  <c r="F71"/>
  <c r="G71"/>
  <c r="F72"/>
  <c r="G72"/>
  <c r="F74"/>
  <c r="G74"/>
  <c r="F75"/>
  <c r="G75"/>
  <c r="F58"/>
  <c r="G58"/>
  <c r="F59"/>
  <c r="G59"/>
  <c r="F60"/>
  <c r="G60"/>
  <c r="F61"/>
  <c r="G61"/>
  <c r="F62"/>
  <c r="G62"/>
  <c r="F63"/>
  <c r="G63"/>
  <c r="F64"/>
  <c r="G64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38"/>
  <c r="G38"/>
  <c r="F39"/>
  <c r="G39"/>
  <c r="F40"/>
  <c r="G40"/>
  <c r="F42"/>
  <c r="G42"/>
  <c r="F43"/>
  <c r="G43"/>
  <c r="F35"/>
  <c r="I35" s="1"/>
  <c r="G35"/>
  <c r="F32"/>
  <c r="F30" s="1"/>
  <c r="G32"/>
  <c r="G30" s="1"/>
  <c r="F9"/>
  <c r="G9"/>
  <c r="F10"/>
  <c r="G10"/>
  <c r="F11"/>
  <c r="G11"/>
  <c r="F12"/>
  <c r="G12"/>
  <c r="H105" i="65139"/>
  <c r="F74"/>
  <c r="F213"/>
  <c r="F203"/>
  <c r="F192"/>
  <c r="F180"/>
  <c r="F169"/>
  <c r="F162"/>
  <c r="F161" s="1"/>
  <c r="F143"/>
  <c r="F142" s="1"/>
  <c r="F130"/>
  <c r="F124"/>
  <c r="F123" s="1"/>
  <c r="F121"/>
  <c r="F119"/>
  <c r="F117"/>
  <c r="F114"/>
  <c r="F109"/>
  <c r="F99"/>
  <c r="F98" s="1"/>
  <c r="F88"/>
  <c r="F87" s="1"/>
  <c r="F83"/>
  <c r="F79"/>
  <c r="F77" s="1"/>
  <c r="F160" l="1"/>
  <c r="F65" i="300"/>
  <c r="G65"/>
  <c r="G100"/>
  <c r="F100"/>
  <c r="F211" i="65139"/>
  <c r="F210" s="1"/>
  <c r="F209" s="1"/>
  <c r="F190"/>
  <c r="F189" s="1"/>
  <c r="F175"/>
  <c r="F174" s="1"/>
  <c r="F159"/>
  <c r="F153"/>
  <c r="F152" s="1"/>
  <c r="F116"/>
  <c r="F92" s="1"/>
  <c r="F76"/>
  <c r="F179"/>
  <c r="F72"/>
  <c r="F69"/>
  <c r="F67"/>
  <c r="F62"/>
  <c r="F59"/>
  <c r="F52"/>
  <c r="F51" s="1"/>
  <c r="F46"/>
  <c r="F38"/>
  <c r="F37" s="1"/>
  <c r="F35"/>
  <c r="F33"/>
  <c r="F28"/>
  <c r="F20"/>
  <c r="F19" s="1"/>
  <c r="F16"/>
  <c r="F15" s="1"/>
  <c r="F12"/>
  <c r="F7"/>
  <c r="F94" i="300"/>
  <c r="G94"/>
  <c r="F89"/>
  <c r="G89"/>
  <c r="F86"/>
  <c r="G86"/>
  <c r="G82"/>
  <c r="F82"/>
  <c r="F77"/>
  <c r="G77"/>
  <c r="F57"/>
  <c r="G57"/>
  <c r="F46"/>
  <c r="G46"/>
  <c r="F36"/>
  <c r="G36"/>
  <c r="F33"/>
  <c r="G33"/>
  <c r="F23"/>
  <c r="G23"/>
  <c r="F20"/>
  <c r="G20"/>
  <c r="G14"/>
  <c r="F8"/>
  <c r="G8"/>
  <c r="K12" i="65094"/>
  <c r="J31" i="65095"/>
  <c r="K31" s="1"/>
  <c r="J30" i="65093"/>
  <c r="K30" s="1"/>
  <c r="J29" i="65080"/>
  <c r="K29" s="1"/>
  <c r="J28" i="65078"/>
  <c r="K28" s="1"/>
  <c r="J27" i="65077"/>
  <c r="K27" s="1"/>
  <c r="J31"/>
  <c r="K31" s="1"/>
  <c r="J31" i="65076"/>
  <c r="K31" s="1"/>
  <c r="J28" i="65075"/>
  <c r="K28" s="1"/>
  <c r="J31"/>
  <c r="K31" s="1"/>
  <c r="J27" i="65066"/>
  <c r="K27" s="1"/>
  <c r="F6" i="65139" l="1"/>
  <c r="F27"/>
  <c r="F58"/>
  <c r="F151"/>
  <c r="C32" i="304"/>
  <c r="C34"/>
  <c r="C35"/>
  <c r="C37"/>
  <c r="C38"/>
  <c r="C42"/>
  <c r="C47"/>
  <c r="F14" i="300"/>
  <c r="F45"/>
  <c r="G45"/>
  <c r="G6" s="1"/>
  <c r="F71" i="65139"/>
  <c r="F57" l="1"/>
  <c r="F5"/>
  <c r="C36" i="304"/>
  <c r="C33"/>
  <c r="F6" i="300"/>
  <c r="F149" i="65139" l="1"/>
  <c r="F207" s="1"/>
  <c r="F216" s="1"/>
  <c r="H183"/>
  <c r="H184"/>
  <c r="H187"/>
  <c r="C45" i="304"/>
  <c r="H43" i="300"/>
  <c r="I43" s="1"/>
  <c r="E43"/>
  <c r="J15" i="65122"/>
  <c r="K15" s="1"/>
  <c r="H42" i="300"/>
  <c r="I42" s="1"/>
  <c r="E42"/>
  <c r="J15" i="65075"/>
  <c r="K15" s="1"/>
  <c r="D27" i="65124"/>
  <c r="J7" i="65080"/>
  <c r="K7" s="1"/>
  <c r="H213" i="65139"/>
  <c r="G211"/>
  <c r="H110"/>
  <c r="H96"/>
  <c r="G124"/>
  <c r="G123" s="1"/>
  <c r="H123" s="1"/>
  <c r="H78"/>
  <c r="H166"/>
  <c r="C30" i="304"/>
  <c r="H177" i="65139"/>
  <c r="H174"/>
  <c r="C24" i="304"/>
  <c r="C22"/>
  <c r="C21"/>
  <c r="J27" i="65085"/>
  <c r="K27" s="1"/>
  <c r="H215" i="65139"/>
  <c r="H208"/>
  <c r="H206"/>
  <c r="H205"/>
  <c r="H204"/>
  <c r="G203"/>
  <c r="D30" i="304" s="1"/>
  <c r="H202" i="65139"/>
  <c r="H197"/>
  <c r="H196"/>
  <c r="G192"/>
  <c r="H192" s="1"/>
  <c r="H191"/>
  <c r="H182"/>
  <c r="H178"/>
  <c r="H170"/>
  <c r="G169"/>
  <c r="H167"/>
  <c r="H164"/>
  <c r="G162"/>
  <c r="H158"/>
  <c r="H157"/>
  <c r="H155"/>
  <c r="J12" i="65098"/>
  <c r="K12" s="1"/>
  <c r="J7"/>
  <c r="K7" s="1"/>
  <c r="J12" i="65096"/>
  <c r="K12" s="1"/>
  <c r="J7"/>
  <c r="K7" s="1"/>
  <c r="J12" i="65071"/>
  <c r="K12" s="1"/>
  <c r="J7"/>
  <c r="K7" s="1"/>
  <c r="J12" i="65105"/>
  <c r="J7"/>
  <c r="K7" s="1"/>
  <c r="J12" i="65097"/>
  <c r="K12" s="1"/>
  <c r="J7"/>
  <c r="K7" s="1"/>
  <c r="J12" i="65095"/>
  <c r="K12" s="1"/>
  <c r="J7"/>
  <c r="K7" s="1"/>
  <c r="J7" i="65094"/>
  <c r="K7" s="1"/>
  <c r="J12" i="65093"/>
  <c r="K12" s="1"/>
  <c r="J7"/>
  <c r="K7" s="1"/>
  <c r="J12" i="65089"/>
  <c r="K12" s="1"/>
  <c r="J7"/>
  <c r="K7" s="1"/>
  <c r="J12" i="65088"/>
  <c r="K12" s="1"/>
  <c r="J7"/>
  <c r="K7" s="1"/>
  <c r="J12" i="65087"/>
  <c r="J7"/>
  <c r="K7" s="1"/>
  <c r="J12" i="65086"/>
  <c r="K12" s="1"/>
  <c r="J7"/>
  <c r="K7" s="1"/>
  <c r="J12" i="65085"/>
  <c r="K12" s="1"/>
  <c r="J7"/>
  <c r="K7" s="1"/>
  <c r="J12" i="65084"/>
  <c r="K12" s="1"/>
  <c r="J7"/>
  <c r="K7" s="1"/>
  <c r="J12" i="65083"/>
  <c r="K12" s="1"/>
  <c r="J7"/>
  <c r="K7" s="1"/>
  <c r="J12" i="65122"/>
  <c r="K12" s="1"/>
  <c r="J7"/>
  <c r="K7" s="1"/>
  <c r="J12" i="65081"/>
  <c r="K12" s="1"/>
  <c r="J7"/>
  <c r="K7" s="1"/>
  <c r="J12" i="65082"/>
  <c r="K12" s="1"/>
  <c r="J7"/>
  <c r="K7" s="1"/>
  <c r="J12" i="65080"/>
  <c r="J12" i="65079"/>
  <c r="K12" s="1"/>
  <c r="J7"/>
  <c r="K7" s="1"/>
  <c r="J12" i="65078"/>
  <c r="K12" s="1"/>
  <c r="J7"/>
  <c r="K7" s="1"/>
  <c r="J12" i="65077"/>
  <c r="K12" s="1"/>
  <c r="J7"/>
  <c r="K7" s="1"/>
  <c r="J15" i="65076"/>
  <c r="J10"/>
  <c r="K10" s="1"/>
  <c r="J12" i="65075"/>
  <c r="K12" s="1"/>
  <c r="J7"/>
  <c r="K7" s="1"/>
  <c r="J12" i="65115"/>
  <c r="K12" s="1"/>
  <c r="J7"/>
  <c r="K7" s="1"/>
  <c r="J12" i="65100"/>
  <c r="K12" s="1"/>
  <c r="J7"/>
  <c r="K7" s="1"/>
  <c r="J12" i="65074"/>
  <c r="K12" s="1"/>
  <c r="J7"/>
  <c r="K7" s="1"/>
  <c r="J12" i="65070"/>
  <c r="K12" s="1"/>
  <c r="J7"/>
  <c r="K7" s="1"/>
  <c r="J12" i="65069"/>
  <c r="J7"/>
  <c r="K7" s="1"/>
  <c r="J12" i="65068"/>
  <c r="K12" s="1"/>
  <c r="J7"/>
  <c r="K7" s="1"/>
  <c r="J12" i="65123"/>
  <c r="K12" s="1"/>
  <c r="J7"/>
  <c r="K7" s="1"/>
  <c r="J12" i="65099"/>
  <c r="J7"/>
  <c r="K7" s="1"/>
  <c r="J12" i="65067"/>
  <c r="K12" s="1"/>
  <c r="J7"/>
  <c r="K7" s="1"/>
  <c r="J12" i="65066"/>
  <c r="K12" s="1"/>
  <c r="J7"/>
  <c r="K7" s="1"/>
  <c r="J17" i="65065"/>
  <c r="K17" s="1"/>
  <c r="J12"/>
  <c r="K12" s="1"/>
  <c r="J12" i="16"/>
  <c r="K12" s="1"/>
  <c r="J7"/>
  <c r="K7" s="1"/>
  <c r="H150" i="65139"/>
  <c r="H148"/>
  <c r="H147"/>
  <c r="H146"/>
  <c r="H145"/>
  <c r="H144"/>
  <c r="G143"/>
  <c r="G142" s="1"/>
  <c r="H142" s="1"/>
  <c r="H141"/>
  <c r="H140"/>
  <c r="H139"/>
  <c r="H136"/>
  <c r="H135"/>
  <c r="H134"/>
  <c r="H133"/>
  <c r="H132"/>
  <c r="H131"/>
  <c r="G130"/>
  <c r="H130" s="1"/>
  <c r="H129"/>
  <c r="H128"/>
  <c r="H127"/>
  <c r="H126"/>
  <c r="H125"/>
  <c r="G121"/>
  <c r="H121" s="1"/>
  <c r="H120"/>
  <c r="G117"/>
  <c r="G116" s="1"/>
  <c r="H116" s="1"/>
  <c r="H115"/>
  <c r="G114"/>
  <c r="H114" s="1"/>
  <c r="H113"/>
  <c r="H112"/>
  <c r="H111"/>
  <c r="G109"/>
  <c r="H109" s="1"/>
  <c r="H108"/>
  <c r="H107"/>
  <c r="H106"/>
  <c r="H104"/>
  <c r="H103"/>
  <c r="H102"/>
  <c r="H101"/>
  <c r="H100"/>
  <c r="G99"/>
  <c r="G98" s="1"/>
  <c r="H98" s="1"/>
  <c r="H97"/>
  <c r="H95"/>
  <c r="H91"/>
  <c r="H90"/>
  <c r="H89"/>
  <c r="G88"/>
  <c r="G87" s="1"/>
  <c r="H87" s="1"/>
  <c r="H86"/>
  <c r="H85"/>
  <c r="H84"/>
  <c r="G83"/>
  <c r="H82"/>
  <c r="H81"/>
  <c r="H80"/>
  <c r="G79"/>
  <c r="G77" s="1"/>
  <c r="H75"/>
  <c r="G74"/>
  <c r="H74" s="1"/>
  <c r="H73"/>
  <c r="G72"/>
  <c r="H72" s="1"/>
  <c r="H70"/>
  <c r="G69"/>
  <c r="H69" s="1"/>
  <c r="H68"/>
  <c r="G67"/>
  <c r="H67" s="1"/>
  <c r="H66"/>
  <c r="H64"/>
  <c r="H63"/>
  <c r="G62"/>
  <c r="H62" s="1"/>
  <c r="H61"/>
  <c r="H60"/>
  <c r="G59"/>
  <c r="H56"/>
  <c r="H55"/>
  <c r="H54"/>
  <c r="H53"/>
  <c r="G52"/>
  <c r="G51" s="1"/>
  <c r="H50"/>
  <c r="H49"/>
  <c r="G46"/>
  <c r="H45"/>
  <c r="H44"/>
  <c r="H43"/>
  <c r="H42"/>
  <c r="H41"/>
  <c r="H40"/>
  <c r="H39"/>
  <c r="G38"/>
  <c r="G37" s="1"/>
  <c r="H36"/>
  <c r="G35"/>
  <c r="H35" s="1"/>
  <c r="H34"/>
  <c r="G33"/>
  <c r="H33" s="1"/>
  <c r="H32"/>
  <c r="H31"/>
  <c r="H30"/>
  <c r="H29"/>
  <c r="G28"/>
  <c r="H26"/>
  <c r="H25"/>
  <c r="H24"/>
  <c r="H23"/>
  <c r="H22"/>
  <c r="H21"/>
  <c r="G20"/>
  <c r="G19" s="1"/>
  <c r="H18"/>
  <c r="H17"/>
  <c r="G16"/>
  <c r="G15" s="1"/>
  <c r="H14"/>
  <c r="H13"/>
  <c r="G12"/>
  <c r="H12" s="1"/>
  <c r="H11"/>
  <c r="H10"/>
  <c r="H8"/>
  <c r="G7"/>
  <c r="E72" i="65137"/>
  <c r="F72" s="1"/>
  <c r="E65"/>
  <c r="E64"/>
  <c r="F64" s="1"/>
  <c r="I17" i="300"/>
  <c r="I18"/>
  <c r="E43" i="65125"/>
  <c r="F43"/>
  <c r="F10" i="65137"/>
  <c r="F12"/>
  <c r="F13"/>
  <c r="F14"/>
  <c r="F15"/>
  <c r="F16"/>
  <c r="D17"/>
  <c r="E17"/>
  <c r="F17"/>
  <c r="F18"/>
  <c r="F19"/>
  <c r="F20"/>
  <c r="F21"/>
  <c r="F22"/>
  <c r="F27"/>
  <c r="F28"/>
  <c r="F31"/>
  <c r="F33"/>
  <c r="F34"/>
  <c r="F35"/>
  <c r="F36"/>
  <c r="F37"/>
  <c r="F38"/>
  <c r="D40"/>
  <c r="E40"/>
  <c r="F40"/>
  <c r="F41"/>
  <c r="F42"/>
  <c r="F43"/>
  <c r="F44"/>
  <c r="F45"/>
  <c r="F46"/>
  <c r="D47"/>
  <c r="E47"/>
  <c r="F47"/>
  <c r="F48"/>
  <c r="F49"/>
  <c r="F50"/>
  <c r="F51"/>
  <c r="F52"/>
  <c r="F53"/>
  <c r="D54"/>
  <c r="E54"/>
  <c r="F54"/>
  <c r="F55"/>
  <c r="F56"/>
  <c r="F57"/>
  <c r="F58"/>
  <c r="F59"/>
  <c r="F60"/>
  <c r="F62"/>
  <c r="F63"/>
  <c r="D61"/>
  <c r="E61"/>
  <c r="F66"/>
  <c r="F67"/>
  <c r="F71"/>
  <c r="F73"/>
  <c r="F74"/>
  <c r="F75"/>
  <c r="F78"/>
  <c r="F79"/>
  <c r="F80"/>
  <c r="F81"/>
  <c r="F82"/>
  <c r="F83"/>
  <c r="F84"/>
  <c r="F85"/>
  <c r="C5" i="65124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D23"/>
  <c r="C24"/>
  <c r="D24"/>
  <c r="C25"/>
  <c r="D25"/>
  <c r="C26"/>
  <c r="D26"/>
  <c r="C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J15" i="65105"/>
  <c r="J27"/>
  <c r="K27" s="1"/>
  <c r="J15" i="65098"/>
  <c r="J27"/>
  <c r="K27" s="1"/>
  <c r="J15" i="65097"/>
  <c r="K15" s="1"/>
  <c r="J27"/>
  <c r="K27" s="1"/>
  <c r="J15" i="65096"/>
  <c r="K15" s="1"/>
  <c r="J27"/>
  <c r="K27" s="1"/>
  <c r="J15" i="65095"/>
  <c r="K15" s="1"/>
  <c r="J15" i="65094"/>
  <c r="K15" s="1"/>
  <c r="J27"/>
  <c r="J15" i="65093"/>
  <c r="G34" i="65124"/>
  <c r="J15" i="65089"/>
  <c r="K15" s="1"/>
  <c r="J27"/>
  <c r="K27" s="1"/>
  <c r="J15" i="65088"/>
  <c r="K15" s="1"/>
  <c r="J27"/>
  <c r="J15" i="65087"/>
  <c r="J27"/>
  <c r="J15" i="65086"/>
  <c r="J27"/>
  <c r="K27" s="1"/>
  <c r="J15" i="65085"/>
  <c r="K15" s="1"/>
  <c r="J15" i="65084"/>
  <c r="J27"/>
  <c r="J15" i="65083"/>
  <c r="J27"/>
  <c r="K27" s="1"/>
  <c r="J28" i="65122"/>
  <c r="K28" s="1"/>
  <c r="J15" i="65081"/>
  <c r="J27"/>
  <c r="K27" s="1"/>
  <c r="J15" i="65082"/>
  <c r="K15" s="1"/>
  <c r="J27"/>
  <c r="K27" s="1"/>
  <c r="J15" i="65080"/>
  <c r="K15" s="1"/>
  <c r="J38"/>
  <c r="H23" i="65124" s="1"/>
  <c r="J41" i="65080"/>
  <c r="K41" s="1"/>
  <c r="J44"/>
  <c r="K44" s="1"/>
  <c r="J48"/>
  <c r="K48" s="1"/>
  <c r="J15" i="65079"/>
  <c r="K15" s="1"/>
  <c r="G22" i="65124"/>
  <c r="J33" i="65079"/>
  <c r="K33" s="1"/>
  <c r="J15" i="65078"/>
  <c r="K15" s="1"/>
  <c r="J32"/>
  <c r="K32" s="1"/>
  <c r="J15" i="65077"/>
  <c r="K15" s="1"/>
  <c r="J20" i="65124"/>
  <c r="J7" i="65076"/>
  <c r="K7" s="1"/>
  <c r="J18"/>
  <c r="K18" s="1"/>
  <c r="J36"/>
  <c r="K36" s="1"/>
  <c r="J40"/>
  <c r="K40" s="1"/>
  <c r="K19" i="65124"/>
  <c r="J18"/>
  <c r="J15" i="65115"/>
  <c r="K15" s="1"/>
  <c r="J27"/>
  <c r="J15" i="65100"/>
  <c r="K15" s="1"/>
  <c r="J27"/>
  <c r="K27" s="1"/>
  <c r="J15" i="65074"/>
  <c r="J27"/>
  <c r="K27" s="1"/>
  <c r="J15" i="65071"/>
  <c r="J28"/>
  <c r="J15" i="65070"/>
  <c r="J27"/>
  <c r="K27" s="1"/>
  <c r="J15" i="65069"/>
  <c r="K15" s="1"/>
  <c r="J27"/>
  <c r="K27" s="1"/>
  <c r="J15" i="65068"/>
  <c r="K15" s="1"/>
  <c r="J27"/>
  <c r="K27" s="1"/>
  <c r="J15" i="65123"/>
  <c r="K15" s="1"/>
  <c r="J27"/>
  <c r="K27" s="1"/>
  <c r="J15" i="65099"/>
  <c r="K15" s="1"/>
  <c r="J27"/>
  <c r="J15" i="65067"/>
  <c r="K15" s="1"/>
  <c r="J15" i="65066"/>
  <c r="K15" s="1"/>
  <c r="G7" i="65124"/>
  <c r="J30" i="65066"/>
  <c r="K30" s="1"/>
  <c r="J7" i="65065"/>
  <c r="K7" s="1"/>
  <c r="J20"/>
  <c r="K20" s="1"/>
  <c r="J33"/>
  <c r="K33" s="1"/>
  <c r="J46"/>
  <c r="K46" s="1"/>
  <c r="J49"/>
  <c r="K49" s="1"/>
  <c r="J15" i="16"/>
  <c r="K15" s="1"/>
  <c r="J27"/>
  <c r="I7" i="300"/>
  <c r="E9"/>
  <c r="H9"/>
  <c r="I9" s="1"/>
  <c r="E10"/>
  <c r="H10"/>
  <c r="I10" s="1"/>
  <c r="E11"/>
  <c r="H11"/>
  <c r="I11" s="1"/>
  <c r="E12"/>
  <c r="E8" s="1"/>
  <c r="B32" i="304" s="1"/>
  <c r="H12" i="300"/>
  <c r="I12" s="1"/>
  <c r="E20"/>
  <c r="B34" i="304" s="1"/>
  <c r="I24" i="300"/>
  <c r="I25"/>
  <c r="I26"/>
  <c r="I27"/>
  <c r="I28"/>
  <c r="I29"/>
  <c r="I31"/>
  <c r="E32"/>
  <c r="H32"/>
  <c r="I34"/>
  <c r="E35"/>
  <c r="H35"/>
  <c r="I37"/>
  <c r="E38"/>
  <c r="H38"/>
  <c r="I38" s="1"/>
  <c r="E39"/>
  <c r="H39"/>
  <c r="I39" s="1"/>
  <c r="E40"/>
  <c r="H40"/>
  <c r="I40" s="1"/>
  <c r="I41"/>
  <c r="E47"/>
  <c r="H47"/>
  <c r="I47" s="1"/>
  <c r="E48"/>
  <c r="H48"/>
  <c r="I48" s="1"/>
  <c r="E49"/>
  <c r="H49"/>
  <c r="I49" s="1"/>
  <c r="E50"/>
  <c r="H50"/>
  <c r="I50" s="1"/>
  <c r="E51"/>
  <c r="H51"/>
  <c r="I51" s="1"/>
  <c r="E52"/>
  <c r="H52"/>
  <c r="I52" s="1"/>
  <c r="E53"/>
  <c r="H53"/>
  <c r="I53" s="1"/>
  <c r="E54"/>
  <c r="H54"/>
  <c r="I54" s="1"/>
  <c r="E55"/>
  <c r="H55"/>
  <c r="I55" s="1"/>
  <c r="E56"/>
  <c r="H56"/>
  <c r="I56" s="1"/>
  <c r="E58"/>
  <c r="H58"/>
  <c r="I58" s="1"/>
  <c r="E59"/>
  <c r="H59"/>
  <c r="I59" s="1"/>
  <c r="E60"/>
  <c r="H60"/>
  <c r="I60" s="1"/>
  <c r="E61"/>
  <c r="H61"/>
  <c r="I61" s="1"/>
  <c r="E62"/>
  <c r="H62"/>
  <c r="I62" s="1"/>
  <c r="E63"/>
  <c r="H63"/>
  <c r="I63" s="1"/>
  <c r="E64"/>
  <c r="H64"/>
  <c r="I64" s="1"/>
  <c r="E66"/>
  <c r="H66"/>
  <c r="I66" s="1"/>
  <c r="E67"/>
  <c r="H67"/>
  <c r="I67" s="1"/>
  <c r="E68"/>
  <c r="H68"/>
  <c r="I68" s="1"/>
  <c r="E69"/>
  <c r="H69"/>
  <c r="I69" s="1"/>
  <c r="E70"/>
  <c r="H70"/>
  <c r="I70" s="1"/>
  <c r="E71"/>
  <c r="H71"/>
  <c r="I71" s="1"/>
  <c r="E72"/>
  <c r="H72"/>
  <c r="I72" s="1"/>
  <c r="E74"/>
  <c r="H74"/>
  <c r="I74" s="1"/>
  <c r="E75"/>
  <c r="H75"/>
  <c r="I75" s="1"/>
  <c r="E78"/>
  <c r="H78"/>
  <c r="I78" s="1"/>
  <c r="E79"/>
  <c r="H79"/>
  <c r="I79" s="1"/>
  <c r="E80"/>
  <c r="H80"/>
  <c r="I80" s="1"/>
  <c r="E81"/>
  <c r="H81"/>
  <c r="I81" s="1"/>
  <c r="E83"/>
  <c r="H83"/>
  <c r="I83" s="1"/>
  <c r="E84"/>
  <c r="E82" s="1"/>
  <c r="H84"/>
  <c r="I84" s="1"/>
  <c r="E87"/>
  <c r="E86" s="1"/>
  <c r="B37" i="304" s="1"/>
  <c r="H87" i="300"/>
  <c r="E90"/>
  <c r="H90"/>
  <c r="I90" s="1"/>
  <c r="E91"/>
  <c r="H91"/>
  <c r="I91" s="1"/>
  <c r="E92"/>
  <c r="H92"/>
  <c r="I92" s="1"/>
  <c r="I95"/>
  <c r="I96"/>
  <c r="E97"/>
  <c r="H97"/>
  <c r="I97" s="1"/>
  <c r="E98"/>
  <c r="H98"/>
  <c r="I98" s="1"/>
  <c r="E101"/>
  <c r="H101"/>
  <c r="I101" s="1"/>
  <c r="D45" i="304"/>
  <c r="E45"/>
  <c r="I19" i="65124"/>
  <c r="F40"/>
  <c r="F33"/>
  <c r="F32"/>
  <c r="F31"/>
  <c r="F29"/>
  <c r="F24"/>
  <c r="F23"/>
  <c r="F17"/>
  <c r="F11"/>
  <c r="F8"/>
  <c r="F6"/>
  <c r="F5"/>
  <c r="J40"/>
  <c r="D41" i="65125"/>
  <c r="C41" s="1"/>
  <c r="J37" i="65124"/>
  <c r="D38" i="65125"/>
  <c r="C38" s="1"/>
  <c r="G36" i="65124"/>
  <c r="J35"/>
  <c r="J34"/>
  <c r="D36" i="65125"/>
  <c r="C36" s="1"/>
  <c r="J33" i="65124"/>
  <c r="D35" i="65125"/>
  <c r="C35" s="1"/>
  <c r="J31" i="65124"/>
  <c r="J29"/>
  <c r="D31" i="65125"/>
  <c r="C31" s="1"/>
  <c r="J28" i="65124"/>
  <c r="D29" i="65125"/>
  <c r="C29" s="1"/>
  <c r="J26" i="65124"/>
  <c r="J25"/>
  <c r="D27" i="65125"/>
  <c r="C27" s="1"/>
  <c r="J24" i="65124"/>
  <c r="D26" i="65125"/>
  <c r="C26" s="1"/>
  <c r="J21" i="65124"/>
  <c r="D23" i="65125"/>
  <c r="C23" s="1"/>
  <c r="G21" i="65124"/>
  <c r="F19"/>
  <c r="D20" i="65125"/>
  <c r="C20" s="1"/>
  <c r="F18" i="65124"/>
  <c r="J16"/>
  <c r="D18" i="65125"/>
  <c r="C18" s="1"/>
  <c r="J15" i="65124"/>
  <c r="D16" i="65125"/>
  <c r="C16" s="1"/>
  <c r="D14"/>
  <c r="C14" s="1"/>
  <c r="J11" i="65124"/>
  <c r="D13" i="65125"/>
  <c r="C13" s="1"/>
  <c r="J10" i="65124"/>
  <c r="D12" i="65125"/>
  <c r="C12" s="1"/>
  <c r="J7" i="65124"/>
  <c r="J5"/>
  <c r="E15"/>
  <c r="J9"/>
  <c r="E5"/>
  <c r="H83" i="65139"/>
  <c r="H59"/>
  <c r="H47"/>
  <c r="H79"/>
  <c r="F65" i="65137"/>
  <c r="F37" i="65124"/>
  <c r="E38"/>
  <c r="E36"/>
  <c r="E35"/>
  <c r="E33"/>
  <c r="E32"/>
  <c r="E29"/>
  <c r="E28"/>
  <c r="J32" i="65084"/>
  <c r="K32" s="1"/>
  <c r="E27" i="65124"/>
  <c r="E26"/>
  <c r="E25"/>
  <c r="E22"/>
  <c r="E21"/>
  <c r="E20"/>
  <c r="E18"/>
  <c r="E17"/>
  <c r="J32" i="65074"/>
  <c r="E13" i="65124"/>
  <c r="E10"/>
  <c r="J32" i="65123"/>
  <c r="K32" s="1"/>
  <c r="E8" i="65124"/>
  <c r="E6"/>
  <c r="H6"/>
  <c r="E39"/>
  <c r="E37"/>
  <c r="E14"/>
  <c r="G6" i="65139"/>
  <c r="D20" i="304" s="1"/>
  <c r="H16" i="65139"/>
  <c r="G58"/>
  <c r="H58" s="1"/>
  <c r="H7"/>
  <c r="H28"/>
  <c r="E7" i="65124"/>
  <c r="J32" i="65068"/>
  <c r="E11" i="65124"/>
  <c r="J38" i="65078"/>
  <c r="J32" i="65087"/>
  <c r="K32" s="1"/>
  <c r="E16" i="65124"/>
  <c r="J32" i="65100"/>
  <c r="E30" i="65124"/>
  <c r="J32" i="65086"/>
  <c r="K32" s="1"/>
  <c r="J32" i="65089"/>
  <c r="K32" s="1"/>
  <c r="J32" i="65085"/>
  <c r="K32" s="1"/>
  <c r="G6" i="65124"/>
  <c r="F12"/>
  <c r="G19"/>
  <c r="G20"/>
  <c r="J22"/>
  <c r="J23"/>
  <c r="F26"/>
  <c r="F35"/>
  <c r="E34"/>
  <c r="J32" i="65069"/>
  <c r="E24" i="65137" s="1"/>
  <c r="J32" i="65115"/>
  <c r="J36" i="65077"/>
  <c r="D8" i="65125"/>
  <c r="C8" s="1"/>
  <c r="D17"/>
  <c r="C17" s="1"/>
  <c r="D21"/>
  <c r="C21" s="1"/>
  <c r="J19" i="65124"/>
  <c r="J49" i="65076"/>
  <c r="F22" i="65124"/>
  <c r="D32" i="65125"/>
  <c r="C32" s="1"/>
  <c r="J30" i="65124"/>
  <c r="D39" i="65125"/>
  <c r="C39" s="1"/>
  <c r="J38" i="65124"/>
  <c r="D10" i="65125"/>
  <c r="C10" s="1"/>
  <c r="J8" i="65124"/>
  <c r="J12"/>
  <c r="D22" i="65125"/>
  <c r="C22" s="1"/>
  <c r="F20" i="65124"/>
  <c r="K23"/>
  <c r="I23"/>
  <c r="I41" s="1"/>
  <c r="D28" i="65125"/>
  <c r="C28" s="1"/>
  <c r="J27" i="65124"/>
  <c r="F30"/>
  <c r="J36"/>
  <c r="F36"/>
  <c r="F38"/>
  <c r="J39"/>
  <c r="D42" i="65125"/>
  <c r="C42" s="1"/>
  <c r="J33" i="65122"/>
  <c r="K33" s="1"/>
  <c r="J38" i="65079"/>
  <c r="J55" i="65065"/>
  <c r="K55" s="1"/>
  <c r="J6" i="65124"/>
  <c r="J13"/>
  <c r="J17"/>
  <c r="D25" i="65125"/>
  <c r="C25" s="1"/>
  <c r="D24"/>
  <c r="C24" s="1"/>
  <c r="D40"/>
  <c r="C40" s="1"/>
  <c r="J32" i="65088"/>
  <c r="K32" s="1"/>
  <c r="J33" i="65071"/>
  <c r="J32" i="65098"/>
  <c r="H176" i="65139"/>
  <c r="H175"/>
  <c r="D37" i="65125"/>
  <c r="C37" s="1"/>
  <c r="J35" i="65093"/>
  <c r="K35" s="1"/>
  <c r="G23" i="65124"/>
  <c r="H203" i="65139"/>
  <c r="G180"/>
  <c r="H180" s="1"/>
  <c r="G153"/>
  <c r="G152" s="1"/>
  <c r="H152" s="1"/>
  <c r="J52" i="65080"/>
  <c r="K52" s="1"/>
  <c r="I15" i="300"/>
  <c r="C23" i="65124"/>
  <c r="J36" i="65075"/>
  <c r="G18" i="65124"/>
  <c r="G190" i="65139"/>
  <c r="G189" s="1"/>
  <c r="C26" i="304"/>
  <c r="C23"/>
  <c r="C25"/>
  <c r="H119" i="65139"/>
  <c r="H137"/>
  <c r="H154"/>
  <c r="C20" i="304"/>
  <c r="H93" i="65139"/>
  <c r="H118"/>
  <c r="H122"/>
  <c r="H212"/>
  <c r="C28" i="304"/>
  <c r="C40"/>
  <c r="C29"/>
  <c r="H89" i="300"/>
  <c r="E77"/>
  <c r="H77"/>
  <c r="I77" s="1"/>
  <c r="H8"/>
  <c r="I8" s="1"/>
  <c r="J32" i="65081"/>
  <c r="K32" s="1"/>
  <c r="C27" i="304"/>
  <c r="G27" i="65139" l="1"/>
  <c r="D23" i="304"/>
  <c r="H27" i="65139"/>
  <c r="H88"/>
  <c r="H52"/>
  <c r="H99"/>
  <c r="H6"/>
  <c r="H117"/>
  <c r="H20"/>
  <c r="H124"/>
  <c r="H38"/>
  <c r="H143"/>
  <c r="J32" i="65083"/>
  <c r="K32" s="1"/>
  <c r="J32" i="65082"/>
  <c r="K32" s="1"/>
  <c r="E24" i="65124"/>
  <c r="K15" i="65086"/>
  <c r="K15" i="65087"/>
  <c r="K15" i="65105"/>
  <c r="K15" i="65093"/>
  <c r="J36" i="65095"/>
  <c r="K36" s="1"/>
  <c r="F21" i="65124"/>
  <c r="L21" s="1"/>
  <c r="F16"/>
  <c r="D15" i="65125"/>
  <c r="C15" s="1"/>
  <c r="J32" i="65070"/>
  <c r="F10" i="65124"/>
  <c r="H162" i="65139"/>
  <c r="G161"/>
  <c r="H161" s="1"/>
  <c r="I32" i="300"/>
  <c r="H30"/>
  <c r="I30" s="1"/>
  <c r="E36"/>
  <c r="L26" i="65124"/>
  <c r="E40"/>
  <c r="K12" i="65105"/>
  <c r="F39" i="65124"/>
  <c r="K15" i="65098"/>
  <c r="J33"/>
  <c r="K33" s="1"/>
  <c r="K32"/>
  <c r="D34" i="65125"/>
  <c r="C34" s="1"/>
  <c r="K27" i="65088"/>
  <c r="D33" i="65125"/>
  <c r="C33" s="1"/>
  <c r="K27" i="65087"/>
  <c r="E31" i="65124"/>
  <c r="K12" i="65087"/>
  <c r="D30" i="65125"/>
  <c r="C30" s="1"/>
  <c r="K27" i="65084"/>
  <c r="F28" i="65124"/>
  <c r="L28" s="1"/>
  <c r="K15" i="65084"/>
  <c r="F27" i="65124"/>
  <c r="L27" s="1"/>
  <c r="K15" i="65083"/>
  <c r="F25" i="65124"/>
  <c r="K15" i="65081"/>
  <c r="E23" i="65124"/>
  <c r="L23" s="1"/>
  <c r="K12" i="65080"/>
  <c r="E19" i="65124"/>
  <c r="K15" i="65076"/>
  <c r="E89" i="300"/>
  <c r="B38" i="304" s="1"/>
  <c r="D19" i="65125"/>
  <c r="C19" s="1"/>
  <c r="K27" i="65115"/>
  <c r="J33" i="65100"/>
  <c r="K33" s="1"/>
  <c r="K32"/>
  <c r="F15" i="65124"/>
  <c r="K15" i="65074"/>
  <c r="J33"/>
  <c r="K33" s="1"/>
  <c r="K32"/>
  <c r="J14" i="65124"/>
  <c r="J41" s="1"/>
  <c r="K28" i="65071"/>
  <c r="F14" i="65124"/>
  <c r="K15" i="65071"/>
  <c r="J34"/>
  <c r="K34" s="1"/>
  <c r="K33"/>
  <c r="F13" i="65124"/>
  <c r="K15" i="65070"/>
  <c r="E12" i="65124"/>
  <c r="K12" i="65069"/>
  <c r="J33"/>
  <c r="K33" s="1"/>
  <c r="K32"/>
  <c r="J33" i="65068"/>
  <c r="K33" s="1"/>
  <c r="K32"/>
  <c r="D11" i="65125"/>
  <c r="C11" s="1"/>
  <c r="K27" i="65099"/>
  <c r="J32"/>
  <c r="K32" s="1"/>
  <c r="E9" i="65124"/>
  <c r="K12" i="65099"/>
  <c r="L8" i="65124"/>
  <c r="D7" i="65125"/>
  <c r="C7" s="1"/>
  <c r="K27" i="16"/>
  <c r="E29" i="65137"/>
  <c r="F29" s="1"/>
  <c r="K32" i="65070"/>
  <c r="J33" i="65115"/>
  <c r="K33" s="1"/>
  <c r="K32"/>
  <c r="J37" i="65075"/>
  <c r="K37" s="1"/>
  <c r="K36"/>
  <c r="E57" i="300"/>
  <c r="E46"/>
  <c r="H82"/>
  <c r="I82" s="1"/>
  <c r="E32" i="65137"/>
  <c r="K38" i="65079"/>
  <c r="J37" i="65095"/>
  <c r="J39" i="65078"/>
  <c r="K39" s="1"/>
  <c r="K38"/>
  <c r="J37" i="65077"/>
  <c r="K36"/>
  <c r="J50" i="65076"/>
  <c r="K49"/>
  <c r="H181" i="65139"/>
  <c r="H153"/>
  <c r="G175"/>
  <c r="G174" s="1"/>
  <c r="D38" i="304"/>
  <c r="E38" s="1"/>
  <c r="I89" i="300"/>
  <c r="H86"/>
  <c r="I86" s="1"/>
  <c r="I87"/>
  <c r="H20"/>
  <c r="I21"/>
  <c r="D77" i="65137"/>
  <c r="F24"/>
  <c r="H65" i="300"/>
  <c r="I65" s="1"/>
  <c r="E65"/>
  <c r="D32" i="304"/>
  <c r="E32" s="1"/>
  <c r="H169" i="65139"/>
  <c r="G160"/>
  <c r="L36" i="65124"/>
  <c r="L37"/>
  <c r="L11"/>
  <c r="J32" i="65105"/>
  <c r="K32" s="1"/>
  <c r="H100" i="300"/>
  <c r="E100"/>
  <c r="B47" i="304" s="1"/>
  <c r="B46" s="1"/>
  <c r="B48" s="1"/>
  <c r="L6" i="65124"/>
  <c r="J32" i="65094"/>
  <c r="E39" i="65137" s="1"/>
  <c r="L35" i="65124"/>
  <c r="L33"/>
  <c r="F70" i="65137"/>
  <c r="H57" i="300"/>
  <c r="I57" s="1"/>
  <c r="H33"/>
  <c r="I33" s="1"/>
  <c r="J39" i="65079"/>
  <c r="H46" i="300"/>
  <c r="I46" s="1"/>
  <c r="L17" i="65124"/>
  <c r="J32" i="65067"/>
  <c r="K32" s="1"/>
  <c r="L5" i="65124"/>
  <c r="G210" i="65139"/>
  <c r="H210" s="1"/>
  <c r="H211"/>
  <c r="G209"/>
  <c r="D40" i="304" s="1"/>
  <c r="C19"/>
  <c r="C18" s="1"/>
  <c r="C52" s="1"/>
  <c r="E30"/>
  <c r="J32" i="65096"/>
  <c r="F34" i="65124"/>
  <c r="L34" s="1"/>
  <c r="J32"/>
  <c r="L32" s="1"/>
  <c r="D8" i="65137"/>
  <c r="D41" i="65124"/>
  <c r="F9"/>
  <c r="L9" s="1"/>
  <c r="E33" i="300"/>
  <c r="E30"/>
  <c r="J35" i="65066"/>
  <c r="K35" s="1"/>
  <c r="D9" i="65125"/>
  <c r="C9" s="1"/>
  <c r="F7" i="65124"/>
  <c r="L7" s="1"/>
  <c r="D23" i="65137"/>
  <c r="J32" i="16"/>
  <c r="K32" s="1"/>
  <c r="H41" i="65124"/>
  <c r="J32" i="65097"/>
  <c r="D30" i="65137"/>
  <c r="L20" i="65124"/>
  <c r="F61" i="65137"/>
  <c r="L38" i="65124"/>
  <c r="L40"/>
  <c r="J33" i="65105"/>
  <c r="L39" i="65124"/>
  <c r="J34" i="65098"/>
  <c r="K34" s="1"/>
  <c r="E25" i="65137"/>
  <c r="F25" s="1"/>
  <c r="J36" i="65093"/>
  <c r="E86" i="65137"/>
  <c r="E77" s="1"/>
  <c r="D68"/>
  <c r="L31" i="65124"/>
  <c r="L30"/>
  <c r="L29"/>
  <c r="J33" i="65089"/>
  <c r="K33" s="1"/>
  <c r="L25" i="65124"/>
  <c r="L24"/>
  <c r="J34" i="65122"/>
  <c r="K34" s="1"/>
  <c r="C41" i="65124"/>
  <c r="K41"/>
  <c r="E76" i="65137"/>
  <c r="L22" i="65124"/>
  <c r="F32" i="65137"/>
  <c r="E94" i="300"/>
  <c r="L19" i="65124"/>
  <c r="E16" i="300"/>
  <c r="E14" s="1"/>
  <c r="B33" i="304" s="1"/>
  <c r="L18" i="65124"/>
  <c r="L16"/>
  <c r="L15"/>
  <c r="L14"/>
  <c r="L13"/>
  <c r="L12"/>
  <c r="E41"/>
  <c r="J34" i="65069"/>
  <c r="K34" s="1"/>
  <c r="E11" i="65137"/>
  <c r="J34" i="65068"/>
  <c r="K34" s="1"/>
  <c r="L10" i="65124"/>
  <c r="H94" i="300"/>
  <c r="G41" i="65124"/>
  <c r="E45" i="300"/>
  <c r="B36" i="304" s="1"/>
  <c r="H36" i="300"/>
  <c r="I36" s="1"/>
  <c r="L42" i="65124"/>
  <c r="H209" i="65139"/>
  <c r="H190"/>
  <c r="G179"/>
  <c r="H189"/>
  <c r="G92"/>
  <c r="H92" s="1"/>
  <c r="G76"/>
  <c r="H76" s="1"/>
  <c r="H77"/>
  <c r="H51"/>
  <c r="D26" i="304"/>
  <c r="E26" s="1"/>
  <c r="D25"/>
  <c r="E25" s="1"/>
  <c r="H46" i="65139"/>
  <c r="D24" i="304"/>
  <c r="E24" s="1"/>
  <c r="H37" i="65139"/>
  <c r="E23" i="304"/>
  <c r="H19" i="65139"/>
  <c r="D22" i="304"/>
  <c r="E22" s="1"/>
  <c r="D21"/>
  <c r="E21" s="1"/>
  <c r="H15" i="65139"/>
  <c r="G5"/>
  <c r="E20" i="304"/>
  <c r="C46"/>
  <c r="D34"/>
  <c r="D43" i="65125" l="1"/>
  <c r="I20" i="300"/>
  <c r="J40" i="65078"/>
  <c r="K40" s="1"/>
  <c r="E9" i="65137"/>
  <c r="F9" s="1"/>
  <c r="H106" i="300"/>
  <c r="J38" i="65075"/>
  <c r="K38" s="1"/>
  <c r="F41" i="65124"/>
  <c r="J34" i="65105"/>
  <c r="K34" s="1"/>
  <c r="K33"/>
  <c r="J33" i="65097"/>
  <c r="K33" s="1"/>
  <c r="K32"/>
  <c r="E26" i="65137"/>
  <c r="F26" s="1"/>
  <c r="J33" i="65096"/>
  <c r="K33" s="1"/>
  <c r="K32"/>
  <c r="J33" i="65094"/>
  <c r="K32"/>
  <c r="J37" i="65093"/>
  <c r="K37" s="1"/>
  <c r="K36"/>
  <c r="F77" i="65137"/>
  <c r="J34" i="65115"/>
  <c r="K34" s="1"/>
  <c r="J34" i="65100"/>
  <c r="K34" s="1"/>
  <c r="C41" i="304"/>
  <c r="B42"/>
  <c r="B41" s="1"/>
  <c r="B43" s="1"/>
  <c r="D37"/>
  <c r="E37" s="1"/>
  <c r="J40" i="65079"/>
  <c r="K40" s="1"/>
  <c r="K39"/>
  <c r="J38" i="65095"/>
  <c r="K38" s="1"/>
  <c r="K37"/>
  <c r="J38" i="65077"/>
  <c r="K38" s="1"/>
  <c r="K37"/>
  <c r="J51" i="65076"/>
  <c r="K51" s="1"/>
  <c r="K50"/>
  <c r="D42" i="304"/>
  <c r="D41" s="1"/>
  <c r="D43" s="1"/>
  <c r="I94" i="300"/>
  <c r="C43" i="65125"/>
  <c r="H14" i="300"/>
  <c r="I16"/>
  <c r="D47" i="304"/>
  <c r="I100" i="300"/>
  <c r="F11" i="65137"/>
  <c r="F69"/>
  <c r="J33" i="65123"/>
  <c r="H160" i="65139"/>
  <c r="G159"/>
  <c r="H45" i="300"/>
  <c r="L41" i="65124"/>
  <c r="G71" i="65139"/>
  <c r="G57" s="1"/>
  <c r="G149" s="1"/>
  <c r="E23" i="300"/>
  <c r="D7" i="65137"/>
  <c r="J34" i="65097"/>
  <c r="K34" s="1"/>
  <c r="F86" i="65137"/>
  <c r="E68"/>
  <c r="F68" s="1"/>
  <c r="J34" i="65089"/>
  <c r="K34" s="1"/>
  <c r="F76" i="65137"/>
  <c r="F39"/>
  <c r="E30"/>
  <c r="F30" s="1"/>
  <c r="E23"/>
  <c r="F23" s="1"/>
  <c r="E34" i="304"/>
  <c r="E8" i="65137"/>
  <c r="H23" i="300"/>
  <c r="E40" i="304"/>
  <c r="D29"/>
  <c r="E29" s="1"/>
  <c r="H179" i="65139"/>
  <c r="D19" i="304"/>
  <c r="E19" s="1"/>
  <c r="H5" i="65139"/>
  <c r="C43" i="304"/>
  <c r="C48"/>
  <c r="I106" i="300" l="1"/>
  <c r="C116"/>
  <c r="J34" i="65096"/>
  <c r="K34" s="1"/>
  <c r="H71" i="65139"/>
  <c r="E41" i="304"/>
  <c r="E42"/>
  <c r="K33" i="65094"/>
  <c r="J34"/>
  <c r="K34" s="1"/>
  <c r="C31" i="304"/>
  <c r="C39" s="1"/>
  <c r="C44" s="1"/>
  <c r="B35"/>
  <c r="B31" s="1"/>
  <c r="D46"/>
  <c r="E47"/>
  <c r="D33"/>
  <c r="E33" s="1"/>
  <c r="I14" i="300"/>
  <c r="D35" i="304"/>
  <c r="E35" s="1"/>
  <c r="I23" i="300"/>
  <c r="D36" i="304"/>
  <c r="E36" s="1"/>
  <c r="I45" i="300"/>
  <c r="J34" i="65123"/>
  <c r="K34" s="1"/>
  <c r="K33"/>
  <c r="H159" i="65139"/>
  <c r="G151"/>
  <c r="G207" s="1"/>
  <c r="E7" i="65137"/>
  <c r="F7" s="1"/>
  <c r="E6" i="300"/>
  <c r="E43" i="304"/>
  <c r="H6" i="300"/>
  <c r="I6" s="1"/>
  <c r="F8" i="65137"/>
  <c r="D27" i="304"/>
  <c r="E27" s="1"/>
  <c r="H57" i="65139"/>
  <c r="H149"/>
  <c r="C53" i="304" l="1"/>
  <c r="C54" s="1"/>
  <c r="B53"/>
  <c r="B54" s="1"/>
  <c r="B39"/>
  <c r="B44" s="1"/>
  <c r="B49" s="1"/>
  <c r="B50" s="1"/>
  <c r="D31"/>
  <c r="E31" s="1"/>
  <c r="D48"/>
  <c r="E48" s="1"/>
  <c r="E46"/>
  <c r="D28"/>
  <c r="E28" s="1"/>
  <c r="H151" i="65139"/>
  <c r="D18" i="304"/>
  <c r="D52" s="1"/>
  <c r="G216" i="65139"/>
  <c r="C2" i="65061" s="1"/>
  <c r="A4" s="1"/>
  <c r="H207" i="65139"/>
  <c r="C49" i="304"/>
  <c r="E52" l="1"/>
  <c r="E18"/>
  <c r="D53"/>
  <c r="D54" s="1"/>
  <c r="E54" s="1"/>
  <c r="D39"/>
  <c r="D44" s="1"/>
  <c r="D49" s="1"/>
  <c r="D50" s="1"/>
  <c r="L43" i="65124" s="1"/>
  <c r="L44" s="1"/>
  <c r="H216" i="65139"/>
  <c r="C50" i="304"/>
  <c r="E53" l="1"/>
  <c r="E50"/>
  <c r="E49"/>
  <c r="E39"/>
  <c r="E44"/>
</calcChain>
</file>

<file path=xl/sharedStrings.xml><?xml version="1.0" encoding="utf-8"?>
<sst xmlns="http://schemas.openxmlformats.org/spreadsheetml/2006/main" count="2252" uniqueCount="812">
  <si>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</si>
  <si>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</si>
  <si>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</si>
  <si>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</si>
  <si>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</si>
  <si>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</si>
  <si>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</si>
  <si>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</si>
  <si>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</si>
  <si>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</si>
  <si>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</si>
  <si>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</si>
  <si>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</si>
  <si>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</si>
  <si>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</si>
  <si>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</si>
  <si>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</si>
  <si>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</si>
  <si>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</si>
  <si>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</si>
  <si>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</si>
  <si>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</si>
  <si>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</si>
  <si>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</si>
  <si>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</si>
  <si>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</si>
  <si>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</si>
  <si>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</si>
  <si>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</si>
  <si>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</si>
  <si>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</si>
  <si>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</si>
  <si>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</si>
  <si>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</si>
  <si>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</si>
  <si>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</si>
  <si>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</si>
  <si>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</si>
  <si>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</si>
  <si>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</si>
  <si>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</si>
  <si>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</si>
  <si>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</si>
  <si>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</si>
  <si>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</si>
  <si>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</si>
  <si>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</si>
  <si>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</si>
  <si>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</si>
  <si>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</si>
  <si>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</si>
  <si>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</si>
  <si>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</si>
  <si>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</si>
  <si>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</si>
  <si>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</si>
  <si>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</si>
  <si>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</si>
  <si>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</si>
  <si>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</si>
  <si>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</si>
  <si>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</si>
  <si>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</si>
  <si>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</si>
  <si>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</si>
  <si>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</si>
  <si>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</si>
  <si>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</si>
  <si>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</si>
  <si>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</si>
  <si>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</si>
  <si>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</si>
  <si>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</si>
  <si>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</si>
  <si>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</si>
  <si>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</si>
  <si>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</si>
  <si>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</si>
  <si>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</si>
  <si>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</si>
  <si>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</si>
  <si>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</si>
  <si>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</si>
  <si>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</si>
  <si>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</si>
  <si>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</si>
  <si>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</si>
  <si>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</si>
  <si>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</si>
  <si>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</si>
  <si>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</si>
  <si>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</si>
  <si>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</si>
  <si>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</si>
  <si>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</si>
  <si>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</si>
  <si>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</si>
  <si>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</si>
  <si>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</si>
  <si>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</si>
  <si>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</si>
  <si>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</si>
  <si>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</si>
  <si>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</si>
  <si>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</si>
  <si>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</si>
  <si>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</si>
  <si>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</si>
  <si>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</si>
  <si>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</si>
  <si>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</si>
  <si>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</si>
  <si>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</si>
  <si>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</si>
  <si>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</si>
  <si>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</si>
  <si>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</si>
  <si>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</si>
  <si>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</si>
  <si>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</si>
  <si>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</si>
  <si>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</si>
  <si>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</si>
  <si>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</si>
  <si>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</si>
  <si>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</si>
  <si>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</si>
  <si>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</si>
  <si>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</si>
  <si>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</si>
  <si>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</si>
  <si>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</si>
  <si>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</si>
  <si>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</si>
  <si>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</si>
  <si>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</si>
  <si>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</si>
  <si>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</si>
  <si>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</si>
  <si>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</si>
  <si>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</si>
  <si>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</si>
  <si>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</si>
  <si>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</si>
  <si>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</si>
  <si>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</si>
  <si>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</si>
  <si>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</si>
  <si>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</si>
  <si>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</si>
  <si>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</si>
  <si>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</si>
  <si>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</si>
  <si>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</si>
  <si>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</si>
  <si>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</si>
  <si>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</si>
  <si>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</si>
  <si>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</si>
  <si>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</si>
  <si>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</si>
  <si>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</si>
  <si>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</si>
  <si>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</si>
  <si>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</si>
  <si>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</si>
  <si>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</si>
  <si>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</si>
  <si>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</si>
  <si>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</si>
  <si>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</si>
  <si>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</si>
  <si>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</si>
  <si>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</si>
  <si>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</si>
  <si>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</si>
  <si>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</si>
  <si>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</si>
  <si>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</si>
  <si>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</si>
  <si>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</si>
  <si>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</si>
  <si>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</si>
  <si>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</si>
  <si>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</si>
  <si>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</si>
  <si>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</si>
  <si>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</si>
  <si>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</si>
  <si>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</si>
  <si>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</si>
  <si>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</si>
  <si>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</si>
  <si>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</si>
  <si>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</si>
  <si>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</si>
  <si>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</si>
  <si>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</si>
  <si>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>I  OPĆI DIO</t>
  </si>
  <si>
    <t>Članak 1.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</si>
  <si>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</si>
  <si>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</si>
  <si>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</si>
  <si>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</si>
  <si>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</si>
  <si>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</si>
  <si>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</si>
  <si>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</si>
  <si>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</si>
  <si>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</si>
  <si>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</si>
  <si>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</si>
  <si>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</si>
  <si>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</si>
  <si>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</si>
  <si>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</si>
  <si>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</si>
  <si>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</si>
  <si>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</si>
  <si>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</si>
  <si>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</si>
  <si>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</si>
  <si>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</si>
  <si>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</si>
  <si>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</si>
  <si>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</si>
  <si>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</si>
  <si>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</si>
  <si>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</si>
  <si>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</si>
  <si>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</si>
  <si>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</si>
  <si>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</si>
  <si>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</si>
  <si>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</si>
  <si>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</si>
  <si>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</si>
  <si>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</si>
  <si>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</si>
  <si>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</si>
  <si>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</si>
  <si>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</si>
  <si>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</si>
  <si>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</si>
  <si>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</si>
  <si>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</si>
  <si>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</si>
  <si>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</si>
  <si>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</si>
  <si>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</si>
  <si>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</si>
  <si>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</si>
  <si>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</si>
  <si>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</si>
  <si>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</si>
  <si>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</si>
  <si>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</si>
  <si>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</si>
  <si>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</si>
  <si>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</si>
  <si>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</si>
  <si>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</si>
  <si>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</si>
  <si>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</si>
  <si>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</si>
  <si>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</si>
  <si>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</si>
  <si>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</si>
  <si>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</si>
  <si>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</si>
  <si>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</si>
  <si>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</si>
  <si>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</si>
  <si>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</si>
  <si>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</si>
  <si>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</si>
  <si>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</si>
  <si>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</si>
  <si>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</si>
  <si>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</si>
  <si>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</si>
  <si>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</si>
  <si>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sufinanciranje osn.i srednjeg obrazovanja
 djece s posebnim potrebama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</si>
  <si>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</si>
  <si>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</si>
  <si>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</si>
  <si>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>Članak 4.</t>
  </si>
  <si>
    <t>Članak 5.</t>
  </si>
  <si>
    <t>Predsjednik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</si>
  <si>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</si>
  <si>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</si>
  <si>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</si>
  <si>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</si>
  <si>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</si>
  <si>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</si>
  <si>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</si>
  <si>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</si>
  <si>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</si>
  <si>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</si>
  <si>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</si>
  <si>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</si>
  <si>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</si>
  <si>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</si>
  <si>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</si>
  <si>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</si>
  <si>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</si>
  <si>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</si>
  <si>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</si>
  <si>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</si>
  <si>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</si>
  <si>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</si>
  <si>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</si>
  <si>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</si>
  <si>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</si>
  <si>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</si>
  <si>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</si>
  <si>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</si>
  <si>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</si>
  <si>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</si>
  <si>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</si>
  <si>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</si>
  <si>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</si>
  <si>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</si>
  <si>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</si>
  <si>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</si>
  <si>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</si>
  <si>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</si>
  <si>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</si>
  <si>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</si>
  <si>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</si>
  <si>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</si>
  <si>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</si>
  <si>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</si>
  <si>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</si>
  <si>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</si>
  <si>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</si>
  <si>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</si>
  <si>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</si>
  <si>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</si>
  <si>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</si>
  <si>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</si>
  <si>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</si>
  <si>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</si>
  <si>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</si>
  <si>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</si>
  <si>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</si>
  <si>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</si>
  <si>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</si>
  <si>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</si>
  <si>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</si>
  <si>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</si>
  <si>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</si>
  <si>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</si>
  <si>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</si>
  <si>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</si>
  <si>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</si>
  <si>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</si>
  <si>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</si>
  <si>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</si>
  <si>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</si>
  <si>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</si>
  <si>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</si>
  <si>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</si>
  <si>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</si>
  <si>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</si>
  <si>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</si>
  <si>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</si>
  <si>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</si>
  <si>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</si>
  <si>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</si>
  <si>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</si>
  <si>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</si>
  <si>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</si>
  <si>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</si>
  <si>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</si>
  <si>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</si>
  <si>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</si>
  <si>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</si>
  <si>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</si>
  <si>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</si>
  <si>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</si>
  <si>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</si>
  <si>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</si>
  <si>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</si>
  <si>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</si>
  <si>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</si>
  <si>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</si>
  <si>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</si>
  <si>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</si>
  <si>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</si>
  <si>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</si>
  <si>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</si>
  <si>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</si>
  <si>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</si>
  <si>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</si>
  <si>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</si>
  <si>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</si>
  <si>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</si>
  <si>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</si>
  <si>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</si>
  <si>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</si>
  <si>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</si>
  <si>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</si>
  <si>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</si>
  <si>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</si>
  <si>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</si>
  <si>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</si>
  <si>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</si>
  <si>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</si>
  <si>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</si>
  <si>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</si>
  <si>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</si>
  <si>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</si>
  <si>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</si>
  <si>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</si>
  <si>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</si>
  <si>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</si>
  <si>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</si>
  <si>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</si>
  <si>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</si>
  <si>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</si>
  <si>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 xml:space="preserve">      17010001 Ministarstvo zdravstva, rada i socijalne politike - 
      Civilne žrtve rata</t>
  </si>
  <si>
    <t xml:space="preserve">      99999999 Riznica ŽP - Proračunska potpora</t>
  </si>
  <si>
    <t>7. UKUPAN SUFICIT/DEFICIT (3+6)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</si>
  <si>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</si>
  <si>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</si>
  <si>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</si>
  <si>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</si>
  <si>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</si>
  <si>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</si>
  <si>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</si>
  <si>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</si>
  <si>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</si>
  <si>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</si>
  <si>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</si>
  <si>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</si>
  <si>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</si>
  <si>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</si>
  <si>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</si>
  <si>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</si>
  <si>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</si>
  <si>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</si>
  <si>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</si>
  <si>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</si>
  <si>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</si>
  <si>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</si>
  <si>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</si>
  <si>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</si>
  <si>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</si>
  <si>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</si>
  <si>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</si>
  <si>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</si>
  <si>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</si>
  <si>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</si>
  <si>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</si>
  <si>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</si>
  <si>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</si>
  <si>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</si>
  <si>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</si>
  <si>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</si>
  <si>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</si>
  <si>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</si>
  <si>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</si>
  <si>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</si>
  <si>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</si>
  <si>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</si>
  <si>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</si>
  <si>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</si>
  <si>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</si>
  <si>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</si>
  <si>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</si>
  <si>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</si>
  <si>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</si>
  <si>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</si>
  <si>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</si>
  <si>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</si>
  <si>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</si>
  <si>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</si>
  <si>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</si>
  <si>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</si>
  <si>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</si>
  <si>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</si>
  <si>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</si>
  <si>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</si>
  <si>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</si>
  <si>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</si>
  <si>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</si>
  <si>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</si>
  <si>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</si>
  <si>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</si>
  <si>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</si>
  <si>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</si>
  <si>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</si>
  <si>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</si>
  <si>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</si>
  <si>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</si>
  <si>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</si>
  <si>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</si>
  <si>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</si>
  <si>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</si>
  <si>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</si>
  <si>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</si>
  <si>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</si>
  <si>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</si>
  <si>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</si>
  <si>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</si>
  <si>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</si>
  <si>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</si>
  <si>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</si>
  <si>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</si>
  <si>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</si>
  <si>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</si>
  <si>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</si>
  <si>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</si>
  <si>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</si>
  <si>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</si>
  <si>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</si>
  <si>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</si>
  <si>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</si>
  <si>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</si>
  <si>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</si>
  <si>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</si>
  <si>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</si>
  <si>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</si>
  <si>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</si>
  <si>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</si>
  <si>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</si>
  <si>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</si>
  <si>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</si>
  <si>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</si>
  <si>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</si>
  <si>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</si>
  <si>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</si>
  <si>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</si>
  <si>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</si>
  <si>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</si>
  <si>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</si>
  <si>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</si>
  <si>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</si>
  <si>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</si>
  <si>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</si>
  <si>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</si>
  <si>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</si>
  <si>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</si>
  <si>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</si>
  <si>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</si>
  <si>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</si>
  <si>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</si>
  <si>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</si>
  <si>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</si>
  <si>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</si>
  <si>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</si>
  <si>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</si>
  <si>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</si>
  <si>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</si>
  <si>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</si>
  <si>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</si>
  <si>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</si>
  <si>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</si>
  <si>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Grant za Udr.roditelja djece s pos.potrebama 
 Angelus Domaljevac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</si>
  <si>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</si>
  <si>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</si>
  <si>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</si>
  <si>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</si>
  <si>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</si>
  <si>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r>
      <t xml:space="preserve">      23010001 Uprava za civilnu zaštitu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</si>
  <si>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Ostali povrati</t>
  </si>
  <si>
    <t xml:space="preserve">      27010001 Kant.tužiteljstvo - IPA</t>
  </si>
  <si>
    <t>2. PRORAČUNSKI RASHODI (2.1.+2.2.)</t>
  </si>
  <si>
    <t>2.1.  Rashodi - Tekuća pričuva</t>
  </si>
  <si>
    <t>2.2.  Plaće i naknade troškova zaposlenih</t>
  </si>
  <si>
    <t>2.3.  Doprinosi poslodavca i ostali doprinosi</t>
  </si>
  <si>
    <t>2.4.  Izdaci za materijal, sitan inventar i usluge</t>
  </si>
  <si>
    <t>2.5.  Tekući grantovi i drugi tekući rashodi</t>
  </si>
  <si>
    <t>2.6.  Kapitalni grantovi</t>
  </si>
  <si>
    <t>2.7.  Izdaci za kamate</t>
  </si>
  <si>
    <t xml:space="preserve">       5.1.  Izdaci za nabavku stalnih sredstava</t>
  </si>
  <si>
    <t>UKUPNO POKRIĆE DEFICITA</t>
  </si>
  <si>
    <t>UKUPNO RASHODI I IZDACI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</si>
  <si>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</si>
  <si>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</si>
  <si>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</si>
  <si>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Primljeni kapitalni grantovi od općina</t>
  </si>
  <si>
    <t xml:space="preserve">      11010001 Vlada ŽP - Ured za Hrvate izvan RH</t>
  </si>
  <si>
    <r>
      <t xml:space="preserve">   Prihodi od iznajmljivanja zemljišta </t>
    </r>
    <r>
      <rPr>
        <b/>
        <sz val="10"/>
        <color indexed="8"/>
        <rFont val="Calibri"/>
        <family val="2"/>
        <charset val="238"/>
      </rPr>
      <t>(razgraničenja)</t>
    </r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</si>
  <si>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</si>
  <si>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</si>
  <si>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</si>
  <si>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</si>
  <si>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</si>
  <si>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</si>
  <si>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 xml:space="preserve"> Grantovi neprofitnim organizacijama i udrugama 
 građana</t>
  </si>
  <si>
    <t>21 (21)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</si>
  <si>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</si>
  <si>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</si>
  <si>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</si>
  <si>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</si>
  <si>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</si>
  <si>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</si>
  <si>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</si>
  <si>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</si>
  <si>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>43 (45)</t>
  </si>
  <si>
    <t>51 (51)</t>
  </si>
  <si>
    <t>32 (33)</t>
  </si>
  <si>
    <t>29 (29)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</si>
  <si>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</si>
  <si>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</si>
  <si>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</si>
  <si>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</si>
  <si>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</si>
  <si>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</si>
  <si>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</si>
  <si>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</si>
  <si>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</si>
  <si>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</si>
  <si>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</si>
  <si>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</si>
  <si>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</si>
  <si>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</si>
  <si>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</si>
  <si>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</si>
  <si>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</si>
  <si>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</si>
  <si>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</si>
  <si>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</si>
  <si>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</si>
  <si>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</si>
  <si>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</si>
  <si>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</si>
  <si>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</si>
  <si>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</si>
  <si>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</si>
  <si>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</si>
  <si>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</si>
  <si>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</si>
  <si>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</si>
  <si>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</si>
  <si>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</si>
  <si>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</si>
  <si>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</si>
  <si>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</si>
  <si>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</si>
  <si>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</si>
  <si>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</si>
  <si>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</si>
  <si>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</si>
  <si>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</si>
  <si>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</si>
  <si>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</si>
  <si>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</si>
  <si>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</si>
  <si>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</si>
  <si>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PRORAČUN za 
2018.godinu</t>
  </si>
  <si>
    <t>PRORAČUN za 2018.</t>
  </si>
  <si>
    <t>Ekon. 
kod</t>
  </si>
  <si>
    <t xml:space="preserve"> Ostali grantovi-izvršenje sudskih presuda i rješenja
 o izvršenju</t>
  </si>
  <si>
    <t xml:space="preserve"> Transfer za zdravstvene institucije i centre za
 soc.rad</t>
  </si>
  <si>
    <t>53 (60)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</si>
  <si>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</si>
  <si>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</si>
  <si>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</si>
  <si>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</si>
  <si>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</si>
  <si>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</si>
  <si>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>105 (109)</t>
  </si>
  <si>
    <t xml:space="preserve">      11010001 Vlada ŽP - Fond za zaštitu okoliša Federacije BiH</t>
  </si>
  <si>
    <t>53 (55)</t>
  </si>
  <si>
    <t>53 (53)</t>
  </si>
  <si>
    <t>45 (45)</t>
  </si>
  <si>
    <t xml:space="preserve">   Grantovi od izvanproračunskih fondova</t>
  </si>
  <si>
    <t>947 (967)</t>
  </si>
  <si>
    <t xml:space="preserve"> Grant za sufinanciranje profesionalne vatrogasne
 postrojbe</t>
  </si>
  <si>
    <t xml:space="preserve"> o/č Grant za sufinanciranje profesionalne vatrogasne postrojbe</t>
  </si>
  <si>
    <t>Ured za razvoj i europske integracije Županije Posavske</t>
  </si>
  <si>
    <t>INDEKS 9/7</t>
  </si>
  <si>
    <t>54 (61)</t>
  </si>
  <si>
    <t xml:space="preserve"> Naknade troškova zaposlenih - volonteri (1) (0)</t>
  </si>
  <si>
    <t xml:space="preserve"> Ugovorene i druge posebne usluge-volonteri (1) (0)</t>
  </si>
  <si>
    <t xml:space="preserve"> Naknade troškova zaposlenih - volonteri (2) (0)</t>
  </si>
  <si>
    <t xml:space="preserve"> Ugovorene i druge posebne usluge-volonteri (2) (0)</t>
  </si>
  <si>
    <t>Javni red i sihurnost       (18+….+23)</t>
  </si>
  <si>
    <t xml:space="preserve">Usluge protupožarne zaštite </t>
  </si>
  <si>
    <t>INDEKS 6/4</t>
  </si>
  <si>
    <t xml:space="preserve">   Prihodi od prodaje stanova koji su u vlasn.nadležne razine vlasti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</si>
  <si>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</si>
  <si>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</si>
  <si>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</si>
  <si>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</si>
  <si>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</si>
  <si>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20030002 Osn.škola V.Nazora Odžak - Ured za Hrvate izvan RH</t>
  </si>
  <si>
    <t xml:space="preserve">      20020002 Srednja strukovna škola Orašje - Federalno 
      ministarstvo obrazovanja i nauke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</si>
  <si>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</si>
  <si>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</si>
  <si>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</si>
  <si>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</si>
  <si>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</si>
  <si>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</si>
  <si>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</si>
  <si>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</si>
  <si>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</si>
  <si>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Nakn.u postupku promj.namjene šum.zemljišta (krčenje) </t>
    </r>
    <r>
      <rPr>
        <b/>
        <sz val="10"/>
        <color indexed="8"/>
        <rFont val="Calibri"/>
        <family val="2"/>
        <charset val="238"/>
      </rPr>
      <t>(razgr.)</t>
    </r>
  </si>
  <si>
    <t xml:space="preserve"> Naknade troškova zaposlenih - volonteri (61) (60)</t>
  </si>
  <si>
    <t xml:space="preserve"> o/č Ugovorene i druge posebne usluge-volonterski rad (61) (60)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</si>
  <si>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</si>
  <si>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</si>
  <si>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</si>
  <si>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</si>
  <si>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Grant za Udr.osoba s posebnim potrebama Put
 u život Orašje</t>
  </si>
  <si>
    <t xml:space="preserve">   Grant od Federalnog zavoda za zapošljavanje - osnovne škole</t>
  </si>
  <si>
    <t xml:space="preserve">   Grant od Federalnog zavoda za zapošljavanje-Min.pravosuđa</t>
  </si>
  <si>
    <t>942 (958)</t>
  </si>
  <si>
    <t xml:space="preserve"> Grant za razvoj poduzetništva, obrta i zadruga</t>
  </si>
  <si>
    <t xml:space="preserve"> o/č Grant za razvoj poduzetništva, obrta i zadruga</t>
  </si>
  <si>
    <t>Povećanje/ smanjenje Proračuna za 2018.godinu</t>
  </si>
  <si>
    <t>Povećanje/ smanjenje Proračuna za 2018.</t>
  </si>
  <si>
    <t>Izvršenje Proračuna 01.01.-30.09.18.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</si>
  <si>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</si>
  <si>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</si>
  <si>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</si>
  <si>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</si>
  <si>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</si>
  <si>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20020004 Sred.struk.škola Orašje-Ured za Hrvate izvan RH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</si>
  <si>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</si>
  <si>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</si>
  <si>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</si>
  <si>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</si>
  <si>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</si>
  <si>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</si>
  <si>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</si>
  <si>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Primljeni tekući grantovi od gradova</t>
  </si>
  <si>
    <t xml:space="preserve">      14020003 Općinski sud Orašje</t>
  </si>
  <si>
    <t>Povećanje/ smanjenje PRORAČUNA za 2018.</t>
  </si>
  <si>
    <t>54 (54)</t>
  </si>
  <si>
    <r>
      <t xml:space="preserve">44 (45) </t>
    </r>
    <r>
      <rPr>
        <b/>
        <i/>
        <sz val="10"/>
        <rFont val="Arial"/>
        <family val="2"/>
        <charset val="238"/>
      </rPr>
      <t>(59)</t>
    </r>
  </si>
  <si>
    <t>107 (110)</t>
  </si>
  <si>
    <t>31 (31)</t>
  </si>
  <si>
    <t>48 (49)</t>
  </si>
  <si>
    <t>20 (20)</t>
  </si>
  <si>
    <t>IZMJENE I DOPUNE 
PRORAČUNA ŽUPANIJE POSAVSKE
za 2018. godinu</t>
  </si>
  <si>
    <t>Izmjene i dopune Proračuna ŽP za 2018. godinu (po korisnicima i ekonom.klasifikacijama izdataka)</t>
  </si>
  <si>
    <t>Funkcijska klasifikacija rashoda i izdataka Proračuna Županije Posavske za 2018. godinu</t>
  </si>
  <si>
    <t>Izdaci za nabavku stalnih sredstava za 2018.g.(po pror.korisn.i izv.financiranja)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</si>
  <si>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</si>
  <si>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</si>
  <si>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</si>
  <si>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</si>
  <si>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</si>
  <si>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</si>
  <si>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</si>
  <si>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</si>
  <si>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</si>
  <si>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</si>
  <si>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</si>
  <si>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</si>
  <si>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</si>
  <si>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</si>
  <si>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</si>
  <si>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</si>
  <si>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</si>
  <si>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</si>
  <si>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</si>
  <si>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</si>
  <si>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</si>
  <si>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</si>
  <si>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</si>
  <si>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</si>
  <si>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</si>
  <si>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</si>
  <si>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</si>
  <si>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</si>
  <si>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</si>
  <si>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</si>
  <si>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</si>
  <si>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</si>
  <si>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</si>
  <si>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</si>
  <si>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</si>
  <si>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</si>
  <si>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</si>
  <si>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</si>
  <si>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</si>
  <si>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IZMJENE I DOPUNE PRORAČUNA</t>
  </si>
  <si>
    <t xml:space="preserve"> Županije Posavske za 2018. godinu</t>
  </si>
  <si>
    <t>Proračun Županije Posavske za 2018.godinu sastoji se od:</t>
  </si>
  <si>
    <t>Izmjene i dopune PRORAČUNA za 
2018.godinu</t>
  </si>
  <si>
    <t xml:space="preserve">     Članak 2. Proračuna mijenja se i glasi:</t>
  </si>
  <si>
    <t>Prihodi, primici i financiranje" i "Rashodi i izdaci" po grupama utvrđuju se u Računu prihoda i rashoda za 2018.godinu kako slijedi:</t>
  </si>
  <si>
    <t xml:space="preserve">     U Proračunu Županije Posavske za 2018. godinu ("NN Županije Posavske", broj: 12/17) članak 1. mijenja se i glasi: </t>
  </si>
  <si>
    <t xml:space="preserve">     Članak 3. Proračuna mijenja se i glasi:</t>
  </si>
  <si>
    <t>Izmjene i dopune PRORAČUNA za 2018.</t>
  </si>
  <si>
    <t>IZMJENE I DOPUNE PRORAČUNA ŽUPANIJE POSAVSKE ZA 2018. GODINU (po korisnicima i ekonomskim klasifikacijama izdataka)</t>
  </si>
  <si>
    <t>FUNKCIJSKA KLASIFIKACIJA RASHODA I IZDATAKA 
IZMJENA I DOPUNA PRORAČUNA ŽUPANIJE POSAVSKE ZA 2018.GODINU</t>
  </si>
  <si>
    <t>PRORAČUN za 2018./Povećanje/smanjenje Proračuna za 2018.</t>
  </si>
  <si>
    <t>IZDACI ZA NABAVKU STALNIH SREDSTAVA ŽUPANIJE POSAVSKE ZA 2018. GODINU (po proračunskim korisnicima i izvorima financiranja)</t>
  </si>
  <si>
    <t>Izmjene i dopune PRORAČUNA za 2018. godinu</t>
  </si>
  <si>
    <t>Članak 4. Proračuna mijenja se i glasi:</t>
  </si>
  <si>
    <t xml:space="preserve">     Izmjene i dopune Proračuna Županije Posavske za 2018. godinu stupaju na snagu narednog dana od dana objave u "Narodnim novinama Županije Posavske".</t>
  </si>
  <si>
    <t xml:space="preserve"> Naknade troškova zaposlenih - volonteri (54) (41)</t>
  </si>
  <si>
    <t xml:space="preserve"> Ugovorene i dr. posebne usluge-volonteri (54) (41)</t>
  </si>
  <si>
    <t>51 (53)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</si>
  <si>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</si>
  <si>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</si>
  <si>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 xml:space="preserve">      18010001 Ministarstvo prometa, veza, turizma i zašt.okoliša 
      - GSM licence</t>
  </si>
  <si>
    <t>936 (950)</t>
  </si>
  <si>
    <t>Blaž Župarić</t>
  </si>
  <si>
    <t xml:space="preserve">      20010001 Ministarstvo prosvjete, znanosti, kulture i športa - 
      Nabavka besplatnih udžbenika</t>
  </si>
  <si>
    <t>Bosna i Hercegovina
Federacija Bosne i Hercegovine
Županija Posavska
S K U P Š T I N A</t>
  </si>
  <si>
    <t>Bosnia and Herzegovina
Federation of Bosnia and Herzegovina
Posavina County
THE ASSEMBLY</t>
  </si>
  <si>
    <t>Domaljevac, prosinac 2018.godine</t>
  </si>
  <si>
    <t>Broj: 01-14-89/18</t>
  </si>
  <si>
    <t>Domaljevac, 13.12.2018.godine</t>
  </si>
  <si>
    <t xml:space="preserve">     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 i 5/18), Skupština Županije Posavske na  I. izvanrednoj sjednici održanoj dana 13.12.2018. godine usvaja</t>
  </si>
</sst>
</file>

<file path=xl/styles.xml><?xml version="1.0" encoding="utf-8"?>
<styleSheet xmlns="http://schemas.openxmlformats.org/spreadsheetml/2006/main">
  <numFmts count="6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0.000%"/>
  </numFmts>
  <fonts count="3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5" fontId="11" fillId="0" borderId="0" applyFont="0" applyFill="0" applyBorder="0" applyAlignment="0" applyProtection="0"/>
    <xf numFmtId="0" fontId="28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97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2" fillId="0" borderId="4" xfId="3" applyBorder="1" applyAlignment="1">
      <alignment horizontal="center"/>
    </xf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6" xfId="3" applyBorder="1" applyAlignment="1">
      <alignment horizontal="center"/>
    </xf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3" fillId="0" borderId="8" xfId="3" applyFont="1" applyBorder="1" applyAlignment="1">
      <alignment horizontal="center"/>
    </xf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3" fillId="0" borderId="3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3" fillId="0" borderId="11" xfId="3" applyFont="1" applyBorder="1" applyAlignment="1">
      <alignment horizontal="center"/>
    </xf>
    <xf numFmtId="0" fontId="2" fillId="0" borderId="12" xfId="3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0" xfId="3" applyFill="1" applyBorder="1"/>
    <xf numFmtId="0" fontId="2" fillId="0" borderId="11" xfId="3" applyBorder="1" applyAlignment="1">
      <alignment horizontal="center"/>
    </xf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2" xfId="3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2" xfId="3" applyFont="1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0" xfId="3" applyBorder="1" applyAlignment="1">
      <alignment horizontal="center"/>
    </xf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7" fillId="0" borderId="0" xfId="0" applyFont="1" applyBorder="1" applyAlignment="1"/>
    <xf numFmtId="3" fontId="2" fillId="0" borderId="16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3" fillId="0" borderId="17" xfId="3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49" fontId="0" fillId="0" borderId="12" xfId="0" applyNumberFormat="1" applyBorder="1" applyAlignment="1">
      <alignment horizontal="center"/>
    </xf>
    <xf numFmtId="0" fontId="6" fillId="0" borderId="0" xfId="3" applyFont="1" applyAlignment="1">
      <alignment horizontal="left"/>
    </xf>
    <xf numFmtId="0" fontId="10" fillId="0" borderId="0" xfId="3" applyFont="1"/>
    <xf numFmtId="3" fontId="3" fillId="0" borderId="4" xfId="3" applyNumberFormat="1" applyFont="1" applyFill="1" applyBorder="1"/>
    <xf numFmtId="3" fontId="10" fillId="0" borderId="4" xfId="3" applyNumberFormat="1" applyFont="1" applyBorder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0" fontId="2" fillId="0" borderId="12" xfId="3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3" fontId="4" fillId="0" borderId="4" xfId="3" applyNumberFormat="1" applyFont="1" applyFill="1" applyBorder="1" applyProtection="1">
      <protection locked="0"/>
    </xf>
    <xf numFmtId="0" fontId="0" fillId="0" borderId="15" xfId="0" applyBorder="1"/>
    <xf numFmtId="0" fontId="9" fillId="0" borderId="0" xfId="0" applyFont="1" applyAlignment="1">
      <alignment horizontal="center" vertical="top"/>
    </xf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3" fillId="2" borderId="19" xfId="3" applyNumberFormat="1" applyFont="1" applyFill="1" applyBorder="1" applyAlignment="1">
      <alignment horizontal="center" vertical="center" wrapText="1"/>
    </xf>
    <xf numFmtId="4" fontId="2" fillId="0" borderId="21" xfId="3" applyNumberFormat="1" applyBorder="1"/>
    <xf numFmtId="4" fontId="7" fillId="0" borderId="0" xfId="3" applyNumberFormat="1" applyFont="1" applyAlignment="1">
      <alignment horizontal="left"/>
    </xf>
    <xf numFmtId="4" fontId="3" fillId="0" borderId="0" xfId="3" applyNumberFormat="1" applyFont="1" applyAlignment="1">
      <alignment horizontal="left"/>
    </xf>
    <xf numFmtId="4" fontId="3" fillId="0" borderId="0" xfId="3" applyNumberFormat="1" applyFont="1" applyFill="1" applyAlignment="1">
      <alignment horizontal="left"/>
    </xf>
    <xf numFmtId="4" fontId="2" fillId="0" borderId="16" xfId="3" applyNumberFormat="1" applyBorder="1"/>
    <xf numFmtId="4" fontId="3" fillId="0" borderId="22" xfId="3" applyNumberFormat="1" applyFont="1" applyFill="1" applyBorder="1" applyAlignment="1">
      <alignment horizontal="center" vertical="center" wrapText="1"/>
    </xf>
    <xf numFmtId="0" fontId="3" fillId="0" borderId="23" xfId="3" applyFont="1" applyBorder="1" applyAlignment="1">
      <alignment horizontal="center"/>
    </xf>
    <xf numFmtId="4" fontId="3" fillId="0" borderId="23" xfId="3" applyNumberFormat="1" applyFont="1" applyBorder="1" applyAlignment="1">
      <alignment horizontal="center"/>
    </xf>
    <xf numFmtId="4" fontId="3" fillId="0" borderId="23" xfId="3" applyNumberFormat="1" applyFont="1" applyFill="1" applyBorder="1"/>
    <xf numFmtId="4" fontId="4" fillId="0" borderId="23" xfId="3" applyNumberFormat="1" applyFont="1" applyFill="1" applyBorder="1"/>
    <xf numFmtId="4" fontId="2" fillId="0" borderId="23" xfId="3" applyNumberFormat="1" applyBorder="1"/>
    <xf numFmtId="4" fontId="3" fillId="0" borderId="23" xfId="3" applyNumberFormat="1" applyFont="1" applyBorder="1"/>
    <xf numFmtId="4" fontId="2" fillId="0" borderId="24" xfId="3" applyNumberFormat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0" fontId="3" fillId="0" borderId="10" xfId="3" applyFont="1" applyBorder="1" applyAlignment="1">
      <alignment horizontal="center"/>
    </xf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8" fillId="0" borderId="4" xfId="3" applyNumberFormat="1" applyFont="1" applyFill="1" applyBorder="1"/>
    <xf numFmtId="4" fontId="3" fillId="0" borderId="23" xfId="3" applyNumberFormat="1" applyFont="1" applyBorder="1" applyAlignment="1">
      <alignment horizontal="right"/>
    </xf>
    <xf numFmtId="3" fontId="10" fillId="0" borderId="4" xfId="3" applyNumberFormat="1" applyFont="1" applyFill="1" applyBorder="1"/>
    <xf numFmtId="4" fontId="3" fillId="0" borderId="24" xfId="3" applyNumberFormat="1" applyFont="1" applyBorder="1"/>
    <xf numFmtId="3" fontId="3" fillId="0" borderId="6" xfId="3" applyNumberFormat="1" applyFont="1" applyBorder="1"/>
    <xf numFmtId="4" fontId="4" fillId="0" borderId="23" xfId="3" applyNumberFormat="1" applyFont="1" applyBorder="1" applyAlignment="1">
      <alignment horizontal="right"/>
    </xf>
    <xf numFmtId="0" fontId="3" fillId="2" borderId="2" xfId="3" applyFont="1" applyFill="1" applyBorder="1" applyAlignment="1">
      <alignment horizontal="center" vertical="center" wrapText="1"/>
    </xf>
    <xf numFmtId="3" fontId="4" fillId="0" borderId="0" xfId="3" applyNumberFormat="1" applyFont="1"/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164" fontId="15" fillId="0" borderId="14" xfId="0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0" borderId="4" xfId="3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3" fontId="4" fillId="0" borderId="4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Fill="1" applyBorder="1" applyAlignment="1">
      <alignment vertical="center" wrapText="1"/>
    </xf>
    <xf numFmtId="3" fontId="4" fillId="0" borderId="1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4" fontId="8" fillId="0" borderId="23" xfId="3" applyNumberFormat="1" applyFont="1" applyFill="1" applyBorder="1"/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0" fontId="10" fillId="0" borderId="3" xfId="0" applyFont="1" applyBorder="1" applyAlignment="1">
      <alignment horizontal="right"/>
    </xf>
    <xf numFmtId="3" fontId="16" fillId="0" borderId="8" xfId="0" applyNumberFormat="1" applyFont="1" applyFill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0" borderId="4" xfId="0" applyFont="1" applyFill="1" applyBorder="1"/>
    <xf numFmtId="3" fontId="17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7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6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0" fillId="0" borderId="0" xfId="0" applyFill="1" applyBorder="1" applyAlignment="1"/>
    <xf numFmtId="0" fontId="3" fillId="0" borderId="4" xfId="0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/>
    <xf numFmtId="0" fontId="3" fillId="4" borderId="4" xfId="0" applyFont="1" applyFill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/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3" fontId="3" fillId="4" borderId="4" xfId="0" applyNumberFormat="1" applyFont="1" applyFill="1" applyBorder="1" applyAlignment="1"/>
    <xf numFmtId="0" fontId="3" fillId="4" borderId="25" xfId="0" applyFont="1" applyFill="1" applyBorder="1" applyAlignment="1">
      <alignment horizontal="left" vertical="center"/>
    </xf>
    <xf numFmtId="3" fontId="3" fillId="4" borderId="25" xfId="0" applyNumberFormat="1" applyFont="1" applyFill="1" applyBorder="1" applyAlignment="1"/>
    <xf numFmtId="0" fontId="3" fillId="4" borderId="26" xfId="0" applyFont="1" applyFill="1" applyBorder="1" applyAlignment="1"/>
    <xf numFmtId="3" fontId="3" fillId="4" borderId="26" xfId="0" applyNumberFormat="1" applyFont="1" applyFill="1" applyBorder="1" applyAlignment="1"/>
    <xf numFmtId="0" fontId="3" fillId="0" borderId="27" xfId="0" applyFont="1" applyFill="1" applyBorder="1" applyAlignment="1"/>
    <xf numFmtId="4" fontId="0" fillId="0" borderId="27" xfId="0" applyNumberForma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/>
    <xf numFmtId="2" fontId="3" fillId="0" borderId="4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 vertical="center"/>
    </xf>
    <xf numFmtId="3" fontId="0" fillId="0" borderId="8" xfId="0" applyNumberFormat="1" applyFill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14" xfId="0" applyBorder="1"/>
    <xf numFmtId="4" fontId="2" fillId="0" borderId="0" xfId="3" applyNumberFormat="1" applyFont="1"/>
    <xf numFmtId="3" fontId="2" fillId="0" borderId="0" xfId="3" applyNumberFormat="1" applyFill="1"/>
    <xf numFmtId="4" fontId="2" fillId="0" borderId="0" xfId="3" applyNumberFormat="1" applyFill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Fill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/>
    <xf numFmtId="4" fontId="4" fillId="0" borderId="4" xfId="0" applyNumberFormat="1" applyFont="1" applyFill="1" applyBorder="1"/>
    <xf numFmtId="4" fontId="4" fillId="0" borderId="4" xfId="0" applyNumberFormat="1" applyFont="1" applyBorder="1"/>
    <xf numFmtId="4" fontId="3" fillId="2" borderId="4" xfId="0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0" fontId="10" fillId="0" borderId="4" xfId="3" applyFont="1" applyFill="1" applyBorder="1"/>
    <xf numFmtId="0" fontId="10" fillId="0" borderId="4" xfId="3" applyFont="1" applyFill="1" applyBorder="1" applyAlignment="1">
      <alignment wrapText="1"/>
    </xf>
    <xf numFmtId="0" fontId="19" fillId="0" borderId="30" xfId="4" applyFont="1" applyFill="1" applyBorder="1" applyAlignment="1">
      <alignment horizontal="center" vertical="center" wrapText="1"/>
    </xf>
    <xf numFmtId="0" fontId="19" fillId="0" borderId="20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8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3" fontId="4" fillId="0" borderId="30" xfId="0" applyNumberFormat="1" applyFont="1" applyFill="1" applyBorder="1"/>
    <xf numFmtId="0" fontId="10" fillId="0" borderId="28" xfId="0" applyFont="1" applyBorder="1" applyAlignment="1">
      <alignment horizontal="right"/>
    </xf>
    <xf numFmtId="0" fontId="0" fillId="0" borderId="12" xfId="0" applyBorder="1"/>
    <xf numFmtId="3" fontId="10" fillId="0" borderId="30" xfId="0" applyNumberFormat="1" applyFont="1" applyBorder="1"/>
    <xf numFmtId="0" fontId="8" fillId="0" borderId="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2" fontId="8" fillId="0" borderId="25" xfId="0" applyNumberFormat="1" applyFont="1" applyFill="1" applyBorder="1" applyAlignment="1">
      <alignment horizontal="right" vertical="center"/>
    </xf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10" fontId="0" fillId="0" borderId="0" xfId="0" applyNumberFormat="1"/>
    <xf numFmtId="168" fontId="0" fillId="0" borderId="0" xfId="5" applyNumberFormat="1" applyFont="1"/>
    <xf numFmtId="4" fontId="29" fillId="0" borderId="0" xfId="5" applyNumberFormat="1" applyFont="1"/>
    <xf numFmtId="0" fontId="10" fillId="0" borderId="4" xfId="0" applyFont="1" applyBorder="1"/>
    <xf numFmtId="0" fontId="3" fillId="2" borderId="19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7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3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0" fontId="2" fillId="3" borderId="4" xfId="3" applyFont="1" applyFill="1" applyBorder="1" applyAlignment="1">
      <alignment wrapText="1"/>
    </xf>
    <xf numFmtId="0" fontId="3" fillId="0" borderId="4" xfId="3" applyFont="1" applyFill="1" applyBorder="1"/>
    <xf numFmtId="3" fontId="3" fillId="0" borderId="10" xfId="4" applyNumberFormat="1" applyFont="1" applyFill="1" applyBorder="1"/>
    <xf numFmtId="3" fontId="28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3" fontId="0" fillId="0" borderId="0" xfId="0" applyNumberFormat="1" applyBorder="1" applyAlignment="1"/>
    <xf numFmtId="0" fontId="2" fillId="0" borderId="0" xfId="0" applyFont="1" applyAlignment="1">
      <alignment horizontal="justify" wrapText="1"/>
    </xf>
    <xf numFmtId="3" fontId="0" fillId="0" borderId="30" xfId="0" applyNumberFormat="1" applyFill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3" fontId="4" fillId="7" borderId="4" xfId="3" applyNumberFormat="1" applyFont="1" applyFill="1" applyBorder="1"/>
    <xf numFmtId="0" fontId="27" fillId="0" borderId="4" xfId="3" applyFont="1" applyBorder="1"/>
    <xf numFmtId="3" fontId="27" fillId="0" borderId="4" xfId="3" applyNumberFormat="1" applyFont="1" applyBorder="1"/>
    <xf numFmtId="4" fontId="27" fillId="0" borderId="23" xfId="3" applyNumberFormat="1" applyFont="1" applyBorder="1" applyAlignment="1">
      <alignment horizontal="right"/>
    </xf>
    <xf numFmtId="0" fontId="27" fillId="0" borderId="4" xfId="3" applyFont="1" applyFill="1" applyBorder="1"/>
    <xf numFmtId="3" fontId="27" fillId="0" borderId="4" xfId="3" applyNumberFormat="1" applyFont="1" applyFill="1" applyBorder="1"/>
    <xf numFmtId="3" fontId="27" fillId="0" borderId="4" xfId="3" applyNumberFormat="1" applyFont="1" applyFill="1" applyBorder="1" applyProtection="1">
      <protection locked="0"/>
    </xf>
    <xf numFmtId="0" fontId="27" fillId="0" borderId="4" xfId="0" applyFont="1" applyBorder="1"/>
    <xf numFmtId="0" fontId="27" fillId="0" borderId="12" xfId="3" applyFont="1" applyBorder="1"/>
    <xf numFmtId="0" fontId="27" fillId="0" borderId="4" xfId="0" applyFont="1" applyFill="1" applyBorder="1" applyAlignment="1">
      <alignment wrapText="1"/>
    </xf>
    <xf numFmtId="0" fontId="27" fillId="0" borderId="4" xfId="0" applyFont="1" applyFill="1" applyBorder="1"/>
    <xf numFmtId="0" fontId="27" fillId="0" borderId="4" xfId="3" applyFont="1" applyFill="1" applyBorder="1" applyAlignment="1">
      <alignment wrapText="1"/>
    </xf>
    <xf numFmtId="0" fontId="27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3" fillId="0" borderId="3" xfId="3" applyFont="1" applyBorder="1" applyAlignment="1">
      <alignment horizontal="center" vertical="top"/>
    </xf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7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7" fillId="0" borderId="3" xfId="3" applyFont="1" applyFill="1" applyBorder="1" applyAlignment="1">
      <alignment horizontal="right" vertical="top"/>
    </xf>
    <xf numFmtId="49" fontId="27" fillId="0" borderId="3" xfId="0" applyNumberFormat="1" applyFont="1" applyBorder="1" applyAlignment="1">
      <alignment horizontal="right" vertical="top"/>
    </xf>
    <xf numFmtId="49" fontId="27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49" fontId="3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3" fontId="3" fillId="4" borderId="25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3" fillId="0" borderId="0" xfId="3" applyFont="1" applyAlignment="1">
      <alignment horizontal="left"/>
    </xf>
    <xf numFmtId="4" fontId="8" fillId="0" borderId="2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4" xfId="3" applyFont="1" applyBorder="1" applyAlignment="1">
      <alignment wrapText="1"/>
    </xf>
    <xf numFmtId="0" fontId="19" fillId="0" borderId="3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justify"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2" fontId="3" fillId="4" borderId="4" xfId="0" applyNumberFormat="1" applyFont="1" applyFill="1" applyBorder="1" applyAlignment="1">
      <alignment horizontal="right" vertical="center"/>
    </xf>
    <xf numFmtId="2" fontId="3" fillId="4" borderId="25" xfId="0" applyNumberFormat="1" applyFont="1" applyFill="1" applyBorder="1" applyAlignment="1">
      <alignment horizontal="right" vertical="center"/>
    </xf>
    <xf numFmtId="2" fontId="3" fillId="4" borderId="26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30" fillId="0" borderId="2" xfId="3" applyFont="1" applyFill="1" applyBorder="1" applyAlignment="1">
      <alignment horizontal="center" vertical="center" wrapText="1"/>
    </xf>
    <xf numFmtId="4" fontId="2" fillId="0" borderId="23" xfId="3" applyNumberFormat="1" applyFont="1" applyFill="1" applyBorder="1"/>
    <xf numFmtId="4" fontId="26" fillId="0" borderId="23" xfId="3" applyNumberFormat="1" applyFont="1" applyFill="1" applyBorder="1"/>
    <xf numFmtId="0" fontId="8" fillId="0" borderId="4" xfId="0" applyFont="1" applyBorder="1" applyAlignment="1">
      <alignment horizontal="center"/>
    </xf>
    <xf numFmtId="4" fontId="8" fillId="0" borderId="23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7" xfId="0" applyNumberFormat="1" applyFont="1" applyFill="1" applyBorder="1"/>
    <xf numFmtId="3" fontId="0" fillId="0" borderId="4" xfId="0" applyNumberFormat="1" applyFill="1" applyBorder="1"/>
    <xf numFmtId="0" fontId="31" fillId="0" borderId="2" xfId="3" applyFont="1" applyFill="1" applyBorder="1" applyAlignment="1">
      <alignment horizontal="center" vertical="center" wrapText="1"/>
    </xf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4" fillId="0" borderId="4" xfId="3" applyNumberFormat="1" applyFon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2" fillId="0" borderId="4" xfId="3" applyNumberFormat="1" applyFont="1" applyFill="1" applyBorder="1"/>
    <xf numFmtId="3" fontId="4" fillId="0" borderId="10" xfId="3" applyNumberFormat="1" applyFont="1" applyBorder="1" applyAlignment="1">
      <alignment vertical="center"/>
    </xf>
    <xf numFmtId="3" fontId="2" fillId="0" borderId="10" xfId="8" applyNumberFormat="1" applyFill="1" applyBorder="1"/>
    <xf numFmtId="3" fontId="3" fillId="0" borderId="10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4" fillId="7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2" fillId="0" borderId="4" xfId="3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8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3" fillId="0" borderId="4" xfId="3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4" fillId="7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4" fillId="7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27" fillId="0" borderId="4" xfId="3" applyNumberFormat="1" applyFont="1" applyBorder="1"/>
    <xf numFmtId="3" fontId="27" fillId="0" borderId="4" xfId="3" applyNumberFormat="1" applyFont="1" applyFill="1" applyBorder="1"/>
    <xf numFmtId="3" fontId="27" fillId="0" borderId="4" xfId="3" applyNumberFormat="1" applyFont="1" applyFill="1" applyBorder="1" applyProtection="1">
      <protection locked="0"/>
    </xf>
    <xf numFmtId="0" fontId="6" fillId="0" borderId="8" xfId="0" applyFont="1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justify" wrapText="1"/>
    </xf>
    <xf numFmtId="0" fontId="7" fillId="0" borderId="0" xfId="3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3" applyFont="1"/>
    <xf numFmtId="4" fontId="1" fillId="0" borderId="0" xfId="3" applyNumberFormat="1" applyFont="1"/>
    <xf numFmtId="0" fontId="1" fillId="0" borderId="0" xfId="3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Fill="1"/>
    <xf numFmtId="3" fontId="4" fillId="7" borderId="8" xfId="0" applyNumberFormat="1" applyFont="1" applyFill="1" applyBorder="1"/>
    <xf numFmtId="3" fontId="1" fillId="0" borderId="0" xfId="0" applyNumberFormat="1" applyFont="1" applyFill="1"/>
    <xf numFmtId="0" fontId="1" fillId="0" borderId="4" xfId="3" applyFont="1" applyBorder="1"/>
    <xf numFmtId="3" fontId="2" fillId="7" borderId="4" xfId="3" applyNumberFormat="1" applyFill="1" applyBorder="1"/>
    <xf numFmtId="4" fontId="8" fillId="6" borderId="20" xfId="0" applyNumberFormat="1" applyFont="1" applyFill="1" applyBorder="1" applyAlignment="1">
      <alignment shrinkToFit="1"/>
    </xf>
    <xf numFmtId="4" fontId="8" fillId="0" borderId="20" xfId="0" applyNumberFormat="1" applyFont="1" applyFill="1" applyBorder="1" applyAlignment="1">
      <alignment shrinkToFit="1"/>
    </xf>
    <xf numFmtId="4" fontId="1" fillId="0" borderId="20" xfId="0" applyNumberFormat="1" applyFont="1" applyFill="1" applyBorder="1" applyAlignment="1">
      <alignment shrinkToFit="1"/>
    </xf>
    <xf numFmtId="4" fontId="1" fillId="0" borderId="31" xfId="0" applyNumberFormat="1" applyFont="1" applyBorder="1" applyAlignment="1">
      <alignment shrinkToFit="1"/>
    </xf>
    <xf numFmtId="4" fontId="1" fillId="0" borderId="20" xfId="0" applyNumberFormat="1" applyFont="1" applyBorder="1" applyAlignment="1">
      <alignment shrinkToFit="1"/>
    </xf>
    <xf numFmtId="4" fontId="8" fillId="0" borderId="20" xfId="0" applyNumberFormat="1" applyFont="1" applyBorder="1" applyAlignment="1">
      <alignment shrinkToFit="1"/>
    </xf>
    <xf numFmtId="4" fontId="1" fillId="0" borderId="31" xfId="0" applyNumberFormat="1" applyFont="1" applyFill="1" applyBorder="1" applyAlignment="1">
      <alignment shrinkToFit="1"/>
    </xf>
    <xf numFmtId="4" fontId="1" fillId="0" borderId="34" xfId="0" applyNumberFormat="1" applyFont="1" applyBorder="1" applyAlignment="1">
      <alignment shrinkToFit="1"/>
    </xf>
    <xf numFmtId="4" fontId="8" fillId="6" borderId="32" xfId="0" applyNumberFormat="1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8" xfId="0" applyFont="1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0" fontId="3" fillId="2" borderId="8" xfId="0" applyFont="1" applyFill="1" applyBorder="1" applyAlignment="1"/>
    <xf numFmtId="0" fontId="3" fillId="2" borderId="29" xfId="0" applyFont="1" applyFill="1" applyBorder="1" applyAlignment="1"/>
    <xf numFmtId="0" fontId="3" fillId="2" borderId="10" xfId="0" applyFont="1" applyFill="1" applyBorder="1" applyAlignment="1"/>
    <xf numFmtId="0" fontId="6" fillId="0" borderId="4" xfId="0" applyFont="1" applyBorder="1" applyAlignment="1"/>
    <xf numFmtId="0" fontId="6" fillId="0" borderId="8" xfId="0" applyFont="1" applyBorder="1" applyAlignment="1">
      <alignment wrapText="1"/>
    </xf>
    <xf numFmtId="0" fontId="0" fillId="0" borderId="29" xfId="0" applyBorder="1" applyAlignment="1"/>
    <xf numFmtId="0" fontId="0" fillId="0" borderId="10" xfId="0" applyBorder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5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6" xfId="0" applyFont="1" applyFill="1" applyBorder="1" applyAlignment="1">
      <alignment horizontal="right" wrapText="1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1" fillId="0" borderId="0" xfId="4" applyFont="1" applyFill="1" applyAlignment="1">
      <alignment horizontal="justify" vertical="top" wrapText="1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1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/>
    </xf>
    <xf numFmtId="0" fontId="1" fillId="0" borderId="0" xfId="0" applyFont="1" applyAlignment="1">
      <alignment horizontal="justify" vertical="top"/>
    </xf>
  </cellXfs>
  <cellStyles count="10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" xfId="8"/>
    <cellStyle name="Obično" xfId="0" builtinId="0"/>
    <cellStyle name="Obično 2" xfId="7"/>
    <cellStyle name="Postotak" xfId="5" builtinId="5"/>
    <cellStyle name="Zarez 2" xfId="6"/>
    <cellStyle name="Zarez 2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opLeftCell="A22" zoomScaleNormal="100" workbookViewId="0">
      <selection activeCell="J56" sqref="J56"/>
    </sheetView>
  </sheetViews>
  <sheetFormatPr defaultRowHeight="12.75"/>
  <cols>
    <col min="3" max="3" width="12.5703125" customWidth="1"/>
    <col min="4" max="4" width="4.5703125" customWidth="1"/>
    <col min="6" max="6" width="4.42578125" customWidth="1"/>
    <col min="9" max="9" width="20" customWidth="1"/>
  </cols>
  <sheetData>
    <row r="1" spans="1:9">
      <c r="A1" s="750"/>
      <c r="B1" s="750"/>
      <c r="C1" s="750"/>
      <c r="D1" s="750"/>
      <c r="E1" s="750"/>
      <c r="F1" s="750"/>
      <c r="G1" s="750"/>
      <c r="H1" s="750"/>
      <c r="I1" s="750"/>
    </row>
    <row r="2" spans="1:9">
      <c r="A2" s="751" t="s">
        <v>806</v>
      </c>
      <c r="B2" s="752"/>
      <c r="C2" s="752"/>
      <c r="G2" s="751" t="s">
        <v>807</v>
      </c>
      <c r="H2" s="752"/>
      <c r="I2" s="752"/>
    </row>
    <row r="3" spans="1:9">
      <c r="A3" s="752"/>
      <c r="B3" s="752"/>
      <c r="C3" s="752"/>
      <c r="G3" s="752"/>
      <c r="H3" s="752"/>
      <c r="I3" s="752"/>
    </row>
    <row r="4" spans="1:9">
      <c r="A4" s="752"/>
      <c r="B4" s="752"/>
      <c r="C4" s="752"/>
      <c r="G4" s="752"/>
      <c r="H4" s="752"/>
      <c r="I4" s="752"/>
    </row>
    <row r="5" spans="1:9">
      <c r="A5" s="752"/>
      <c r="B5" s="752"/>
      <c r="C5" s="752"/>
      <c r="G5" s="752"/>
      <c r="H5" s="752"/>
      <c r="I5" s="752"/>
    </row>
    <row r="6" spans="1:9">
      <c r="A6" s="752"/>
      <c r="B6" s="752"/>
      <c r="C6" s="752"/>
      <c r="G6" s="752"/>
      <c r="H6" s="752"/>
      <c r="I6" s="752"/>
    </row>
    <row r="7" spans="1:9">
      <c r="A7" s="752"/>
      <c r="B7" s="752"/>
      <c r="C7" s="752"/>
      <c r="G7" s="752"/>
      <c r="H7" s="752"/>
      <c r="I7" s="752"/>
    </row>
    <row r="8" spans="1:9">
      <c r="A8" s="109"/>
      <c r="B8" s="109"/>
      <c r="C8" s="109"/>
      <c r="D8" s="109"/>
      <c r="E8" s="109"/>
      <c r="F8" s="109"/>
      <c r="G8" s="109"/>
      <c r="H8" s="109"/>
      <c r="I8" s="109"/>
    </row>
    <row r="12" spans="1:9" ht="18.75">
      <c r="G12" s="747"/>
      <c r="H12" s="748"/>
      <c r="I12" s="748"/>
    </row>
    <row r="20" spans="1:9" ht="12.75" customHeight="1">
      <c r="A20" s="753" t="s">
        <v>738</v>
      </c>
      <c r="B20" s="754"/>
      <c r="C20" s="754"/>
      <c r="D20" s="754"/>
      <c r="E20" s="754"/>
      <c r="F20" s="754"/>
      <c r="G20" s="754"/>
      <c r="H20" s="754"/>
      <c r="I20" s="754"/>
    </row>
    <row r="21" spans="1:9">
      <c r="A21" s="754"/>
      <c r="B21" s="754"/>
      <c r="C21" s="754"/>
      <c r="D21" s="754"/>
      <c r="E21" s="754"/>
      <c r="F21" s="754"/>
      <c r="G21" s="754"/>
      <c r="H21" s="754"/>
      <c r="I21" s="754"/>
    </row>
    <row r="22" spans="1:9">
      <c r="A22" s="750"/>
      <c r="B22" s="750"/>
      <c r="C22" s="750"/>
      <c r="D22" s="750"/>
      <c r="E22" s="750"/>
      <c r="F22" s="750"/>
      <c r="G22" s="750"/>
      <c r="H22" s="750"/>
      <c r="I22" s="750"/>
    </row>
    <row r="23" spans="1:9">
      <c r="A23" s="750"/>
      <c r="B23" s="750"/>
      <c r="C23" s="750"/>
      <c r="D23" s="750"/>
      <c r="E23" s="750"/>
      <c r="F23" s="750"/>
      <c r="G23" s="750"/>
      <c r="H23" s="750"/>
      <c r="I23" s="750"/>
    </row>
    <row r="24" spans="1:9">
      <c r="A24" s="750"/>
      <c r="B24" s="750"/>
      <c r="C24" s="750"/>
      <c r="D24" s="750"/>
      <c r="E24" s="750"/>
      <c r="F24" s="750"/>
      <c r="G24" s="750"/>
      <c r="H24" s="750"/>
      <c r="I24" s="750"/>
    </row>
    <row r="25" spans="1:9">
      <c r="A25" s="750"/>
      <c r="B25" s="750"/>
      <c r="C25" s="750"/>
      <c r="D25" s="750"/>
      <c r="E25" s="750"/>
      <c r="F25" s="750"/>
      <c r="G25" s="750"/>
      <c r="H25" s="750"/>
      <c r="I25" s="750"/>
    </row>
    <row r="26" spans="1:9">
      <c r="A26" s="750"/>
      <c r="B26" s="750"/>
      <c r="C26" s="750"/>
      <c r="D26" s="750"/>
      <c r="E26" s="750"/>
      <c r="F26" s="750"/>
      <c r="G26" s="750"/>
      <c r="H26" s="750"/>
      <c r="I26" s="750"/>
    </row>
    <row r="54" spans="1:9">
      <c r="A54" s="749" t="s">
        <v>808</v>
      </c>
      <c r="B54" s="750"/>
      <c r="C54" s="750"/>
      <c r="D54" s="750"/>
      <c r="E54" s="750"/>
      <c r="F54" s="750"/>
      <c r="G54" s="750"/>
      <c r="H54" s="750"/>
      <c r="I54" s="750"/>
    </row>
    <row r="55" spans="1:9">
      <c r="A55" s="750"/>
      <c r="B55" s="750"/>
      <c r="C55" s="750"/>
      <c r="D55" s="750"/>
      <c r="E55" s="750"/>
      <c r="F55" s="750"/>
      <c r="G55" s="750"/>
      <c r="H55" s="750"/>
      <c r="I55" s="750"/>
    </row>
    <row r="56" spans="1:9" ht="15.75">
      <c r="A56" s="110"/>
      <c r="B56" s="110"/>
      <c r="C56" s="110"/>
      <c r="D56" s="110"/>
      <c r="E56" s="110"/>
      <c r="F56" s="110"/>
      <c r="G56" s="110"/>
      <c r="H56" s="110"/>
      <c r="I56" s="110"/>
    </row>
  </sheetData>
  <mergeCells count="6">
    <mergeCell ref="G12:I12"/>
    <mergeCell ref="A54:I55"/>
    <mergeCell ref="A1:I1"/>
    <mergeCell ref="A2:C7"/>
    <mergeCell ref="G2:I7"/>
    <mergeCell ref="A20:I26"/>
  </mergeCells>
  <phoneticPr fontId="0" type="noConversion"/>
  <pageMargins left="0.66" right="0.4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M59"/>
  <sheetViews>
    <sheetView topLeftCell="A10" zoomScaleNormal="100" workbookViewId="0">
      <selection activeCell="O19" sqref="O1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123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119</v>
      </c>
      <c r="C6" s="11" t="s">
        <v>81</v>
      </c>
      <c r="D6" s="11" t="s">
        <v>124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47610</v>
      </c>
      <c r="H7" s="337">
        <f>SUM(H8:H11)</f>
        <v>47610</v>
      </c>
      <c r="I7" s="457">
        <v>23848</v>
      </c>
      <c r="J7" s="337">
        <f>SUM(J8:J11)</f>
        <v>32470</v>
      </c>
      <c r="K7" s="177">
        <f>IF(H7=0,"",J7/H7*100)</f>
        <v>68.199957992018483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28640+500+12300+860</f>
        <v>42300</v>
      </c>
      <c r="H8" s="336">
        <f>28640+500+12300+860</f>
        <v>42300</v>
      </c>
      <c r="I8" s="456">
        <v>21878</v>
      </c>
      <c r="J8" s="336">
        <f>29600</f>
        <v>29600</v>
      </c>
      <c r="K8" s="135">
        <f>IF(H8=0,"",J8/H8*100)</f>
        <v>69.976359338061471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2710+100+2500</f>
        <v>5310</v>
      </c>
      <c r="H9" s="336">
        <f>2710+100+2500</f>
        <v>5310</v>
      </c>
      <c r="I9" s="456">
        <v>1970</v>
      </c>
      <c r="J9" s="336">
        <f>2600+270</f>
        <v>2870</v>
      </c>
      <c r="K9" s="135">
        <f t="shared" ref="K9:K34" si="0">IF(H9=0,"",J9/H9*100)</f>
        <v>54.048964218455744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5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456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4660</v>
      </c>
      <c r="H12" s="337">
        <f>H13</f>
        <v>4660</v>
      </c>
      <c r="I12" s="457">
        <v>2317</v>
      </c>
      <c r="J12" s="337">
        <f>J13</f>
        <v>3200</v>
      </c>
      <c r="K12" s="177">
        <f t="shared" si="0"/>
        <v>68.669527896995703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3020+200+1350+90</f>
        <v>4660</v>
      </c>
      <c r="H13" s="336">
        <f>3020+200+1350+90</f>
        <v>4660</v>
      </c>
      <c r="I13" s="456">
        <v>2317</v>
      </c>
      <c r="J13" s="336">
        <f>3200</f>
        <v>3200</v>
      </c>
      <c r="K13" s="135">
        <f t="shared" si="0"/>
        <v>68.669527896995703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452"/>
      <c r="J14" s="39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8300</v>
      </c>
      <c r="H15" s="43">
        <f>SUM(H16:H25)</f>
        <v>8300</v>
      </c>
      <c r="I15" s="454">
        <v>96</v>
      </c>
      <c r="J15" s="43">
        <f>SUM(J16:J25)</f>
        <v>2150</v>
      </c>
      <c r="K15" s="177">
        <f t="shared" si="0"/>
        <v>25.903614457831324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300</v>
      </c>
      <c r="H16" s="39">
        <v>300</v>
      </c>
      <c r="I16" s="452">
        <v>25</v>
      </c>
      <c r="J16" s="39">
        <v>150</v>
      </c>
      <c r="K16" s="135">
        <f t="shared" si="0"/>
        <v>50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452">
        <v>0</v>
      </c>
      <c r="J17" s="39">
        <v>0</v>
      </c>
      <c r="K17" s="135" t="str">
        <f t="shared" si="0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206</v>
      </c>
      <c r="G18" s="39">
        <v>0</v>
      </c>
      <c r="H18" s="39">
        <v>0</v>
      </c>
      <c r="I18" s="452">
        <v>0</v>
      </c>
      <c r="J18" s="39">
        <v>0</v>
      </c>
      <c r="K18" s="135" t="str">
        <f t="shared" si="0"/>
        <v/>
      </c>
    </row>
    <row r="19" spans="2:13" ht="17.100000000000001" customHeight="1">
      <c r="B19" s="14"/>
      <c r="C19" s="15"/>
      <c r="D19" s="15"/>
      <c r="E19" s="16">
        <v>613400</v>
      </c>
      <c r="F19" s="15" t="s">
        <v>165</v>
      </c>
      <c r="G19" s="39">
        <v>0</v>
      </c>
      <c r="H19" s="39">
        <v>0</v>
      </c>
      <c r="I19" s="452">
        <v>0</v>
      </c>
      <c r="J19" s="39">
        <v>0</v>
      </c>
      <c r="K19" s="135" t="str">
        <f t="shared" si="0"/>
        <v/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452">
        <v>0</v>
      </c>
      <c r="J20" s="39">
        <v>0</v>
      </c>
      <c r="K20" s="135" t="str">
        <f t="shared" si="0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52">
        <v>0</v>
      </c>
      <c r="J21" s="39">
        <v>0</v>
      </c>
      <c r="K21" s="135" t="str">
        <f t="shared" si="0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39">
        <v>0</v>
      </c>
      <c r="H22" s="39">
        <v>0</v>
      </c>
      <c r="I22" s="452">
        <v>0</v>
      </c>
      <c r="J22" s="39">
        <v>0</v>
      </c>
      <c r="K22" s="135" t="str">
        <f t="shared" si="0"/>
        <v/>
      </c>
    </row>
    <row r="23" spans="2:13" ht="17.100000000000001" customHeight="1">
      <c r="B23" s="14"/>
      <c r="C23" s="15"/>
      <c r="D23" s="15"/>
      <c r="E23" s="16">
        <v>613800</v>
      </c>
      <c r="F23" s="15" t="s">
        <v>166</v>
      </c>
      <c r="G23" s="39">
        <v>0</v>
      </c>
      <c r="H23" s="39">
        <v>0</v>
      </c>
      <c r="I23" s="452">
        <v>0</v>
      </c>
      <c r="J23" s="39">
        <v>0</v>
      </c>
      <c r="K23" s="135" t="str">
        <f t="shared" si="0"/>
        <v/>
      </c>
      <c r="M23" s="71"/>
    </row>
    <row r="24" spans="2:13" ht="17.100000000000001" customHeight="1">
      <c r="B24" s="14"/>
      <c r="C24" s="15"/>
      <c r="D24" s="15"/>
      <c r="E24" s="16">
        <v>613900</v>
      </c>
      <c r="F24" s="15" t="s">
        <v>167</v>
      </c>
      <c r="G24" s="39">
        <v>8000</v>
      </c>
      <c r="H24" s="39">
        <v>8000</v>
      </c>
      <c r="I24" s="452">
        <v>71</v>
      </c>
      <c r="J24" s="39">
        <v>2000</v>
      </c>
      <c r="K24" s="135">
        <f t="shared" si="0"/>
        <v>25</v>
      </c>
    </row>
    <row r="25" spans="2:13" ht="17.100000000000001" customHeight="1">
      <c r="B25" s="14"/>
      <c r="C25" s="15"/>
      <c r="D25" s="15"/>
      <c r="E25" s="16">
        <v>613900</v>
      </c>
      <c r="F25" s="311" t="s">
        <v>587</v>
      </c>
      <c r="G25" s="40">
        <v>0</v>
      </c>
      <c r="H25" s="40">
        <v>0</v>
      </c>
      <c r="I25" s="453">
        <v>0</v>
      </c>
      <c r="J25" s="40">
        <v>0</v>
      </c>
      <c r="K25" s="135" t="str">
        <f t="shared" si="0"/>
        <v/>
      </c>
    </row>
    <row r="26" spans="2:13" s="1" customFormat="1" ht="17.100000000000001" customHeight="1">
      <c r="B26" s="17"/>
      <c r="C26" s="12"/>
      <c r="D26" s="12"/>
      <c r="E26" s="53"/>
      <c r="F26" s="12"/>
      <c r="G26" s="39"/>
      <c r="H26" s="39"/>
      <c r="I26" s="452"/>
      <c r="J26" s="39"/>
      <c r="K26" s="135" t="str">
        <f t="shared" si="0"/>
        <v/>
      </c>
    </row>
    <row r="27" spans="2:13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 t="shared" ref="G27:H27" si="1">SUM(G28:G29)</f>
        <v>1500</v>
      </c>
      <c r="H27" s="20">
        <f t="shared" si="1"/>
        <v>1500</v>
      </c>
      <c r="I27" s="451">
        <v>0</v>
      </c>
      <c r="J27" s="20">
        <f t="shared" ref="J27" si="2">SUM(J28:J29)</f>
        <v>0</v>
      </c>
      <c r="K27" s="135">
        <f t="shared" si="0"/>
        <v>0</v>
      </c>
    </row>
    <row r="28" spans="2:13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455">
        <v>0</v>
      </c>
      <c r="J28" s="72">
        <v>0</v>
      </c>
      <c r="K28" s="135" t="str">
        <f t="shared" si="0"/>
        <v/>
      </c>
    </row>
    <row r="29" spans="2:13" ht="17.100000000000001" customHeight="1">
      <c r="B29" s="14"/>
      <c r="C29" s="15"/>
      <c r="D29" s="15"/>
      <c r="E29" s="16">
        <v>821300</v>
      </c>
      <c r="F29" s="15" t="s">
        <v>92</v>
      </c>
      <c r="G29" s="39">
        <v>1500</v>
      </c>
      <c r="H29" s="39">
        <v>1500</v>
      </c>
      <c r="I29" s="452">
        <v>0</v>
      </c>
      <c r="J29" s="39">
        <v>0</v>
      </c>
      <c r="K29" s="135">
        <f t="shared" si="0"/>
        <v>0</v>
      </c>
    </row>
    <row r="30" spans="2:13" ht="17.100000000000001" customHeight="1">
      <c r="B30" s="14"/>
      <c r="C30" s="15"/>
      <c r="D30" s="15"/>
      <c r="E30" s="16"/>
      <c r="F30" s="15"/>
      <c r="G30" s="20"/>
      <c r="H30" s="20"/>
      <c r="I30" s="451"/>
      <c r="J30" s="20"/>
      <c r="K30" s="135" t="str">
        <f t="shared" si="0"/>
        <v/>
      </c>
    </row>
    <row r="31" spans="2:13" s="1" customFormat="1" ht="17.100000000000001" customHeight="1">
      <c r="B31" s="17"/>
      <c r="C31" s="12"/>
      <c r="D31" s="12"/>
      <c r="E31" s="9"/>
      <c r="F31" s="12" t="s">
        <v>93</v>
      </c>
      <c r="G31" s="20">
        <v>2</v>
      </c>
      <c r="H31" s="20">
        <v>2</v>
      </c>
      <c r="I31" s="451">
        <v>1</v>
      </c>
      <c r="J31" s="20">
        <v>1</v>
      </c>
      <c r="K31" s="135"/>
    </row>
    <row r="32" spans="2:13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62070</v>
      </c>
      <c r="H32" s="20">
        <f>H7+H12+H15+H27</f>
        <v>62070</v>
      </c>
      <c r="I32" s="20">
        <f t="shared" ref="I32" si="3">I7+I12+I15+I27</f>
        <v>26261</v>
      </c>
      <c r="J32" s="20">
        <f>J7+J12+J15+J27</f>
        <v>37820</v>
      </c>
      <c r="K32" s="177">
        <f t="shared" si="0"/>
        <v>60.931206702110515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B2:M59"/>
  <sheetViews>
    <sheetView topLeftCell="A10" zoomScaleNormal="100" workbookViewId="0">
      <selection activeCell="O13" sqref="O1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160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119</v>
      </c>
      <c r="C6" s="11" t="s">
        <v>81</v>
      </c>
      <c r="D6" s="11" t="s">
        <v>125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75970</v>
      </c>
      <c r="H7" s="337">
        <f>SUM(H8:H11)</f>
        <v>75970</v>
      </c>
      <c r="I7" s="464">
        <v>55200</v>
      </c>
      <c r="J7" s="337">
        <f>SUM(J8:J11)</f>
        <v>75410</v>
      </c>
      <c r="K7" s="177">
        <f>IF(H7=0,"",J7/H7*100)</f>
        <v>99.262866921153091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61870+1000+1860</f>
        <v>64730</v>
      </c>
      <c r="H8" s="336">
        <f>61870+1000+1860</f>
        <v>64730</v>
      </c>
      <c r="I8" s="463">
        <v>47092</v>
      </c>
      <c r="J8" s="336">
        <f>63900</f>
        <v>63900</v>
      </c>
      <c r="K8" s="135">
        <f>IF(H8=0,"",J8/H8*100)</f>
        <v>98.717750656573457</v>
      </c>
      <c r="L8" s="80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10440+800</f>
        <v>11240</v>
      </c>
      <c r="H9" s="336">
        <f>10440+800</f>
        <v>11240</v>
      </c>
      <c r="I9" s="463">
        <v>8108</v>
      </c>
      <c r="J9" s="336">
        <f>10700+3*270</f>
        <v>11510</v>
      </c>
      <c r="K9" s="135">
        <f t="shared" ref="K9:K34" si="0">IF(H9=0,"",J9/H9*100)</f>
        <v>102.40213523131672</v>
      </c>
      <c r="L9" s="84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63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463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7000</v>
      </c>
      <c r="H12" s="337">
        <f>H13</f>
        <v>7000</v>
      </c>
      <c r="I12" s="464">
        <v>5010</v>
      </c>
      <c r="J12" s="337">
        <f>J13</f>
        <v>6860</v>
      </c>
      <c r="K12" s="177">
        <f t="shared" si="0"/>
        <v>98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6600+200+200</f>
        <v>7000</v>
      </c>
      <c r="H13" s="336">
        <f>6600+200+200</f>
        <v>7000</v>
      </c>
      <c r="I13" s="463">
        <v>5010</v>
      </c>
      <c r="J13" s="336">
        <f>6860</f>
        <v>6860</v>
      </c>
      <c r="K13" s="135">
        <f t="shared" si="0"/>
        <v>98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458"/>
      <c r="J14" s="39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5900</v>
      </c>
      <c r="H15" s="43">
        <f>SUM(H16:H25)</f>
        <v>5900</v>
      </c>
      <c r="I15" s="459">
        <v>2541</v>
      </c>
      <c r="J15" s="43">
        <f>SUM(J16:J25)</f>
        <v>6000</v>
      </c>
      <c r="K15" s="177">
        <f t="shared" si="0"/>
        <v>101.69491525423729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2">
        <v>1000</v>
      </c>
      <c r="H16" s="72">
        <v>750</v>
      </c>
      <c r="I16" s="460">
        <v>703</v>
      </c>
      <c r="J16" s="72">
        <v>850</v>
      </c>
      <c r="K16" s="135">
        <f t="shared" si="0"/>
        <v>113.33333333333333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458">
        <v>0</v>
      </c>
      <c r="J17" s="39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39">
        <v>2500</v>
      </c>
      <c r="H18" s="39">
        <v>2500</v>
      </c>
      <c r="I18" s="458">
        <v>1285</v>
      </c>
      <c r="J18" s="39">
        <v>2500</v>
      </c>
      <c r="K18" s="135">
        <f t="shared" si="0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2">
        <v>500</v>
      </c>
      <c r="H19" s="72">
        <v>100</v>
      </c>
      <c r="I19" s="460">
        <v>0</v>
      </c>
      <c r="J19" s="72">
        <v>100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458">
        <v>0</v>
      </c>
      <c r="J20" s="39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58">
        <v>0</v>
      </c>
      <c r="J21" s="39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39">
        <v>400</v>
      </c>
      <c r="H22" s="39">
        <v>0</v>
      </c>
      <c r="I22" s="458">
        <v>0</v>
      </c>
      <c r="J22" s="39">
        <v>0</v>
      </c>
      <c r="K22" s="135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39">
        <v>0</v>
      </c>
      <c r="H23" s="39">
        <v>0</v>
      </c>
      <c r="I23" s="458">
        <v>0</v>
      </c>
      <c r="J23" s="39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2">
        <v>1500</v>
      </c>
      <c r="H24" s="72">
        <v>2550</v>
      </c>
      <c r="I24" s="460">
        <v>553</v>
      </c>
      <c r="J24" s="72">
        <v>2550</v>
      </c>
      <c r="K24" s="135">
        <f t="shared" si="0"/>
        <v>100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462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72"/>
      <c r="H26" s="72"/>
      <c r="I26" s="460"/>
      <c r="J26" s="72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1500</v>
      </c>
      <c r="H27" s="96">
        <f>SUM(H28:H29)</f>
        <v>1500</v>
      </c>
      <c r="I27" s="461">
        <v>0</v>
      </c>
      <c r="J27" s="96">
        <f>SUM(J28:J29)</f>
        <v>1500</v>
      </c>
      <c r="K27" s="177">
        <f t="shared" si="0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460">
        <v>0</v>
      </c>
      <c r="J28" s="72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2">
        <v>1500</v>
      </c>
      <c r="H29" s="72">
        <v>1500</v>
      </c>
      <c r="I29" s="460">
        <v>0</v>
      </c>
      <c r="J29" s="72">
        <v>1500</v>
      </c>
      <c r="K29" s="135">
        <f t="shared" si="0"/>
        <v>100</v>
      </c>
    </row>
    <row r="30" spans="2:11" ht="17.100000000000001" customHeight="1">
      <c r="B30" s="14"/>
      <c r="C30" s="15"/>
      <c r="D30" s="15"/>
      <c r="E30" s="16"/>
      <c r="F30" s="15"/>
      <c r="G30" s="39"/>
      <c r="H30" s="39"/>
      <c r="I30" s="458"/>
      <c r="J30" s="39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6">
        <v>3</v>
      </c>
      <c r="H31" s="96">
        <v>3</v>
      </c>
      <c r="I31" s="461">
        <v>3</v>
      </c>
      <c r="J31" s="96">
        <v>3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90370</v>
      </c>
      <c r="H32" s="20">
        <f>H7+H12+H15+H27</f>
        <v>90370</v>
      </c>
      <c r="I32" s="20">
        <f t="shared" ref="I32" si="1">I7+I12+I15+I27</f>
        <v>62751</v>
      </c>
      <c r="J32" s="20">
        <f>J7+J12+J15+J27</f>
        <v>89770</v>
      </c>
      <c r="K32" s="177">
        <f t="shared" si="0"/>
        <v>99.336062852716609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20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B2:M59"/>
  <sheetViews>
    <sheetView topLeftCell="A10" zoomScaleNormal="100" workbookViewId="0">
      <selection activeCell="M26" sqref="M2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600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119</v>
      </c>
      <c r="C6" s="11" t="s">
        <v>81</v>
      </c>
      <c r="D6" s="11" t="s">
        <v>146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53">
        <f>SUM(G8:G11)</f>
        <v>158190</v>
      </c>
      <c r="H7" s="353">
        <f>SUM(H8:H11)</f>
        <v>158190</v>
      </c>
      <c r="I7" s="470">
        <v>99543</v>
      </c>
      <c r="J7" s="353">
        <f>SUM(J8:J11)</f>
        <v>145610</v>
      </c>
      <c r="K7" s="134">
        <f>IF(H7=0,"",J7/H7*100)</f>
        <v>92.047537771034825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54">
        <f>77200+1000+3*15000+2300+1350</f>
        <v>126850</v>
      </c>
      <c r="H8" s="354">
        <f>77200+1000+3*15000+2300+1350</f>
        <v>126850</v>
      </c>
      <c r="I8" s="471">
        <v>79375</v>
      </c>
      <c r="J8" s="354">
        <f>113200</f>
        <v>113200</v>
      </c>
      <c r="K8" s="135">
        <f>IF(H8=0,"",J8/H8*100)</f>
        <v>89.239258967284201</v>
      </c>
      <c r="L8" s="80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54">
        <f>16940+600+3*4600</f>
        <v>31340</v>
      </c>
      <c r="H9" s="354">
        <f>16940+600+3*4600</f>
        <v>31340</v>
      </c>
      <c r="I9" s="471">
        <v>20168</v>
      </c>
      <c r="J9" s="354">
        <f>29200+3*440+7*270</f>
        <v>32410</v>
      </c>
      <c r="K9" s="135">
        <f t="shared" ref="K9:K34" si="0">IF(H9=0,"",J9/H9*100)</f>
        <v>103.41416719846841</v>
      </c>
      <c r="L9" s="84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54">
        <v>0</v>
      </c>
      <c r="H10" s="354">
        <v>0</v>
      </c>
      <c r="I10" s="471">
        <v>0</v>
      </c>
      <c r="J10" s="354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54"/>
      <c r="H11" s="354"/>
      <c r="I11" s="471"/>
      <c r="J11" s="354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53">
        <f>G13</f>
        <v>14010</v>
      </c>
      <c r="H12" s="353">
        <f>H13</f>
        <v>14010</v>
      </c>
      <c r="I12" s="470">
        <v>8450</v>
      </c>
      <c r="J12" s="353">
        <f>J13</f>
        <v>12250</v>
      </c>
      <c r="K12" s="177">
        <f t="shared" si="0"/>
        <v>87.437544610992148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4">
        <f>8260+400+3*1650+250+150</f>
        <v>14010</v>
      </c>
      <c r="H13" s="354">
        <f>8260+400+3*1650+250+150</f>
        <v>14010</v>
      </c>
      <c r="I13" s="471">
        <v>8450</v>
      </c>
      <c r="J13" s="354">
        <f>12250</f>
        <v>12250</v>
      </c>
      <c r="K13" s="135">
        <f t="shared" si="0"/>
        <v>87.437544610992148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465"/>
      <c r="J14" s="39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10400</v>
      </c>
      <c r="H15" s="43">
        <f>SUM(H16:H25)</f>
        <v>10400</v>
      </c>
      <c r="I15" s="466">
        <v>7559</v>
      </c>
      <c r="J15" s="43">
        <f>SUM(J16:J25)</f>
        <v>11200</v>
      </c>
      <c r="K15" s="177">
        <f t="shared" si="0"/>
        <v>107.69230769230769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2">
        <v>5000</v>
      </c>
      <c r="H16" s="72">
        <v>5000</v>
      </c>
      <c r="I16" s="467">
        <v>4049</v>
      </c>
      <c r="J16" s="72">
        <v>6000</v>
      </c>
      <c r="K16" s="135">
        <f t="shared" si="0"/>
        <v>120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465">
        <v>0</v>
      </c>
      <c r="J17" s="39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39">
        <v>1200</v>
      </c>
      <c r="H18" s="39">
        <v>1200</v>
      </c>
      <c r="I18" s="465">
        <v>496</v>
      </c>
      <c r="J18" s="39">
        <v>1000</v>
      </c>
      <c r="K18" s="135">
        <f t="shared" si="0"/>
        <v>83.333333333333343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2">
        <v>1000</v>
      </c>
      <c r="H19" s="72">
        <v>1000</v>
      </c>
      <c r="I19" s="467">
        <v>701</v>
      </c>
      <c r="J19" s="72">
        <v>1000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465">
        <v>0</v>
      </c>
      <c r="J20" s="39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65">
        <v>0</v>
      </c>
      <c r="J21" s="39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39">
        <v>700</v>
      </c>
      <c r="H22" s="39">
        <v>700</v>
      </c>
      <c r="I22" s="465">
        <v>680</v>
      </c>
      <c r="J22" s="39">
        <v>1200</v>
      </c>
      <c r="K22" s="135">
        <f t="shared" si="0"/>
        <v>171.42857142857142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39">
        <v>0</v>
      </c>
      <c r="H23" s="39">
        <v>0</v>
      </c>
      <c r="I23" s="465">
        <v>0</v>
      </c>
      <c r="J23" s="39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2">
        <v>2500</v>
      </c>
      <c r="H24" s="72">
        <v>2500</v>
      </c>
      <c r="I24" s="467">
        <v>1633</v>
      </c>
      <c r="J24" s="72">
        <v>2000</v>
      </c>
      <c r="K24" s="135">
        <f t="shared" si="0"/>
        <v>80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469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72"/>
      <c r="H26" s="72"/>
      <c r="I26" s="467"/>
      <c r="J26" s="72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7000</v>
      </c>
      <c r="H27" s="96">
        <f>SUM(H28:H29)</f>
        <v>7000</v>
      </c>
      <c r="I27" s="468">
        <v>4838</v>
      </c>
      <c r="J27" s="96">
        <f>SUM(J28:J29)</f>
        <v>4840</v>
      </c>
      <c r="K27" s="177">
        <f t="shared" si="0"/>
        <v>69.142857142857139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467">
        <v>0</v>
      </c>
      <c r="J28" s="72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2">
        <v>7000</v>
      </c>
      <c r="H29" s="72">
        <v>7000</v>
      </c>
      <c r="I29" s="467">
        <v>4838</v>
      </c>
      <c r="J29" s="72">
        <v>4840</v>
      </c>
      <c r="K29" s="135">
        <f t="shared" si="0"/>
        <v>69.142857142857139</v>
      </c>
    </row>
    <row r="30" spans="2:11" ht="17.100000000000001" customHeight="1">
      <c r="B30" s="14"/>
      <c r="C30" s="15"/>
      <c r="D30" s="15"/>
      <c r="E30" s="16"/>
      <c r="F30" s="15"/>
      <c r="G30" s="39"/>
      <c r="H30" s="39"/>
      <c r="I30" s="465"/>
      <c r="J30" s="39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6">
        <v>7</v>
      </c>
      <c r="H31" s="96">
        <v>7</v>
      </c>
      <c r="I31" s="468">
        <v>7</v>
      </c>
      <c r="J31" s="96">
        <v>7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189600</v>
      </c>
      <c r="H32" s="20">
        <f>H7+H12+H15+H27</f>
        <v>189600</v>
      </c>
      <c r="I32" s="20">
        <f t="shared" ref="I32" si="1">I7+I12+I15+I27</f>
        <v>120390</v>
      </c>
      <c r="J32" s="20">
        <f>J7+J12+J15+J27</f>
        <v>173900</v>
      </c>
      <c r="K32" s="177">
        <f t="shared" si="0"/>
        <v>91.719409282700425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G32+'6'!G32+'5'!G32+'4'!G35+'3'!G55</f>
        <v>3641600</v>
      </c>
      <c r="H33" s="20">
        <f>H32+'6'!H32+'5'!H32+'4'!H35+'3'!H55</f>
        <v>3646600</v>
      </c>
      <c r="I33" s="20">
        <f>I32+'6'!I32+'5'!I32+'4'!I35+'3'!I55</f>
        <v>1818326</v>
      </c>
      <c r="J33" s="20">
        <f>J32+'6'!J32+'5'!J32+'4'!J35+'3'!J55</f>
        <v>3311610</v>
      </c>
      <c r="K33" s="177">
        <f>IF(H33=0,"",J33/H33*100)</f>
        <v>90.813634618548789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3641600</v>
      </c>
      <c r="H34" s="20">
        <f>H33</f>
        <v>3646600</v>
      </c>
      <c r="I34" s="20">
        <f t="shared" ref="I34" si="2">I33</f>
        <v>1818326</v>
      </c>
      <c r="J34" s="20">
        <f>J33</f>
        <v>3311610</v>
      </c>
      <c r="K34" s="177">
        <f t="shared" si="0"/>
        <v>90.813634618548789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N59"/>
  <sheetViews>
    <sheetView topLeftCell="A13" zoomScaleNormal="100" workbookViewId="0">
      <selection activeCell="L15" sqref="L15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4" s="100" customFormat="1" ht="15" customHeight="1">
      <c r="B2" s="784" t="s">
        <v>126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4" s="1" customFormat="1" ht="16.5" thickBot="1">
      <c r="E3" s="2"/>
      <c r="F3" s="785"/>
      <c r="G3" s="785"/>
      <c r="H3" s="393"/>
      <c r="I3" s="393"/>
      <c r="J3" s="159"/>
      <c r="K3" s="160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4" s="2" customFormat="1" ht="17.100000000000001" customHeight="1">
      <c r="B6" s="10" t="s">
        <v>127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267560</v>
      </c>
      <c r="H7" s="337">
        <f>SUM(H8:H11)</f>
        <v>267560</v>
      </c>
      <c r="I7" s="479">
        <v>193018</v>
      </c>
      <c r="J7" s="337">
        <f>SUM(J8:J11)</f>
        <v>266920</v>
      </c>
      <c r="K7" s="134">
        <f>IF(H7=0,"",J7/H7*100)</f>
        <v>99.760801315592758</v>
      </c>
    </row>
    <row r="8" spans="2:14" ht="17.100000000000001" customHeight="1">
      <c r="B8" s="14"/>
      <c r="C8" s="15"/>
      <c r="D8" s="15"/>
      <c r="E8" s="16">
        <v>611100</v>
      </c>
      <c r="F8" s="26" t="s">
        <v>204</v>
      </c>
      <c r="G8" s="336">
        <f>190940+2000+11000+5800</f>
        <v>209740</v>
      </c>
      <c r="H8" s="336">
        <f>190940+2000+11000+5800</f>
        <v>209740</v>
      </c>
      <c r="I8" s="478">
        <v>152052</v>
      </c>
      <c r="J8" s="336">
        <f>207800</f>
        <v>207800</v>
      </c>
      <c r="K8" s="135">
        <f>IF(H8=0,"",J8/H8*100)</f>
        <v>99.075045294173734</v>
      </c>
      <c r="L8" s="71"/>
    </row>
    <row r="9" spans="2:14" ht="17.100000000000001" customHeight="1">
      <c r="B9" s="14"/>
      <c r="C9" s="15"/>
      <c r="D9" s="15"/>
      <c r="E9" s="16">
        <v>611200</v>
      </c>
      <c r="F9" s="15" t="s">
        <v>205</v>
      </c>
      <c r="G9" s="336">
        <f>54280+0+840+2700</f>
        <v>57820</v>
      </c>
      <c r="H9" s="336">
        <f>54280+0+840+2700</f>
        <v>57820</v>
      </c>
      <c r="I9" s="478">
        <v>40966</v>
      </c>
      <c r="J9" s="336">
        <f>54800+16*270</f>
        <v>59120</v>
      </c>
      <c r="K9" s="135">
        <f t="shared" ref="K9:K34" si="0">IF(H9=0,"",J9/H9*100)</f>
        <v>102.24835696990662</v>
      </c>
    </row>
    <row r="10" spans="2:14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78">
        <v>0</v>
      </c>
      <c r="J10" s="336">
        <v>0</v>
      </c>
      <c r="K10" s="135" t="str">
        <f t="shared" si="0"/>
        <v/>
      </c>
      <c r="M10" s="79"/>
    </row>
    <row r="11" spans="2:14" ht="17.100000000000001" customHeight="1">
      <c r="B11" s="14"/>
      <c r="C11" s="15"/>
      <c r="D11" s="15"/>
      <c r="E11" s="16"/>
      <c r="F11" s="26"/>
      <c r="G11" s="336"/>
      <c r="H11" s="336"/>
      <c r="I11" s="478"/>
      <c r="J11" s="336"/>
      <c r="K11" s="135" t="str">
        <f t="shared" si="0"/>
        <v/>
      </c>
      <c r="M11" s="71"/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22720</v>
      </c>
      <c r="H12" s="337">
        <f>H13</f>
        <v>22720</v>
      </c>
      <c r="I12" s="479">
        <v>16359</v>
      </c>
      <c r="J12" s="337">
        <f>J13</f>
        <v>22720</v>
      </c>
      <c r="K12" s="177">
        <f t="shared" si="0"/>
        <v>100</v>
      </c>
      <c r="M12" s="85"/>
      <c r="N12" s="85"/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36">
        <f>20470+400+1200+650</f>
        <v>22720</v>
      </c>
      <c r="H13" s="336">
        <f>20470+400+1200+650</f>
        <v>22720</v>
      </c>
      <c r="I13" s="478">
        <v>16359</v>
      </c>
      <c r="J13" s="336">
        <f>22720</f>
        <v>22720</v>
      </c>
      <c r="K13" s="135">
        <f t="shared" si="0"/>
        <v>100</v>
      </c>
    </row>
    <row r="14" spans="2:14" ht="17.100000000000001" customHeight="1">
      <c r="B14" s="14"/>
      <c r="C14" s="15"/>
      <c r="D14" s="15"/>
      <c r="E14" s="16"/>
      <c r="F14" s="15"/>
      <c r="G14" s="72"/>
      <c r="H14" s="72"/>
      <c r="I14" s="476"/>
      <c r="J14" s="72"/>
      <c r="K14" s="135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403500</v>
      </c>
      <c r="H15" s="43">
        <f>SUM(H16:H25)</f>
        <v>403500</v>
      </c>
      <c r="I15" s="475">
        <v>284798</v>
      </c>
      <c r="J15" s="43">
        <f>SUM(J16:J25)</f>
        <v>419620</v>
      </c>
      <c r="K15" s="177">
        <f t="shared" si="0"/>
        <v>103.99504337050804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72">
        <v>7000</v>
      </c>
      <c r="H16" s="72">
        <v>14000</v>
      </c>
      <c r="I16" s="476">
        <v>6964</v>
      </c>
      <c r="J16" s="72">
        <v>14000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104000</v>
      </c>
      <c r="H17" s="39">
        <v>84000</v>
      </c>
      <c r="I17" s="473">
        <v>45905</v>
      </c>
      <c r="J17" s="39">
        <v>84000</v>
      </c>
      <c r="K17" s="135">
        <f t="shared" si="0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39">
        <v>44000</v>
      </c>
      <c r="H18" s="39">
        <v>44000</v>
      </c>
      <c r="I18" s="473">
        <v>26042</v>
      </c>
      <c r="J18" s="39">
        <v>40120</v>
      </c>
      <c r="K18" s="135">
        <f t="shared" si="0"/>
        <v>91.181818181818187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39">
        <v>84000</v>
      </c>
      <c r="H19" s="39">
        <v>84000</v>
      </c>
      <c r="I19" s="473">
        <v>67516</v>
      </c>
      <c r="J19" s="39">
        <v>87000</v>
      </c>
      <c r="K19" s="135">
        <f t="shared" si="0"/>
        <v>103.57142857142858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54000</v>
      </c>
      <c r="H20" s="39">
        <v>67000</v>
      </c>
      <c r="I20" s="473">
        <v>49673</v>
      </c>
      <c r="J20" s="39">
        <v>72000</v>
      </c>
      <c r="K20" s="135">
        <f t="shared" si="0"/>
        <v>107.46268656716418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73">
        <v>0</v>
      </c>
      <c r="J21" s="39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39">
        <v>42000</v>
      </c>
      <c r="H22" s="39">
        <v>42000</v>
      </c>
      <c r="I22" s="473">
        <v>32840</v>
      </c>
      <c r="J22" s="39">
        <v>41000</v>
      </c>
      <c r="K22" s="135">
        <f t="shared" si="0"/>
        <v>97.61904761904762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39">
        <v>10500</v>
      </c>
      <c r="H23" s="39">
        <v>10500</v>
      </c>
      <c r="I23" s="473">
        <v>2461</v>
      </c>
      <c r="J23" s="39">
        <v>5500</v>
      </c>
      <c r="K23" s="135">
        <f t="shared" si="0"/>
        <v>52.380952380952387</v>
      </c>
      <c r="L23" s="71"/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58000</v>
      </c>
      <c r="H24" s="72">
        <v>58000</v>
      </c>
      <c r="I24" s="476">
        <v>53397</v>
      </c>
      <c r="J24" s="72">
        <v>76000</v>
      </c>
      <c r="K24" s="135">
        <f t="shared" si="0"/>
        <v>131.0344827586207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40">
        <v>0</v>
      </c>
      <c r="H25" s="40">
        <v>0</v>
      </c>
      <c r="I25" s="474">
        <v>0</v>
      </c>
      <c r="J25" s="40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53"/>
      <c r="F26" s="12"/>
      <c r="G26" s="39"/>
      <c r="H26" s="39"/>
      <c r="I26" s="473"/>
      <c r="J26" s="39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20000</v>
      </c>
      <c r="H27" s="20">
        <f>SUM(H28:H29)</f>
        <v>20000</v>
      </c>
      <c r="I27" s="472">
        <v>9435</v>
      </c>
      <c r="J27" s="20">
        <f>SUM(J28:J29)</f>
        <v>12500</v>
      </c>
      <c r="K27" s="177">
        <f t="shared" si="0"/>
        <v>62.5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476">
        <v>0</v>
      </c>
      <c r="J28" s="72">
        <v>0</v>
      </c>
      <c r="K28" s="135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2">
        <v>20000</v>
      </c>
      <c r="H29" s="72">
        <v>20000</v>
      </c>
      <c r="I29" s="476">
        <v>9435</v>
      </c>
      <c r="J29" s="72">
        <v>12500</v>
      </c>
      <c r="K29" s="135">
        <f t="shared" si="0"/>
        <v>62.5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472"/>
      <c r="J30" s="2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6">
        <v>16</v>
      </c>
      <c r="H31" s="96">
        <v>16</v>
      </c>
      <c r="I31" s="477">
        <v>16</v>
      </c>
      <c r="J31" s="96">
        <v>16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713780</v>
      </c>
      <c r="H32" s="20">
        <f>H7+H12+H15+H27</f>
        <v>713780</v>
      </c>
      <c r="I32" s="20">
        <f t="shared" ref="I32" si="1">I7+I12+I15+I27</f>
        <v>503610</v>
      </c>
      <c r="J32" s="20">
        <f>J7+J12+J15+J27</f>
        <v>721760</v>
      </c>
      <c r="K32" s="177">
        <f t="shared" si="0"/>
        <v>101.11799153800891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713780</v>
      </c>
      <c r="H33" s="20">
        <f>H32</f>
        <v>713780</v>
      </c>
      <c r="I33" s="20">
        <f t="shared" ref="I33" si="2">I32</f>
        <v>503610</v>
      </c>
      <c r="J33" s="20">
        <f>J32</f>
        <v>721760</v>
      </c>
      <c r="K33" s="177">
        <f>IF(H33=0,"",J33/H33*100)</f>
        <v>101.11799153800891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713780</v>
      </c>
      <c r="H34" s="20">
        <f>H33</f>
        <v>713780</v>
      </c>
      <c r="I34" s="20">
        <f t="shared" ref="I34" si="3">I33</f>
        <v>503610</v>
      </c>
      <c r="J34" s="20">
        <f>J33</f>
        <v>721760</v>
      </c>
      <c r="K34" s="177">
        <f t="shared" si="0"/>
        <v>101.11799153800891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B2:M59"/>
  <sheetViews>
    <sheetView topLeftCell="A10" zoomScaleNormal="100" workbookViewId="0">
      <selection activeCell="H14" sqref="H1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784" t="s">
        <v>128</v>
      </c>
      <c r="C2" s="784"/>
      <c r="D2" s="784"/>
      <c r="E2" s="784"/>
      <c r="F2" s="784"/>
      <c r="G2" s="784"/>
      <c r="H2" s="784"/>
      <c r="I2" s="784"/>
      <c r="J2" s="784"/>
      <c r="K2" s="128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129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4713610</v>
      </c>
      <c r="H7" s="337">
        <f>SUM(H8:H11)</f>
        <v>4713610</v>
      </c>
      <c r="I7" s="485">
        <v>3477157</v>
      </c>
      <c r="J7" s="337">
        <f>SUM(J8:J11)</f>
        <v>4707110</v>
      </c>
      <c r="K7" s="134">
        <f>IF(H7=0,"",J7/H7*100)</f>
        <v>99.862101446661896</v>
      </c>
      <c r="M7" s="81"/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3702900+9000+9970+7*4430+4*10900+111100+2250</f>
        <v>3909830</v>
      </c>
      <c r="H8" s="336">
        <f>3702900+9000+9970+7*4430+4*10900+111100+2250</f>
        <v>3909830</v>
      </c>
      <c r="I8" s="484">
        <v>2889201</v>
      </c>
      <c r="J8" s="336">
        <f>3858300+7*1200</f>
        <v>3866700</v>
      </c>
      <c r="K8" s="135">
        <f>IF(H8=0,"",J8/H8*100)</f>
        <v>98.896882984682193</v>
      </c>
      <c r="L8" s="99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762360+7*840+2*1470+8630+7*1710+4*3000</f>
        <v>803780</v>
      </c>
      <c r="H9" s="336">
        <f>762360+7*840+2*1470+8630+7*1710+4*3000</f>
        <v>803780</v>
      </c>
      <c r="I9" s="484">
        <v>587956</v>
      </c>
      <c r="J9" s="336">
        <f>784160+199*270+7*10*20+7*8*20</f>
        <v>840410</v>
      </c>
      <c r="K9" s="135">
        <f t="shared" ref="K9:K34" si="0">IF(H9=0,"",J9/H9*100)</f>
        <v>104.55721714897111</v>
      </c>
      <c r="L9" s="100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84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484"/>
      <c r="J11" s="336"/>
      <c r="K11" s="135" t="str">
        <f t="shared" si="0"/>
        <v/>
      </c>
      <c r="L11" s="100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604740</v>
      </c>
      <c r="H12" s="337">
        <f>H13</f>
        <v>604740</v>
      </c>
      <c r="I12" s="485">
        <v>451187</v>
      </c>
      <c r="J12" s="337">
        <f>J13</f>
        <v>604570</v>
      </c>
      <c r="K12" s="177">
        <f t="shared" si="0"/>
        <v>99.971888745576607</v>
      </c>
      <c r="L12" s="101"/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574340+3500+7*650+4*1200+17250+300</f>
        <v>604740</v>
      </c>
      <c r="H13" s="336">
        <f>574340+3500+7*650+4*1200+17250+300</f>
        <v>604740</v>
      </c>
      <c r="I13" s="484">
        <v>451187</v>
      </c>
      <c r="J13" s="336">
        <f>603450+7*160</f>
        <v>604570</v>
      </c>
      <c r="K13" s="135">
        <f t="shared" si="0"/>
        <v>99.971888745576607</v>
      </c>
      <c r="L13" s="99"/>
    </row>
    <row r="14" spans="2:13" ht="17.100000000000001" customHeight="1">
      <c r="B14" s="14"/>
      <c r="C14" s="15"/>
      <c r="D14" s="15"/>
      <c r="E14" s="16"/>
      <c r="F14" s="26"/>
      <c r="G14" s="72"/>
      <c r="H14" s="72"/>
      <c r="I14" s="481"/>
      <c r="J14" s="72"/>
      <c r="K14" s="135" t="str">
        <f t="shared" si="0"/>
        <v/>
      </c>
      <c r="L14" s="100"/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6">
        <f>SUM(G16:G25)</f>
        <v>772500</v>
      </c>
      <c r="H15" s="96">
        <f>SUM(H16:H25)</f>
        <v>772500</v>
      </c>
      <c r="I15" s="482">
        <v>484820</v>
      </c>
      <c r="J15" s="96">
        <f>SUM(J16:J25)</f>
        <v>772500</v>
      </c>
      <c r="K15" s="177">
        <f t="shared" si="0"/>
        <v>100</v>
      </c>
      <c r="M15" s="81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2">
        <v>14500</v>
      </c>
      <c r="H16" s="72">
        <v>14500</v>
      </c>
      <c r="I16" s="481">
        <v>6533</v>
      </c>
      <c r="J16" s="72">
        <v>12900</v>
      </c>
      <c r="K16" s="135">
        <f t="shared" si="0"/>
        <v>88.965517241379317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72">
        <v>90000</v>
      </c>
      <c r="H17" s="72">
        <v>90000</v>
      </c>
      <c r="I17" s="481">
        <v>51771</v>
      </c>
      <c r="J17" s="72">
        <v>83000</v>
      </c>
      <c r="K17" s="135">
        <f t="shared" si="0"/>
        <v>92.222222222222229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72">
        <v>92000</v>
      </c>
      <c r="H18" s="72">
        <v>92000</v>
      </c>
      <c r="I18" s="481">
        <v>57263</v>
      </c>
      <c r="J18" s="72">
        <v>85100</v>
      </c>
      <c r="K18" s="135">
        <f t="shared" si="0"/>
        <v>92.5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72">
        <v>200000</v>
      </c>
      <c r="H19" s="72">
        <v>200000</v>
      </c>
      <c r="I19" s="481">
        <v>138773</v>
      </c>
      <c r="J19" s="72">
        <v>243000</v>
      </c>
      <c r="K19" s="135">
        <f t="shared" si="0"/>
        <v>121.50000000000001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2">
        <v>100000</v>
      </c>
      <c r="H20" s="72">
        <v>100000</v>
      </c>
      <c r="I20" s="481">
        <v>78785</v>
      </c>
      <c r="J20" s="72">
        <v>100000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72">
        <v>33000</v>
      </c>
      <c r="H21" s="72">
        <v>33000</v>
      </c>
      <c r="I21" s="481">
        <v>24750</v>
      </c>
      <c r="J21" s="72">
        <v>33000</v>
      </c>
      <c r="K21" s="135">
        <f t="shared" si="0"/>
        <v>100</v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75000</v>
      </c>
      <c r="H22" s="72">
        <v>75000</v>
      </c>
      <c r="I22" s="481">
        <v>53148</v>
      </c>
      <c r="J22" s="72">
        <v>75000</v>
      </c>
      <c r="K22" s="135">
        <f t="shared" si="0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18000</v>
      </c>
      <c r="H23" s="72">
        <v>18000</v>
      </c>
      <c r="I23" s="481">
        <v>11429</v>
      </c>
      <c r="J23" s="72">
        <v>16500</v>
      </c>
      <c r="K23" s="135">
        <f t="shared" si="0"/>
        <v>91.666666666666657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150000</v>
      </c>
      <c r="H24" s="72">
        <v>150000</v>
      </c>
      <c r="I24" s="481">
        <v>62368</v>
      </c>
      <c r="J24" s="72">
        <v>124000</v>
      </c>
      <c r="K24" s="135">
        <f t="shared" si="0"/>
        <v>82.666666666666671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483">
        <v>0</v>
      </c>
      <c r="J25" s="105">
        <v>0</v>
      </c>
      <c r="K25" s="135" t="str">
        <f t="shared" si="0"/>
        <v/>
      </c>
      <c r="L25" s="80"/>
    </row>
    <row r="26" spans="2:12" s="1" customFormat="1" ht="17.100000000000001" customHeight="1">
      <c r="B26" s="17"/>
      <c r="C26" s="12"/>
      <c r="D26" s="12"/>
      <c r="E26" s="53"/>
      <c r="F26" s="12"/>
      <c r="G26" s="72"/>
      <c r="H26" s="72"/>
      <c r="I26" s="481"/>
      <c r="J26" s="72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100000</v>
      </c>
      <c r="H27" s="96">
        <f>SUM(H28:H29)</f>
        <v>100000</v>
      </c>
      <c r="I27" s="482">
        <v>37433</v>
      </c>
      <c r="J27" s="96">
        <f>SUM(J28:J29)</f>
        <v>80000</v>
      </c>
      <c r="K27" s="177">
        <f t="shared" si="0"/>
        <v>80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481">
        <v>0</v>
      </c>
      <c r="J28" s="72">
        <v>0</v>
      </c>
      <c r="K28" s="135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2">
        <v>100000</v>
      </c>
      <c r="H29" s="72">
        <v>100000</v>
      </c>
      <c r="I29" s="481">
        <v>37433</v>
      </c>
      <c r="J29" s="697">
        <v>80000</v>
      </c>
      <c r="K29" s="135">
        <f t="shared" si="0"/>
        <v>80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480"/>
      <c r="J30" s="2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6">
        <f>198+11</f>
        <v>209</v>
      </c>
      <c r="H31" s="96">
        <f>198+11</f>
        <v>209</v>
      </c>
      <c r="I31" s="482">
        <v>199</v>
      </c>
      <c r="J31" s="96">
        <f>199+7</f>
        <v>206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6190850</v>
      </c>
      <c r="H32" s="20">
        <f>H7+H12+H15+H27</f>
        <v>6190850</v>
      </c>
      <c r="I32" s="20">
        <f t="shared" ref="I32" si="1">I7+I12+I15+I27</f>
        <v>4450597</v>
      </c>
      <c r="J32" s="20">
        <f>J7+J12+J15+J27</f>
        <v>6164180</v>
      </c>
      <c r="K32" s="177">
        <f t="shared" si="0"/>
        <v>99.569202936591907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6190850</v>
      </c>
      <c r="H33" s="20">
        <f>H32</f>
        <v>6190850</v>
      </c>
      <c r="I33" s="20">
        <f t="shared" ref="I33" si="2">I32</f>
        <v>4450597</v>
      </c>
      <c r="J33" s="20">
        <f>J32</f>
        <v>6164180</v>
      </c>
      <c r="K33" s="177">
        <f>IF(H33=0,"",J33/H33*100)</f>
        <v>99.569202936591907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6190850</v>
      </c>
      <c r="H34" s="20">
        <f>H33</f>
        <v>6190850</v>
      </c>
      <c r="I34" s="20">
        <f t="shared" ref="I34" si="3">I33</f>
        <v>4450597</v>
      </c>
      <c r="J34" s="20">
        <f>J33</f>
        <v>6164180</v>
      </c>
      <c r="K34" s="177">
        <f t="shared" si="0"/>
        <v>99.569202936591907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M59"/>
  <sheetViews>
    <sheetView topLeftCell="A7" zoomScaleNormal="100" workbookViewId="0">
      <selection activeCell="O10" sqref="O1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130</v>
      </c>
      <c r="C2" s="784"/>
      <c r="D2" s="784"/>
      <c r="E2" s="784"/>
      <c r="F2" s="784"/>
      <c r="G2" s="784"/>
      <c r="H2" s="392"/>
      <c r="I2" s="392"/>
      <c r="J2" s="250"/>
      <c r="K2" s="251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131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99420</v>
      </c>
      <c r="H7" s="337">
        <f>SUM(H8:H11)</f>
        <v>99420</v>
      </c>
      <c r="I7" s="492">
        <v>56890</v>
      </c>
      <c r="J7" s="337">
        <f>SUM(J8:J11)</f>
        <v>82770</v>
      </c>
      <c r="K7" s="134">
        <f>IF(H7=0,"",J7/H7*100)</f>
        <v>83.252866626433303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64830+1000+1950+13100</f>
        <v>80880</v>
      </c>
      <c r="H8" s="339">
        <f>64830+1000+1950+13100</f>
        <v>80880</v>
      </c>
      <c r="I8" s="493">
        <v>49065</v>
      </c>
      <c r="J8" s="339">
        <f>66500+600+4060</f>
        <v>71160</v>
      </c>
      <c r="K8" s="135">
        <f>IF(H8=0,"",J8/H8*100)</f>
        <v>87.982195845697333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10210+1000+7330</f>
        <v>18540</v>
      </c>
      <c r="H9" s="339">
        <f>10210+1000+7330</f>
        <v>18540</v>
      </c>
      <c r="I9" s="493">
        <v>7825</v>
      </c>
      <c r="J9" s="339">
        <f>10800+3*270</f>
        <v>11610</v>
      </c>
      <c r="K9" s="135">
        <f t="shared" ref="K9:K34" si="0">IF(H9=0,"",J9/H9*100)</f>
        <v>62.621359223300978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91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493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8850</v>
      </c>
      <c r="H12" s="337">
        <f>H13</f>
        <v>8850</v>
      </c>
      <c r="I12" s="492">
        <v>5215</v>
      </c>
      <c r="J12" s="337">
        <f>J13</f>
        <v>7390</v>
      </c>
      <c r="K12" s="177">
        <f t="shared" si="0"/>
        <v>83.502824858757066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6890+300+210+1450</f>
        <v>8850</v>
      </c>
      <c r="H13" s="339">
        <f>6890+300+210+1450</f>
        <v>8850</v>
      </c>
      <c r="I13" s="493">
        <v>5215</v>
      </c>
      <c r="J13" s="339">
        <f>7290+100</f>
        <v>7390</v>
      </c>
      <c r="K13" s="135">
        <f t="shared" si="0"/>
        <v>83.502824858757066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87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80100</v>
      </c>
      <c r="H15" s="43">
        <f>SUM(H16:H25)</f>
        <v>80100</v>
      </c>
      <c r="I15" s="488">
        <v>60644</v>
      </c>
      <c r="J15" s="43">
        <f>SUM(J16:J25)</f>
        <v>79400</v>
      </c>
      <c r="K15" s="177">
        <f t="shared" si="0"/>
        <v>99.126092384519353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2">
        <v>3500</v>
      </c>
      <c r="H16" s="72">
        <v>3500</v>
      </c>
      <c r="I16" s="489">
        <v>2989</v>
      </c>
      <c r="J16" s="72">
        <v>3750</v>
      </c>
      <c r="K16" s="135">
        <f t="shared" si="0"/>
        <v>107.14285714285714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2">
        <v>0</v>
      </c>
      <c r="H17" s="72">
        <v>0</v>
      </c>
      <c r="I17" s="489">
        <v>0</v>
      </c>
      <c r="J17" s="72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72">
        <v>3000</v>
      </c>
      <c r="H18" s="72">
        <v>3000</v>
      </c>
      <c r="I18" s="489">
        <v>1774</v>
      </c>
      <c r="J18" s="72">
        <v>2750</v>
      </c>
      <c r="K18" s="135">
        <f t="shared" si="0"/>
        <v>91.666666666666657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2">
        <v>2200</v>
      </c>
      <c r="H19" s="72">
        <v>2200</v>
      </c>
      <c r="I19" s="489">
        <v>1412</v>
      </c>
      <c r="J19" s="72">
        <v>2000</v>
      </c>
      <c r="K19" s="135">
        <f t="shared" si="0"/>
        <v>90.909090909090907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2">
        <v>0</v>
      </c>
      <c r="H20" s="72">
        <v>0</v>
      </c>
      <c r="I20" s="489">
        <v>0</v>
      </c>
      <c r="J20" s="72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72">
        <v>0</v>
      </c>
      <c r="H21" s="72">
        <v>0</v>
      </c>
      <c r="I21" s="489">
        <v>0</v>
      </c>
      <c r="J21" s="72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2">
        <v>1400</v>
      </c>
      <c r="H22" s="72">
        <v>1400</v>
      </c>
      <c r="I22" s="489">
        <v>222</v>
      </c>
      <c r="J22" s="72">
        <v>1400</v>
      </c>
      <c r="K22" s="135">
        <f t="shared" si="0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0</v>
      </c>
      <c r="I23" s="489">
        <v>0</v>
      </c>
      <c r="J23" s="72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2">
        <v>70000</v>
      </c>
      <c r="H24" s="72">
        <v>70000</v>
      </c>
      <c r="I24" s="489">
        <v>54247</v>
      </c>
      <c r="J24" s="72">
        <v>69500</v>
      </c>
      <c r="K24" s="135">
        <f t="shared" si="0"/>
        <v>99.285714285714292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490">
        <v>0</v>
      </c>
      <c r="J25" s="151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40"/>
      <c r="H26" s="40"/>
      <c r="I26" s="487"/>
      <c r="J26" s="40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1000</v>
      </c>
      <c r="H27" s="20">
        <f>SUM(H28:H29)</f>
        <v>1000</v>
      </c>
      <c r="I27" s="486">
        <v>984</v>
      </c>
      <c r="J27" s="20">
        <f>SUM(J28:J29)</f>
        <v>990</v>
      </c>
      <c r="K27" s="177">
        <f t="shared" si="0"/>
        <v>99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487">
        <v>0</v>
      </c>
      <c r="J28" s="40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1000</v>
      </c>
      <c r="H29" s="40">
        <v>1000</v>
      </c>
      <c r="I29" s="487">
        <v>984</v>
      </c>
      <c r="J29" s="40">
        <v>990</v>
      </c>
      <c r="K29" s="135">
        <f t="shared" si="0"/>
        <v>99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87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0">
        <v>4</v>
      </c>
      <c r="H31" s="20">
        <v>4</v>
      </c>
      <c r="I31" s="486">
        <v>3</v>
      </c>
      <c r="J31" s="20">
        <v>3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189370</v>
      </c>
      <c r="H32" s="20">
        <f>H7+H12+H15+H27</f>
        <v>189370</v>
      </c>
      <c r="I32" s="20">
        <f t="shared" ref="I32" si="1">I7+I12+I15+I27</f>
        <v>123733</v>
      </c>
      <c r="J32" s="20">
        <f>J7+J12+J15+J27</f>
        <v>170550</v>
      </c>
      <c r="K32" s="177">
        <f t="shared" si="0"/>
        <v>90.061783809473511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/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O59"/>
  <sheetViews>
    <sheetView topLeftCell="A4" zoomScaleNormal="100" workbookViewId="0">
      <selection activeCell="Q22" sqref="Q2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5" s="100" customFormat="1" ht="15" customHeight="1">
      <c r="B2" s="784" t="s">
        <v>195</v>
      </c>
      <c r="C2" s="784"/>
      <c r="D2" s="784"/>
      <c r="E2" s="784"/>
      <c r="F2" s="784"/>
      <c r="G2" s="784"/>
      <c r="H2" s="392"/>
      <c r="I2" s="392"/>
      <c r="J2" s="250"/>
      <c r="K2" s="251"/>
    </row>
    <row r="3" spans="2:15" s="1" customFormat="1" ht="16.5" thickBot="1">
      <c r="E3" s="2"/>
      <c r="F3" s="785"/>
      <c r="G3" s="785"/>
      <c r="H3" s="393"/>
      <c r="I3" s="393"/>
      <c r="J3" s="159"/>
      <c r="K3" s="160"/>
    </row>
    <row r="4" spans="2:15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5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5" s="2" customFormat="1" ht="17.100000000000001" customHeight="1">
      <c r="B6" s="10" t="s">
        <v>131</v>
      </c>
      <c r="C6" s="11" t="s">
        <v>132</v>
      </c>
      <c r="D6" s="11" t="s">
        <v>124</v>
      </c>
      <c r="E6" s="9"/>
      <c r="F6" s="9"/>
      <c r="G6" s="147"/>
      <c r="H6" s="147"/>
      <c r="I6" s="147"/>
      <c r="J6" s="147"/>
      <c r="K6" s="133"/>
    </row>
    <row r="7" spans="2:15" s="1" customFormat="1" ht="17.100000000000001" customHeight="1">
      <c r="B7" s="17"/>
      <c r="C7" s="12"/>
      <c r="D7" s="12"/>
      <c r="E7" s="9">
        <v>611000</v>
      </c>
      <c r="F7" s="12" t="s">
        <v>163</v>
      </c>
      <c r="G7" s="353">
        <f>SUM(G8:G11)</f>
        <v>1132260</v>
      </c>
      <c r="H7" s="353">
        <f>SUM(H8:H11)</f>
        <v>1132260</v>
      </c>
      <c r="I7" s="499">
        <v>844075</v>
      </c>
      <c r="J7" s="353">
        <f>SUM(J8:J11)</f>
        <v>1150280</v>
      </c>
      <c r="K7" s="134">
        <f>IF(H7=0,"",J7/H7*100)</f>
        <v>101.59150725098476</v>
      </c>
    </row>
    <row r="8" spans="2:15" ht="17.100000000000001" customHeight="1">
      <c r="B8" s="14"/>
      <c r="C8" s="15"/>
      <c r="D8" s="15"/>
      <c r="E8" s="16">
        <v>611100</v>
      </c>
      <c r="F8" s="26" t="s">
        <v>204</v>
      </c>
      <c r="G8" s="355">
        <f>912320+6000+11000+17500+330</f>
        <v>947150</v>
      </c>
      <c r="H8" s="355">
        <f>912320+6000+11000+17500+330</f>
        <v>947150</v>
      </c>
      <c r="I8" s="501">
        <v>709664</v>
      </c>
      <c r="J8" s="355">
        <f>957170+2*870</f>
        <v>958910</v>
      </c>
      <c r="K8" s="135">
        <f>IF(H8=0,"",J8/H8*100)</f>
        <v>101.24161959562899</v>
      </c>
    </row>
    <row r="9" spans="2:15" ht="17.100000000000001" customHeight="1">
      <c r="B9" s="14"/>
      <c r="C9" s="15"/>
      <c r="D9" s="15"/>
      <c r="E9" s="16">
        <v>611200</v>
      </c>
      <c r="F9" s="15" t="s">
        <v>205</v>
      </c>
      <c r="G9" s="355">
        <f>170090+3000+6*1470+3200</f>
        <v>185110</v>
      </c>
      <c r="H9" s="355">
        <f>170090+3000+6*1470+3200</f>
        <v>185110</v>
      </c>
      <c r="I9" s="501">
        <v>134411</v>
      </c>
      <c r="J9" s="355">
        <f>176000+43*270+2*1430+900</f>
        <v>191370</v>
      </c>
      <c r="K9" s="135">
        <f t="shared" ref="K9:K34" si="0">IF(H9=0,"",J9/H9*100)</f>
        <v>103.38177299983793</v>
      </c>
    </row>
    <row r="10" spans="2:15" ht="17.100000000000001" customHeight="1">
      <c r="B10" s="14"/>
      <c r="C10" s="15"/>
      <c r="D10" s="15"/>
      <c r="E10" s="16">
        <v>611200</v>
      </c>
      <c r="F10" s="311" t="s">
        <v>586</v>
      </c>
      <c r="G10" s="354">
        <v>0</v>
      </c>
      <c r="H10" s="354">
        <v>0</v>
      </c>
      <c r="I10" s="500">
        <v>0</v>
      </c>
      <c r="J10" s="354">
        <v>0</v>
      </c>
      <c r="K10" s="135" t="str">
        <f t="shared" si="0"/>
        <v/>
      </c>
      <c r="M10" s="79"/>
    </row>
    <row r="11" spans="2:15" ht="17.100000000000001" customHeight="1">
      <c r="B11" s="14"/>
      <c r="C11" s="15"/>
      <c r="D11" s="15"/>
      <c r="E11" s="16"/>
      <c r="F11" s="26"/>
      <c r="G11" s="355"/>
      <c r="H11" s="355"/>
      <c r="I11" s="501"/>
      <c r="J11" s="355"/>
      <c r="K11" s="135" t="str">
        <f t="shared" si="0"/>
        <v/>
      </c>
    </row>
    <row r="12" spans="2:15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53">
        <f>G13</f>
        <v>100830</v>
      </c>
      <c r="H12" s="353">
        <f>H13</f>
        <v>100830</v>
      </c>
      <c r="I12" s="499">
        <v>76548</v>
      </c>
      <c r="J12" s="353">
        <f>J13</f>
        <v>103920</v>
      </c>
      <c r="K12" s="177">
        <f t="shared" si="0"/>
        <v>103.06456411782207</v>
      </c>
    </row>
    <row r="13" spans="2:15" ht="17.100000000000001" customHeight="1">
      <c r="B13" s="14"/>
      <c r="C13" s="15"/>
      <c r="D13" s="15"/>
      <c r="E13" s="16">
        <v>612100</v>
      </c>
      <c r="F13" s="18" t="s">
        <v>83</v>
      </c>
      <c r="G13" s="355">
        <f>97000+700+1200+1880+50</f>
        <v>100830</v>
      </c>
      <c r="H13" s="355">
        <f>97000+700+1200+1880+50</f>
        <v>100830</v>
      </c>
      <c r="I13" s="501">
        <v>76548</v>
      </c>
      <c r="J13" s="355">
        <f>103400+2*260</f>
        <v>103920</v>
      </c>
      <c r="K13" s="135">
        <f t="shared" si="0"/>
        <v>103.06456411782207</v>
      </c>
    </row>
    <row r="14" spans="2:15" ht="17.100000000000001" customHeight="1">
      <c r="B14" s="14"/>
      <c r="C14" s="15"/>
      <c r="D14" s="15"/>
      <c r="E14" s="16"/>
      <c r="F14" s="15"/>
      <c r="G14" s="40"/>
      <c r="H14" s="40"/>
      <c r="I14" s="494"/>
      <c r="J14" s="40"/>
      <c r="K14" s="135" t="str">
        <f t="shared" si="0"/>
        <v/>
      </c>
      <c r="O14" s="80"/>
    </row>
    <row r="15" spans="2:15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324500</v>
      </c>
      <c r="H15" s="43">
        <f>SUM(H16:H25)</f>
        <v>324500</v>
      </c>
      <c r="I15" s="495">
        <v>222916</v>
      </c>
      <c r="J15" s="43">
        <f>SUM(J16:J25)</f>
        <v>315900</v>
      </c>
      <c r="K15" s="177">
        <f t="shared" si="0"/>
        <v>97.349768875192595</v>
      </c>
    </row>
    <row r="16" spans="2:15" ht="17.100000000000001" customHeight="1">
      <c r="B16" s="14"/>
      <c r="C16" s="15"/>
      <c r="D16" s="15"/>
      <c r="E16" s="16">
        <v>613100</v>
      </c>
      <c r="F16" s="15" t="s">
        <v>84</v>
      </c>
      <c r="G16" s="40">
        <v>6500</v>
      </c>
      <c r="H16" s="40">
        <v>6500</v>
      </c>
      <c r="I16" s="494">
        <v>4068</v>
      </c>
      <c r="J16" s="40">
        <v>6100</v>
      </c>
      <c r="K16" s="135">
        <f t="shared" si="0"/>
        <v>93.84615384615384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17000</v>
      </c>
      <c r="H17" s="40">
        <v>17000</v>
      </c>
      <c r="I17" s="494">
        <v>11115</v>
      </c>
      <c r="J17" s="40">
        <v>16000</v>
      </c>
      <c r="K17" s="135">
        <f t="shared" si="0"/>
        <v>94.117647058823522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40">
        <v>120000</v>
      </c>
      <c r="H18" s="40">
        <v>120000</v>
      </c>
      <c r="I18" s="494">
        <v>80699</v>
      </c>
      <c r="J18" s="40">
        <v>117000</v>
      </c>
      <c r="K18" s="135">
        <f t="shared" si="0"/>
        <v>97.5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105">
        <v>35000</v>
      </c>
      <c r="H19" s="105">
        <v>35000</v>
      </c>
      <c r="I19" s="497">
        <v>24731</v>
      </c>
      <c r="J19" s="105">
        <v>35000</v>
      </c>
      <c r="K19" s="135">
        <f t="shared" si="0"/>
        <v>100</v>
      </c>
      <c r="L19" s="71"/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40">
        <v>12000</v>
      </c>
      <c r="H20" s="40">
        <v>12000</v>
      </c>
      <c r="I20" s="494">
        <v>8698</v>
      </c>
      <c r="J20" s="40">
        <v>12000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497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12000</v>
      </c>
      <c r="H22" s="105">
        <v>12000</v>
      </c>
      <c r="I22" s="497">
        <v>7518</v>
      </c>
      <c r="J22" s="105">
        <v>10800</v>
      </c>
      <c r="K22" s="135">
        <f t="shared" si="0"/>
        <v>90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4000</v>
      </c>
      <c r="H23" s="105">
        <v>4000</v>
      </c>
      <c r="I23" s="497">
        <v>1214</v>
      </c>
      <c r="J23" s="105">
        <v>3000</v>
      </c>
      <c r="K23" s="135">
        <f t="shared" si="0"/>
        <v>75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118000</v>
      </c>
      <c r="H24" s="105">
        <v>118000</v>
      </c>
      <c r="I24" s="497">
        <v>84873</v>
      </c>
      <c r="J24" s="105">
        <v>116000</v>
      </c>
      <c r="K24" s="135">
        <f t="shared" si="0"/>
        <v>98.305084745762713</v>
      </c>
      <c r="L24" s="95"/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497">
        <v>0</v>
      </c>
      <c r="J25" s="105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53"/>
      <c r="F26" s="12"/>
      <c r="G26" s="105"/>
      <c r="H26" s="105"/>
      <c r="I26" s="497"/>
      <c r="J26" s="105"/>
      <c r="K26" s="135" t="str">
        <f t="shared" si="0"/>
        <v/>
      </c>
    </row>
    <row r="27" spans="2:12" ht="17.100000000000001" customHeight="1">
      <c r="B27" s="14"/>
      <c r="C27" s="15"/>
      <c r="D27" s="15"/>
      <c r="E27" s="16"/>
      <c r="F27" s="15"/>
      <c r="G27" s="96"/>
      <c r="H27" s="96"/>
      <c r="I27" s="496"/>
      <c r="J27" s="96"/>
      <c r="K27" s="135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96">
        <f>G29+G30</f>
        <v>16000</v>
      </c>
      <c r="H28" s="96">
        <f>H29+H30</f>
        <v>16000</v>
      </c>
      <c r="I28" s="496">
        <v>4548</v>
      </c>
      <c r="J28" s="96">
        <f>J29+J30</f>
        <v>8000</v>
      </c>
      <c r="K28" s="177">
        <f t="shared" si="0"/>
        <v>50</v>
      </c>
    </row>
    <row r="29" spans="2:12" ht="17.100000000000001" customHeight="1">
      <c r="B29" s="14"/>
      <c r="C29" s="15"/>
      <c r="D29" s="15"/>
      <c r="E29" s="16">
        <v>821200</v>
      </c>
      <c r="F29" s="15" t="s">
        <v>91</v>
      </c>
      <c r="G29" s="105">
        <v>1000</v>
      </c>
      <c r="H29" s="105">
        <v>1000</v>
      </c>
      <c r="I29" s="497">
        <v>0</v>
      </c>
      <c r="J29" s="105">
        <v>0</v>
      </c>
      <c r="K29" s="135">
        <f t="shared" si="0"/>
        <v>0</v>
      </c>
    </row>
    <row r="30" spans="2:12" ht="17.100000000000001" customHeight="1">
      <c r="B30" s="14"/>
      <c r="C30" s="15"/>
      <c r="D30" s="15"/>
      <c r="E30" s="16">
        <v>821300</v>
      </c>
      <c r="F30" s="15" t="s">
        <v>92</v>
      </c>
      <c r="G30" s="105">
        <v>15000</v>
      </c>
      <c r="H30" s="105">
        <v>15000</v>
      </c>
      <c r="I30" s="497">
        <v>4548</v>
      </c>
      <c r="J30" s="714">
        <v>8000</v>
      </c>
      <c r="K30" s="135">
        <f t="shared" si="0"/>
        <v>53.333333333333336</v>
      </c>
    </row>
    <row r="31" spans="2:12" ht="17.100000000000001" customHeight="1">
      <c r="B31" s="14"/>
      <c r="C31" s="15"/>
      <c r="D31" s="15"/>
      <c r="E31" s="16"/>
      <c r="F31" s="15"/>
      <c r="G31" s="40"/>
      <c r="H31" s="40"/>
      <c r="I31" s="494"/>
      <c r="J31" s="40"/>
      <c r="K31" s="135" t="str">
        <f t="shared" si="0"/>
        <v/>
      </c>
    </row>
    <row r="32" spans="2:12" s="1" customFormat="1" ht="17.100000000000001" customHeight="1">
      <c r="B32" s="17"/>
      <c r="C32" s="12"/>
      <c r="D32" s="12"/>
      <c r="E32" s="9"/>
      <c r="F32" s="12" t="s">
        <v>93</v>
      </c>
      <c r="G32" s="118">
        <v>44</v>
      </c>
      <c r="H32" s="118">
        <v>44</v>
      </c>
      <c r="I32" s="498">
        <v>43</v>
      </c>
      <c r="J32" s="118">
        <v>43</v>
      </c>
      <c r="K32" s="135"/>
    </row>
    <row r="33" spans="2:11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1573590</v>
      </c>
      <c r="H33" s="20">
        <f>H7+H12+H15+H28</f>
        <v>1573590</v>
      </c>
      <c r="I33" s="20">
        <f t="shared" ref="I33" si="1">I7+I12+I15+I28</f>
        <v>1148087</v>
      </c>
      <c r="J33" s="20">
        <f>J7+J12+J15+J28</f>
        <v>1578100</v>
      </c>
      <c r="K33" s="177">
        <f>IF(H33=0,"",J33/H33*100)</f>
        <v>100.28660578676785</v>
      </c>
    </row>
    <row r="34" spans="2:11" s="1" customFormat="1" ht="17.100000000000001" customHeight="1">
      <c r="B34" s="17"/>
      <c r="C34" s="12"/>
      <c r="D34" s="12"/>
      <c r="E34" s="9"/>
      <c r="F34" s="12" t="s">
        <v>94</v>
      </c>
      <c r="G34" s="20">
        <f>G33</f>
        <v>1573590</v>
      </c>
      <c r="H34" s="20">
        <f>H33</f>
        <v>1573590</v>
      </c>
      <c r="I34" s="20">
        <f t="shared" ref="I34" si="2">I33</f>
        <v>1148087</v>
      </c>
      <c r="J34" s="20">
        <f>J33</f>
        <v>1578100</v>
      </c>
      <c r="K34" s="177">
        <f t="shared" si="0"/>
        <v>100.28660578676785</v>
      </c>
    </row>
    <row r="35" spans="2:11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39"/>
      <c r="K35" s="136"/>
    </row>
    <row r="36" spans="2:11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41"/>
      <c r="K36" s="138"/>
    </row>
    <row r="37" spans="2:11" ht="17.100000000000001" customHeight="1">
      <c r="K37" s="249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2:M59"/>
  <sheetViews>
    <sheetView topLeftCell="A10" zoomScaleNormal="100" workbookViewId="0">
      <selection activeCell="Q16" sqref="Q1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226</v>
      </c>
      <c r="C2" s="784"/>
      <c r="D2" s="784"/>
      <c r="E2" s="784"/>
      <c r="F2" s="784"/>
      <c r="G2" s="784"/>
      <c r="H2" s="392"/>
      <c r="I2" s="392"/>
      <c r="J2" s="250"/>
      <c r="K2" s="251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131</v>
      </c>
      <c r="C6" s="11" t="s">
        <v>133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44960</v>
      </c>
      <c r="H7" s="337">
        <f>SUM(H8:H11)</f>
        <v>44960</v>
      </c>
      <c r="I7" s="507">
        <v>25267</v>
      </c>
      <c r="J7" s="337">
        <f>SUM(J8:J11)</f>
        <v>34010</v>
      </c>
      <c r="K7" s="134">
        <f>IF(H7=0,"",J7/H7*100)</f>
        <v>75.645017793594306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27670+300+8200+830+250</f>
        <v>37250</v>
      </c>
      <c r="H8" s="339">
        <f>27670+300+8200+830+250</f>
        <v>37250</v>
      </c>
      <c r="I8" s="508">
        <v>21049</v>
      </c>
      <c r="J8" s="339">
        <f>28540</f>
        <v>28540</v>
      </c>
      <c r="K8" s="135">
        <f>IF(H8=0,"",J8/H8*100)</f>
        <v>76.617449664429529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3640+100+1470+2500</f>
        <v>7710</v>
      </c>
      <c r="H9" s="339">
        <f>3640+100+1470+2500</f>
        <v>7710</v>
      </c>
      <c r="I9" s="508">
        <v>4218</v>
      </c>
      <c r="J9" s="339">
        <f>5200+270</f>
        <v>5470</v>
      </c>
      <c r="K9" s="135">
        <f t="shared" ref="K9:K34" si="0">IF(H9=0,"",J9/H9*100)</f>
        <v>70.946822308690017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0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508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4060</v>
      </c>
      <c r="H12" s="337">
        <f>H13</f>
        <v>4060</v>
      </c>
      <c r="I12" s="507">
        <v>2231</v>
      </c>
      <c r="J12" s="337">
        <f>J13</f>
        <v>3120</v>
      </c>
      <c r="K12" s="177">
        <f t="shared" si="0"/>
        <v>76.847290640394078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2940+100+900+90+30</f>
        <v>4060</v>
      </c>
      <c r="H13" s="339">
        <f>2940+100+900+90+30</f>
        <v>4060</v>
      </c>
      <c r="I13" s="508">
        <v>2231</v>
      </c>
      <c r="J13" s="339">
        <f>3120</f>
        <v>3120</v>
      </c>
      <c r="K13" s="135">
        <f t="shared" si="0"/>
        <v>76.847290640394078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03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4200</v>
      </c>
      <c r="H15" s="43">
        <f>SUM(H16:H25)</f>
        <v>4200</v>
      </c>
      <c r="I15" s="504">
        <v>1763</v>
      </c>
      <c r="J15" s="43">
        <f>SUM(J16:J25)</f>
        <v>3800</v>
      </c>
      <c r="K15" s="135">
        <f t="shared" si="0"/>
        <v>90.476190476190482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</v>
      </c>
      <c r="H16" s="40">
        <v>500</v>
      </c>
      <c r="I16" s="503">
        <v>0</v>
      </c>
      <c r="J16" s="40">
        <v>250</v>
      </c>
      <c r="K16" s="135">
        <f t="shared" si="0"/>
        <v>50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503">
        <v>0</v>
      </c>
      <c r="J17" s="40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1000</v>
      </c>
      <c r="H18" s="40">
        <v>1000</v>
      </c>
      <c r="I18" s="503">
        <v>410</v>
      </c>
      <c r="J18" s="40">
        <v>850</v>
      </c>
      <c r="K18" s="135">
        <f t="shared" si="0"/>
        <v>85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40">
        <v>1000</v>
      </c>
      <c r="H19" s="40">
        <v>1000</v>
      </c>
      <c r="I19" s="503">
        <v>516</v>
      </c>
      <c r="J19" s="40">
        <v>1000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503">
        <v>0</v>
      </c>
      <c r="J20" s="40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503">
        <v>0</v>
      </c>
      <c r="J21" s="40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0</v>
      </c>
      <c r="H22" s="40">
        <v>0</v>
      </c>
      <c r="I22" s="503">
        <v>0</v>
      </c>
      <c r="J22" s="40">
        <v>0</v>
      </c>
      <c r="K22" s="135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40">
        <v>0</v>
      </c>
      <c r="H23" s="40">
        <v>0</v>
      </c>
      <c r="I23" s="503">
        <v>0</v>
      </c>
      <c r="J23" s="40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40">
        <v>1700</v>
      </c>
      <c r="H24" s="40">
        <v>1700</v>
      </c>
      <c r="I24" s="503">
        <v>837</v>
      </c>
      <c r="J24" s="40">
        <v>1700</v>
      </c>
      <c r="K24" s="135">
        <f t="shared" si="0"/>
        <v>100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40">
        <v>0</v>
      </c>
      <c r="H25" s="40">
        <v>0</v>
      </c>
      <c r="I25" s="503">
        <v>0</v>
      </c>
      <c r="J25" s="40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40"/>
      <c r="H26" s="40"/>
      <c r="I26" s="503"/>
      <c r="J26" s="40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3000</v>
      </c>
      <c r="H27" s="20">
        <f>SUM(H28:H29)</f>
        <v>3000</v>
      </c>
      <c r="I27" s="502">
        <v>0</v>
      </c>
      <c r="J27" s="20">
        <f>SUM(J28:J29)</f>
        <v>0</v>
      </c>
      <c r="K27" s="177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503">
        <v>0</v>
      </c>
      <c r="J28" s="40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3000</v>
      </c>
      <c r="H29" s="40">
        <v>3000</v>
      </c>
      <c r="I29" s="503">
        <v>0</v>
      </c>
      <c r="J29" s="714">
        <v>0</v>
      </c>
      <c r="K29" s="135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503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6">
        <v>2</v>
      </c>
      <c r="H31" s="96">
        <v>2</v>
      </c>
      <c r="I31" s="505">
        <v>1</v>
      </c>
      <c r="J31" s="96">
        <v>1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56220</v>
      </c>
      <c r="H32" s="20">
        <f>H7+H12+H15+H27</f>
        <v>56220</v>
      </c>
      <c r="I32" s="20">
        <f t="shared" ref="I32" si="1">I7+I12+I15+I27</f>
        <v>29261</v>
      </c>
      <c r="J32" s="20">
        <f>J7+J12+J15+J27</f>
        <v>40930</v>
      </c>
      <c r="K32" s="177">
        <f t="shared" si="0"/>
        <v>72.803272856634649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56220</v>
      </c>
      <c r="H33" s="20">
        <f>H32</f>
        <v>56220</v>
      </c>
      <c r="I33" s="20">
        <f t="shared" ref="I33" si="2">I32</f>
        <v>29261</v>
      </c>
      <c r="J33" s="20">
        <f>J32</f>
        <v>40930</v>
      </c>
      <c r="K33" s="177">
        <f>IF(H33=0,"",J33/H33*100)</f>
        <v>72.803272856634649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B2:M59"/>
  <sheetViews>
    <sheetView topLeftCell="A7" zoomScaleNormal="100" workbookViewId="0">
      <selection activeCell="Q16" sqref="Q1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225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131</v>
      </c>
      <c r="C6" s="11" t="s">
        <v>133</v>
      </c>
      <c r="D6" s="11" t="s">
        <v>117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38280</v>
      </c>
      <c r="H7" s="337">
        <f>SUM(H8:H11)</f>
        <v>38280</v>
      </c>
      <c r="I7" s="515">
        <v>13688</v>
      </c>
      <c r="J7" s="337">
        <f>SUM(J8:J11)</f>
        <v>24130</v>
      </c>
      <c r="K7" s="134">
        <f>IF(H7=0,"",J7/H7*100)</f>
        <v>63.0355276907001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12480+300+17800+380+540</f>
        <v>31500</v>
      </c>
      <c r="H8" s="339">
        <f>12480+300+17800+380+540</f>
        <v>31500</v>
      </c>
      <c r="I8" s="516">
        <v>10167</v>
      </c>
      <c r="J8" s="339">
        <f>13800+3*1510</f>
        <v>18330</v>
      </c>
      <c r="K8" s="135">
        <f>IF(H8=0,"",J8/H8*100)</f>
        <v>58.19047619047619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2710+100+1470+2500</f>
        <v>6780</v>
      </c>
      <c r="H9" s="339">
        <f>2710+100+1470+2500</f>
        <v>6780</v>
      </c>
      <c r="I9" s="516">
        <v>3521</v>
      </c>
      <c r="J9" s="339">
        <f>5260+2*270</f>
        <v>5800</v>
      </c>
      <c r="K9" s="135">
        <f t="shared" ref="K9:K34" si="0">IF(H9=0,"",J9/H9*100)</f>
        <v>85.545722713864308</v>
      </c>
    </row>
    <row r="10" spans="2:13" ht="17.100000000000001" customHeight="1">
      <c r="B10" s="14"/>
      <c r="C10" s="15"/>
      <c r="D10" s="15"/>
      <c r="E10" s="16">
        <v>611200</v>
      </c>
      <c r="F10" s="26" t="s">
        <v>676</v>
      </c>
      <c r="G10" s="336">
        <v>0</v>
      </c>
      <c r="H10" s="336">
        <v>0</v>
      </c>
      <c r="I10" s="514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516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3500</v>
      </c>
      <c r="H12" s="337">
        <f>H13</f>
        <v>3500</v>
      </c>
      <c r="I12" s="515">
        <v>1244</v>
      </c>
      <c r="J12" s="337">
        <f>J13</f>
        <v>2220</v>
      </c>
      <c r="K12" s="177">
        <f t="shared" si="0"/>
        <v>63.428571428571423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1350+100+1950+40+60</f>
        <v>3500</v>
      </c>
      <c r="H13" s="339">
        <f>1350+100+1950+40+60</f>
        <v>3500</v>
      </c>
      <c r="I13" s="516">
        <v>1244</v>
      </c>
      <c r="J13" s="339">
        <f>1650+3*190</f>
        <v>2220</v>
      </c>
      <c r="K13" s="135">
        <f t="shared" si="0"/>
        <v>63.428571428571423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10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2450</v>
      </c>
      <c r="H15" s="43">
        <f>SUM(H16:H25)</f>
        <v>2450</v>
      </c>
      <c r="I15" s="511">
        <v>693</v>
      </c>
      <c r="J15" s="43">
        <f>SUM(J16:J25)</f>
        <v>2000</v>
      </c>
      <c r="K15" s="177">
        <f t="shared" si="0"/>
        <v>81.632653061224488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</v>
      </c>
      <c r="H16" s="40">
        <v>500</v>
      </c>
      <c r="I16" s="510">
        <v>38</v>
      </c>
      <c r="J16" s="40">
        <v>250</v>
      </c>
      <c r="K16" s="135">
        <f t="shared" si="0"/>
        <v>50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510">
        <v>0</v>
      </c>
      <c r="J17" s="40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950</v>
      </c>
      <c r="H18" s="40">
        <v>950</v>
      </c>
      <c r="I18" s="510">
        <v>394</v>
      </c>
      <c r="J18" s="40">
        <v>750</v>
      </c>
      <c r="K18" s="135">
        <f t="shared" si="0"/>
        <v>78.94736842105263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40">
        <v>500</v>
      </c>
      <c r="H19" s="40">
        <v>500</v>
      </c>
      <c r="I19" s="510">
        <v>223</v>
      </c>
      <c r="J19" s="40">
        <v>500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510">
        <v>0</v>
      </c>
      <c r="J20" s="40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510">
        <v>0</v>
      </c>
      <c r="J21" s="40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0</v>
      </c>
      <c r="H22" s="40">
        <v>0</v>
      </c>
      <c r="I22" s="510">
        <v>0</v>
      </c>
      <c r="J22" s="40">
        <v>0</v>
      </c>
      <c r="K22" s="135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40">
        <v>0</v>
      </c>
      <c r="H23" s="40">
        <v>0</v>
      </c>
      <c r="I23" s="510">
        <v>0</v>
      </c>
      <c r="J23" s="40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500</v>
      </c>
      <c r="H24" s="105">
        <v>500</v>
      </c>
      <c r="I24" s="513">
        <v>38</v>
      </c>
      <c r="J24" s="105">
        <v>500</v>
      </c>
      <c r="K24" s="135">
        <f t="shared" si="0"/>
        <v>100</v>
      </c>
    </row>
    <row r="25" spans="2:11" ht="17.100000000000001" customHeight="1">
      <c r="B25" s="14"/>
      <c r="C25" s="15"/>
      <c r="D25" s="15"/>
      <c r="E25" s="16">
        <v>613900</v>
      </c>
      <c r="F25" s="26" t="s">
        <v>677</v>
      </c>
      <c r="G25" s="40">
        <v>0</v>
      </c>
      <c r="H25" s="40">
        <v>0</v>
      </c>
      <c r="I25" s="510">
        <v>0</v>
      </c>
      <c r="J25" s="40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40"/>
      <c r="H26" s="40"/>
      <c r="I26" s="510"/>
      <c r="J26" s="40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1000</v>
      </c>
      <c r="H27" s="20">
        <f>SUM(H28:H29)</f>
        <v>1000</v>
      </c>
      <c r="I27" s="509">
        <v>0</v>
      </c>
      <c r="J27" s="20">
        <f>SUM(J28:J29)</f>
        <v>1000</v>
      </c>
      <c r="K27" s="177">
        <f t="shared" si="0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510">
        <v>0</v>
      </c>
      <c r="J28" s="40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1000</v>
      </c>
      <c r="H29" s="40">
        <v>1000</v>
      </c>
      <c r="I29" s="510">
        <v>0</v>
      </c>
      <c r="J29" s="40">
        <v>1000</v>
      </c>
      <c r="K29" s="135">
        <f t="shared" si="0"/>
        <v>100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510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6">
        <v>2</v>
      </c>
      <c r="H31" s="96">
        <v>2</v>
      </c>
      <c r="I31" s="512">
        <v>1</v>
      </c>
      <c r="J31" s="96">
        <v>2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45230</v>
      </c>
      <c r="H32" s="20">
        <f>H7+H12+H15+H27</f>
        <v>45230</v>
      </c>
      <c r="I32" s="20">
        <f t="shared" ref="I32" si="1">I7+I12+I15+I27</f>
        <v>15625</v>
      </c>
      <c r="J32" s="20">
        <f>J7+J12+J15+J27</f>
        <v>29350</v>
      </c>
      <c r="K32" s="177">
        <f t="shared" si="0"/>
        <v>64.890559363254468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45230</v>
      </c>
      <c r="H33" s="20">
        <f>H32</f>
        <v>45230</v>
      </c>
      <c r="I33" s="20">
        <f t="shared" ref="I33" si="2">I32</f>
        <v>15625</v>
      </c>
      <c r="J33" s="20">
        <f>J32</f>
        <v>29350</v>
      </c>
      <c r="K33" s="177">
        <f>IF(H33=0,"",J33/H33*100)</f>
        <v>64.890559363254468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G33+'12'!G33+'11'!G34+'10'!G32</f>
        <v>1864410</v>
      </c>
      <c r="H34" s="20">
        <f>H33+'12'!H33+'11'!H34+'10'!H32</f>
        <v>1864410</v>
      </c>
      <c r="I34" s="20">
        <f>I33+'12'!I33+'11'!I34+'10'!I32</f>
        <v>1316706</v>
      </c>
      <c r="J34" s="20">
        <f>J33+'12'!J33+'11'!J34+'10'!J32</f>
        <v>1818930</v>
      </c>
      <c r="K34" s="177">
        <f t="shared" si="0"/>
        <v>97.56062239528859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B2:M59"/>
  <sheetViews>
    <sheetView topLeftCell="A7" zoomScaleNormal="100" workbookViewId="0">
      <selection activeCell="J24" sqref="J2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196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131</v>
      </c>
      <c r="C6" s="11" t="s">
        <v>197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70480</v>
      </c>
      <c r="H7" s="337">
        <f>SUM(H8:H11)</f>
        <v>70480</v>
      </c>
      <c r="I7" s="522">
        <v>49293</v>
      </c>
      <c r="J7" s="337">
        <f>SUM(J8:J11)</f>
        <v>70450</v>
      </c>
      <c r="K7" s="134">
        <f>IF(H7=0,"",J7/H7*100)</f>
        <v>99.957434733257671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51760+500+1560+7800</f>
        <v>61620</v>
      </c>
      <c r="H8" s="339">
        <f>51760+500+1560+7800</f>
        <v>61620</v>
      </c>
      <c r="I8" s="523">
        <v>44259</v>
      </c>
      <c r="J8" s="339">
        <f>61800</f>
        <v>61800</v>
      </c>
      <c r="K8" s="135">
        <f>IF(H8=0,"",J8/H8*100)</f>
        <v>100.29211295034079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5420+200+3240</f>
        <v>8860</v>
      </c>
      <c r="H9" s="339">
        <f>5420+200+3240</f>
        <v>8860</v>
      </c>
      <c r="I9" s="523">
        <v>5034</v>
      </c>
      <c r="J9" s="339">
        <f>7400+440+3*270</f>
        <v>8650</v>
      </c>
      <c r="K9" s="135">
        <f t="shared" ref="K9:K34" si="0">IF(H9=0,"",J9/H9*100)</f>
        <v>97.629796839729124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21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523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6730</v>
      </c>
      <c r="H12" s="337">
        <f>H13</f>
        <v>6730</v>
      </c>
      <c r="I12" s="522">
        <v>4696</v>
      </c>
      <c r="J12" s="337">
        <f>J13</f>
        <v>6590</v>
      </c>
      <c r="K12" s="177">
        <f t="shared" si="0"/>
        <v>97.919762258543827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5500+200+170+860</f>
        <v>6730</v>
      </c>
      <c r="H13" s="339">
        <f>5500+200+170+860</f>
        <v>6730</v>
      </c>
      <c r="I13" s="523">
        <v>4696</v>
      </c>
      <c r="J13" s="339">
        <f>6590</f>
        <v>6590</v>
      </c>
      <c r="K13" s="135">
        <f t="shared" si="0"/>
        <v>97.919762258543827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18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5600</v>
      </c>
      <c r="H15" s="43">
        <f>SUM(H16:H25)</f>
        <v>5600</v>
      </c>
      <c r="I15" s="519">
        <v>2759</v>
      </c>
      <c r="J15" s="43">
        <f>SUM(J16:J25)</f>
        <v>4600</v>
      </c>
      <c r="K15" s="177">
        <f t="shared" si="0"/>
        <v>82.142857142857139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1900</v>
      </c>
      <c r="H16" s="40">
        <v>1900</v>
      </c>
      <c r="I16" s="518">
        <v>519</v>
      </c>
      <c r="J16" s="40">
        <v>800</v>
      </c>
      <c r="K16" s="135">
        <f t="shared" si="0"/>
        <v>42.105263157894733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518">
        <v>0</v>
      </c>
      <c r="J17" s="40">
        <v>0</v>
      </c>
      <c r="K17" s="135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1500</v>
      </c>
      <c r="H18" s="40">
        <v>1500</v>
      </c>
      <c r="I18" s="518">
        <v>999</v>
      </c>
      <c r="J18" s="40">
        <v>1400</v>
      </c>
      <c r="K18" s="135">
        <f t="shared" si="0"/>
        <v>93.333333333333329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40">
        <v>1000</v>
      </c>
      <c r="H19" s="40">
        <v>1000</v>
      </c>
      <c r="I19" s="518">
        <v>890</v>
      </c>
      <c r="J19" s="40">
        <v>1200</v>
      </c>
      <c r="K19" s="135">
        <f t="shared" si="0"/>
        <v>120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518">
        <v>0</v>
      </c>
      <c r="J20" s="40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518">
        <v>0</v>
      </c>
      <c r="J21" s="40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200</v>
      </c>
      <c r="H22" s="40">
        <v>200</v>
      </c>
      <c r="I22" s="518">
        <v>0</v>
      </c>
      <c r="J22" s="40">
        <v>0</v>
      </c>
      <c r="K22" s="135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40">
        <v>0</v>
      </c>
      <c r="H23" s="40">
        <v>0</v>
      </c>
      <c r="I23" s="518">
        <v>0</v>
      </c>
      <c r="J23" s="40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1000</v>
      </c>
      <c r="H24" s="105">
        <v>1000</v>
      </c>
      <c r="I24" s="520">
        <v>351</v>
      </c>
      <c r="J24" s="105">
        <v>1200</v>
      </c>
      <c r="K24" s="135">
        <f t="shared" si="0"/>
        <v>120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520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53"/>
      <c r="F26" s="12"/>
      <c r="G26" s="40"/>
      <c r="H26" s="40"/>
      <c r="I26" s="518"/>
      <c r="J26" s="40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G28+G29</f>
        <v>1000</v>
      </c>
      <c r="H27" s="20">
        <f>H28+H29</f>
        <v>1000</v>
      </c>
      <c r="I27" s="517">
        <v>0</v>
      </c>
      <c r="J27" s="20">
        <f>J28+J29</f>
        <v>760</v>
      </c>
      <c r="K27" s="135">
        <f t="shared" si="0"/>
        <v>76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518">
        <v>0</v>
      </c>
      <c r="J28" s="40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1000</v>
      </c>
      <c r="H29" s="105">
        <v>1000</v>
      </c>
      <c r="I29" s="520">
        <v>0</v>
      </c>
      <c r="J29" s="105">
        <v>760</v>
      </c>
      <c r="K29" s="135">
        <f t="shared" si="0"/>
        <v>76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518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0">
        <v>3</v>
      </c>
      <c r="H31" s="20">
        <v>3</v>
      </c>
      <c r="I31" s="517">
        <v>3</v>
      </c>
      <c r="J31" s="20">
        <v>3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83810</v>
      </c>
      <c r="H32" s="20">
        <f>H7+H12+H15+H27</f>
        <v>83810</v>
      </c>
      <c r="I32" s="20">
        <f t="shared" ref="I32" si="1">I7+I12+I15+I27</f>
        <v>56748</v>
      </c>
      <c r="J32" s="20">
        <f>J7+J12+J15+J27</f>
        <v>82400</v>
      </c>
      <c r="K32" s="177">
        <f t="shared" si="0"/>
        <v>98.317623195322753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83810</v>
      </c>
      <c r="H33" s="20">
        <f>H32</f>
        <v>83810</v>
      </c>
      <c r="I33" s="20">
        <f t="shared" ref="I33" si="2">I32</f>
        <v>56748</v>
      </c>
      <c r="J33" s="20">
        <f>J32</f>
        <v>82400</v>
      </c>
      <c r="K33" s="177">
        <f>IF(H33=0,"",J33/H33*100)</f>
        <v>98.317623195322753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G33+'13'!G33+'12'!G33+'11'!G34+'10'!G32</f>
        <v>1948220</v>
      </c>
      <c r="H34" s="20">
        <f>H33+'13'!H33+'12'!H33+'11'!H34+'10'!H32</f>
        <v>1948220</v>
      </c>
      <c r="I34" s="20">
        <f>I33+'13'!I33+'12'!I33+'11'!I34+'10'!I32</f>
        <v>1373454</v>
      </c>
      <c r="J34" s="20">
        <f>J33+'13'!J33+'12'!J33+'11'!J34+'10'!J32</f>
        <v>1901330</v>
      </c>
      <c r="K34" s="177">
        <f t="shared" si="0"/>
        <v>97.593187627680649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Normal="100" workbookViewId="0">
      <selection activeCell="N19" sqref="N19"/>
    </sheetView>
  </sheetViews>
  <sheetFormatPr defaultRowHeight="12.75"/>
  <cols>
    <col min="1" max="1" width="4" style="49" customWidth="1"/>
    <col min="7" max="7" width="15.7109375" customWidth="1"/>
    <col min="8" max="8" width="7.42578125" customWidth="1"/>
    <col min="9" max="9" width="14.7109375" customWidth="1"/>
    <col min="10" max="10" width="9.140625" style="49"/>
  </cols>
  <sheetData>
    <row r="1" spans="1:10" ht="15.75">
      <c r="A1" s="765" t="s">
        <v>231</v>
      </c>
      <c r="B1" s="765"/>
      <c r="C1" s="765"/>
      <c r="D1" s="765"/>
      <c r="E1" s="765"/>
      <c r="F1" s="765"/>
      <c r="G1" s="765"/>
      <c r="H1" s="765"/>
      <c r="I1" s="765"/>
    </row>
    <row r="3" spans="1:10" s="61" customFormat="1">
      <c r="A3" s="116" t="s">
        <v>274</v>
      </c>
      <c r="B3" s="758" t="s">
        <v>276</v>
      </c>
      <c r="C3" s="759"/>
      <c r="D3" s="759"/>
      <c r="E3" s="759"/>
      <c r="F3" s="759"/>
      <c r="G3" s="759"/>
      <c r="H3" s="759"/>
      <c r="I3" s="760"/>
      <c r="J3" s="116" t="s">
        <v>257</v>
      </c>
    </row>
    <row r="4" spans="1:10" s="46" customFormat="1" ht="17.100000000000001" customHeight="1">
      <c r="A4" s="112" t="s">
        <v>232</v>
      </c>
      <c r="B4" s="755" t="s">
        <v>233</v>
      </c>
      <c r="C4" s="756"/>
      <c r="D4" s="756"/>
      <c r="E4" s="756"/>
      <c r="F4" s="756"/>
      <c r="G4" s="756"/>
      <c r="H4" s="756"/>
      <c r="I4" s="757"/>
      <c r="J4" s="112">
        <v>1</v>
      </c>
    </row>
    <row r="5" spans="1:10" s="46" customFormat="1" ht="17.100000000000001" customHeight="1">
      <c r="A5" s="112" t="s">
        <v>234</v>
      </c>
      <c r="B5" s="755" t="s">
        <v>235</v>
      </c>
      <c r="C5" s="756"/>
      <c r="D5" s="756"/>
      <c r="E5" s="756"/>
      <c r="F5" s="756"/>
      <c r="G5" s="756"/>
      <c r="H5" s="756"/>
      <c r="I5" s="757"/>
      <c r="J5" s="112">
        <v>2</v>
      </c>
    </row>
    <row r="6" spans="1:10" s="46" customFormat="1" ht="17.100000000000001" customHeight="1">
      <c r="A6" s="112" t="s">
        <v>236</v>
      </c>
      <c r="B6" s="755" t="s">
        <v>475</v>
      </c>
      <c r="C6" s="756"/>
      <c r="D6" s="756"/>
      <c r="E6" s="756"/>
      <c r="F6" s="756"/>
      <c r="G6" s="756"/>
      <c r="H6" s="756"/>
      <c r="I6" s="757"/>
      <c r="J6" s="112">
        <v>7</v>
      </c>
    </row>
    <row r="7" spans="1:10" s="46" customFormat="1" ht="17.100000000000001" customHeight="1">
      <c r="A7" s="112" t="s">
        <v>237</v>
      </c>
      <c r="B7" s="755" t="s">
        <v>238</v>
      </c>
      <c r="C7" s="756"/>
      <c r="D7" s="756"/>
      <c r="E7" s="756"/>
      <c r="F7" s="756"/>
      <c r="G7" s="756"/>
      <c r="H7" s="756"/>
      <c r="I7" s="757"/>
      <c r="J7" s="112">
        <v>8</v>
      </c>
    </row>
    <row r="8" spans="1:10" s="46" customFormat="1" ht="17.100000000000001" customHeight="1">
      <c r="A8" s="112" t="s">
        <v>275</v>
      </c>
      <c r="B8" s="755" t="s">
        <v>239</v>
      </c>
      <c r="C8" s="756"/>
      <c r="D8" s="756"/>
      <c r="E8" s="756"/>
      <c r="F8" s="756"/>
      <c r="G8" s="756"/>
      <c r="H8" s="756"/>
      <c r="I8" s="757"/>
      <c r="J8" s="112">
        <v>9</v>
      </c>
    </row>
    <row r="9" spans="1:10" s="46" customFormat="1" ht="17.100000000000001" customHeight="1">
      <c r="A9" s="112" t="s">
        <v>742</v>
      </c>
      <c r="B9" s="755" t="s">
        <v>240</v>
      </c>
      <c r="C9" s="756"/>
      <c r="D9" s="756"/>
      <c r="E9" s="756"/>
      <c r="F9" s="756"/>
      <c r="G9" s="756"/>
      <c r="H9" s="756"/>
      <c r="I9" s="757"/>
      <c r="J9" s="112">
        <v>10</v>
      </c>
    </row>
    <row r="10" spans="1:10" s="46" customFormat="1" ht="17.100000000000001" customHeight="1">
      <c r="A10" s="112" t="s">
        <v>743</v>
      </c>
      <c r="B10" s="755" t="s">
        <v>241</v>
      </c>
      <c r="C10" s="756"/>
      <c r="D10" s="756"/>
      <c r="E10" s="756"/>
      <c r="F10" s="756"/>
      <c r="G10" s="756"/>
      <c r="H10" s="756"/>
      <c r="I10" s="757"/>
      <c r="J10" s="112">
        <v>11</v>
      </c>
    </row>
    <row r="11" spans="1:10" s="46" customFormat="1" ht="17.100000000000001" customHeight="1">
      <c r="A11" s="112" t="s">
        <v>744</v>
      </c>
      <c r="B11" s="755" t="s">
        <v>242</v>
      </c>
      <c r="C11" s="756"/>
      <c r="D11" s="756"/>
      <c r="E11" s="756"/>
      <c r="F11" s="756"/>
      <c r="G11" s="756"/>
      <c r="H11" s="756"/>
      <c r="I11" s="757"/>
      <c r="J11" s="112">
        <v>12</v>
      </c>
    </row>
    <row r="12" spans="1:10" s="46" customFormat="1" ht="17.100000000000001" customHeight="1">
      <c r="A12" s="112" t="s">
        <v>745</v>
      </c>
      <c r="B12" s="755" t="s">
        <v>243</v>
      </c>
      <c r="C12" s="756"/>
      <c r="D12" s="756"/>
      <c r="E12" s="756"/>
      <c r="F12" s="756"/>
      <c r="G12" s="756"/>
      <c r="H12" s="756"/>
      <c r="I12" s="757"/>
      <c r="J12" s="112">
        <v>13</v>
      </c>
    </row>
    <row r="13" spans="1:10" s="46" customFormat="1" ht="17.100000000000001" customHeight="1">
      <c r="A13" s="112" t="s">
        <v>746</v>
      </c>
      <c r="B13" s="755" t="s">
        <v>673</v>
      </c>
      <c r="C13" s="763"/>
      <c r="D13" s="763"/>
      <c r="E13" s="763"/>
      <c r="F13" s="763"/>
      <c r="G13" s="763"/>
      <c r="H13" s="763"/>
      <c r="I13" s="764"/>
      <c r="J13" s="112">
        <v>14</v>
      </c>
    </row>
    <row r="14" spans="1:10" s="46" customFormat="1" ht="17.100000000000001" customHeight="1">
      <c r="A14" s="112" t="s">
        <v>747</v>
      </c>
      <c r="B14" s="755" t="s">
        <v>244</v>
      </c>
      <c r="C14" s="756"/>
      <c r="D14" s="756"/>
      <c r="E14" s="756"/>
      <c r="F14" s="756"/>
      <c r="G14" s="756"/>
      <c r="H14" s="756"/>
      <c r="I14" s="757"/>
      <c r="J14" s="112">
        <v>15</v>
      </c>
    </row>
    <row r="15" spans="1:10" s="46" customFormat="1" ht="17.100000000000001" customHeight="1">
      <c r="A15" s="112" t="s">
        <v>748</v>
      </c>
      <c r="B15" s="755" t="s">
        <v>245</v>
      </c>
      <c r="C15" s="756"/>
      <c r="D15" s="756"/>
      <c r="E15" s="756"/>
      <c r="F15" s="756"/>
      <c r="G15" s="756"/>
      <c r="H15" s="756"/>
      <c r="I15" s="757"/>
      <c r="J15" s="112">
        <v>16</v>
      </c>
    </row>
    <row r="16" spans="1:10" s="46" customFormat="1" ht="17.100000000000001" customHeight="1">
      <c r="A16" s="112" t="s">
        <v>749</v>
      </c>
      <c r="B16" s="755" t="s">
        <v>246</v>
      </c>
      <c r="C16" s="756"/>
      <c r="D16" s="756"/>
      <c r="E16" s="756"/>
      <c r="F16" s="756"/>
      <c r="G16" s="756"/>
      <c r="H16" s="756"/>
      <c r="I16" s="757"/>
      <c r="J16" s="112">
        <v>17</v>
      </c>
    </row>
    <row r="17" spans="1:10" s="46" customFormat="1" ht="17.100000000000001" customHeight="1">
      <c r="A17" s="112" t="s">
        <v>750</v>
      </c>
      <c r="B17" s="755" t="s">
        <v>247</v>
      </c>
      <c r="C17" s="756"/>
      <c r="D17" s="756"/>
      <c r="E17" s="756"/>
      <c r="F17" s="756"/>
      <c r="G17" s="756"/>
      <c r="H17" s="756"/>
      <c r="I17" s="757"/>
      <c r="J17" s="112">
        <v>18</v>
      </c>
    </row>
    <row r="18" spans="1:10" s="46" customFormat="1" ht="17.100000000000001" customHeight="1">
      <c r="A18" s="112" t="s">
        <v>751</v>
      </c>
      <c r="B18" s="755" t="s">
        <v>248</v>
      </c>
      <c r="C18" s="756"/>
      <c r="D18" s="756"/>
      <c r="E18" s="756"/>
      <c r="F18" s="756"/>
      <c r="G18" s="756"/>
      <c r="H18" s="756"/>
      <c r="I18" s="757"/>
      <c r="J18" s="112">
        <v>19</v>
      </c>
    </row>
    <row r="19" spans="1:10" s="46" customFormat="1" ht="17.100000000000001" customHeight="1">
      <c r="A19" s="112" t="s">
        <v>752</v>
      </c>
      <c r="B19" s="755" t="s">
        <v>249</v>
      </c>
      <c r="C19" s="756"/>
      <c r="D19" s="756"/>
      <c r="E19" s="756"/>
      <c r="F19" s="756"/>
      <c r="G19" s="756"/>
      <c r="H19" s="756"/>
      <c r="I19" s="757"/>
      <c r="J19" s="112">
        <v>20</v>
      </c>
    </row>
    <row r="20" spans="1:10" s="46" customFormat="1" ht="17.100000000000001" customHeight="1">
      <c r="A20" s="112" t="s">
        <v>753</v>
      </c>
      <c r="B20" s="755" t="s">
        <v>250</v>
      </c>
      <c r="C20" s="756"/>
      <c r="D20" s="756"/>
      <c r="E20" s="756"/>
      <c r="F20" s="756"/>
      <c r="G20" s="756"/>
      <c r="H20" s="756"/>
      <c r="I20" s="757"/>
      <c r="J20" s="112">
        <v>21</v>
      </c>
    </row>
    <row r="21" spans="1:10" s="46" customFormat="1" ht="17.100000000000001" customHeight="1">
      <c r="A21" s="112" t="s">
        <v>754</v>
      </c>
      <c r="B21" s="755" t="s">
        <v>251</v>
      </c>
      <c r="C21" s="756"/>
      <c r="D21" s="756"/>
      <c r="E21" s="756"/>
      <c r="F21" s="756"/>
      <c r="G21" s="756"/>
      <c r="H21" s="756"/>
      <c r="I21" s="757"/>
      <c r="J21" s="112">
        <v>22</v>
      </c>
    </row>
    <row r="22" spans="1:10" s="46" customFormat="1" ht="17.100000000000001" customHeight="1">
      <c r="A22" s="112" t="s">
        <v>755</v>
      </c>
      <c r="B22" s="755" t="s">
        <v>252</v>
      </c>
      <c r="C22" s="756"/>
      <c r="D22" s="756"/>
      <c r="E22" s="756"/>
      <c r="F22" s="756"/>
      <c r="G22" s="756"/>
      <c r="H22" s="756"/>
      <c r="I22" s="757"/>
      <c r="J22" s="112">
        <v>23</v>
      </c>
    </row>
    <row r="23" spans="1:10" s="46" customFormat="1" ht="17.100000000000001" customHeight="1">
      <c r="A23" s="112" t="s">
        <v>756</v>
      </c>
      <c r="B23" s="755" t="s">
        <v>253</v>
      </c>
      <c r="C23" s="756"/>
      <c r="D23" s="756"/>
      <c r="E23" s="756"/>
      <c r="F23" s="756"/>
      <c r="G23" s="756"/>
      <c r="H23" s="756"/>
      <c r="I23" s="757"/>
      <c r="J23" s="112">
        <v>24</v>
      </c>
    </row>
    <row r="24" spans="1:10" s="46" customFormat="1" ht="17.100000000000001" customHeight="1">
      <c r="A24" s="112" t="s">
        <v>757</v>
      </c>
      <c r="B24" s="755" t="s">
        <v>254</v>
      </c>
      <c r="C24" s="756"/>
      <c r="D24" s="756"/>
      <c r="E24" s="756"/>
      <c r="F24" s="756"/>
      <c r="G24" s="756"/>
      <c r="H24" s="756"/>
      <c r="I24" s="757"/>
      <c r="J24" s="112">
        <v>25</v>
      </c>
    </row>
    <row r="25" spans="1:10" s="46" customFormat="1" ht="17.100000000000001" customHeight="1">
      <c r="A25" s="112" t="s">
        <v>758</v>
      </c>
      <c r="B25" s="755" t="s">
        <v>255</v>
      </c>
      <c r="C25" s="756"/>
      <c r="D25" s="756"/>
      <c r="E25" s="756"/>
      <c r="F25" s="756"/>
      <c r="G25" s="756"/>
      <c r="H25" s="756"/>
      <c r="I25" s="757"/>
      <c r="J25" s="112">
        <v>26</v>
      </c>
    </row>
    <row r="26" spans="1:10" s="46" customFormat="1" ht="17.100000000000001" customHeight="1">
      <c r="A26" s="112" t="s">
        <v>759</v>
      </c>
      <c r="B26" s="755" t="s">
        <v>256</v>
      </c>
      <c r="C26" s="756"/>
      <c r="D26" s="756"/>
      <c r="E26" s="756"/>
      <c r="F26" s="756"/>
      <c r="G26" s="756"/>
      <c r="H26" s="756"/>
      <c r="I26" s="757"/>
      <c r="J26" s="112">
        <v>27</v>
      </c>
    </row>
    <row r="27" spans="1:10" s="46" customFormat="1" ht="17.100000000000001" customHeight="1">
      <c r="A27" s="112" t="s">
        <v>760</v>
      </c>
      <c r="B27" s="755" t="s">
        <v>258</v>
      </c>
      <c r="C27" s="756"/>
      <c r="D27" s="756"/>
      <c r="E27" s="756"/>
      <c r="F27" s="756"/>
      <c r="G27" s="756"/>
      <c r="H27" s="756"/>
      <c r="I27" s="757"/>
      <c r="J27" s="112">
        <v>28</v>
      </c>
    </row>
    <row r="28" spans="1:10" s="46" customFormat="1" ht="17.100000000000001" customHeight="1">
      <c r="A28" s="112" t="s">
        <v>761</v>
      </c>
      <c r="B28" s="755" t="s">
        <v>280</v>
      </c>
      <c r="C28" s="756"/>
      <c r="D28" s="756"/>
      <c r="E28" s="756"/>
      <c r="F28" s="756"/>
      <c r="G28" s="756"/>
      <c r="H28" s="756"/>
      <c r="I28" s="757"/>
      <c r="J28" s="112">
        <v>29</v>
      </c>
    </row>
    <row r="29" spans="1:10" s="46" customFormat="1" ht="17.100000000000001" customHeight="1">
      <c r="A29" s="112" t="s">
        <v>762</v>
      </c>
      <c r="B29" s="755" t="s">
        <v>281</v>
      </c>
      <c r="C29" s="756"/>
      <c r="D29" s="756"/>
      <c r="E29" s="756"/>
      <c r="F29" s="756"/>
      <c r="G29" s="756"/>
      <c r="H29" s="756"/>
      <c r="I29" s="757"/>
      <c r="J29" s="112">
        <v>30</v>
      </c>
    </row>
    <row r="30" spans="1:10" s="46" customFormat="1" ht="17.100000000000001" customHeight="1">
      <c r="A30" s="112" t="s">
        <v>763</v>
      </c>
      <c r="B30" s="755" t="s">
        <v>259</v>
      </c>
      <c r="C30" s="756"/>
      <c r="D30" s="756"/>
      <c r="E30" s="756"/>
      <c r="F30" s="756"/>
      <c r="G30" s="756"/>
      <c r="H30" s="756"/>
      <c r="I30" s="757"/>
      <c r="J30" s="112">
        <v>31</v>
      </c>
    </row>
    <row r="31" spans="1:10" s="46" customFormat="1" ht="17.100000000000001" customHeight="1">
      <c r="A31" s="112" t="s">
        <v>764</v>
      </c>
      <c r="B31" s="755" t="s">
        <v>260</v>
      </c>
      <c r="C31" s="756"/>
      <c r="D31" s="756"/>
      <c r="E31" s="756"/>
      <c r="F31" s="756"/>
      <c r="G31" s="756"/>
      <c r="H31" s="756"/>
      <c r="I31" s="757"/>
      <c r="J31" s="112">
        <v>32</v>
      </c>
    </row>
    <row r="32" spans="1:10" s="46" customFormat="1" ht="17.100000000000001" customHeight="1">
      <c r="A32" s="112" t="s">
        <v>765</v>
      </c>
      <c r="B32" s="755" t="s">
        <v>261</v>
      </c>
      <c r="C32" s="756"/>
      <c r="D32" s="756"/>
      <c r="E32" s="756"/>
      <c r="F32" s="756"/>
      <c r="G32" s="756"/>
      <c r="H32" s="756"/>
      <c r="I32" s="757"/>
      <c r="J32" s="112">
        <v>33</v>
      </c>
    </row>
    <row r="33" spans="1:10" s="46" customFormat="1" ht="17.100000000000001" customHeight="1">
      <c r="A33" s="112" t="s">
        <v>766</v>
      </c>
      <c r="B33" s="755" t="s">
        <v>262</v>
      </c>
      <c r="C33" s="756"/>
      <c r="D33" s="756"/>
      <c r="E33" s="756"/>
      <c r="F33" s="756"/>
      <c r="G33" s="756"/>
      <c r="H33" s="756"/>
      <c r="I33" s="757"/>
      <c r="J33" s="112">
        <v>34</v>
      </c>
    </row>
    <row r="34" spans="1:10" s="46" customFormat="1" ht="17.100000000000001" customHeight="1">
      <c r="A34" s="112" t="s">
        <v>767</v>
      </c>
      <c r="B34" s="755" t="s">
        <v>263</v>
      </c>
      <c r="C34" s="756"/>
      <c r="D34" s="756"/>
      <c r="E34" s="756"/>
      <c r="F34" s="756"/>
      <c r="G34" s="756"/>
      <c r="H34" s="756"/>
      <c r="I34" s="757"/>
      <c r="J34" s="112">
        <v>35</v>
      </c>
    </row>
    <row r="35" spans="1:10" s="46" customFormat="1" ht="17.100000000000001" customHeight="1">
      <c r="A35" s="112" t="s">
        <v>768</v>
      </c>
      <c r="B35" s="755" t="s">
        <v>264</v>
      </c>
      <c r="C35" s="756"/>
      <c r="D35" s="756"/>
      <c r="E35" s="756"/>
      <c r="F35" s="756"/>
      <c r="G35" s="756"/>
      <c r="H35" s="756"/>
      <c r="I35" s="757"/>
      <c r="J35" s="112">
        <v>36</v>
      </c>
    </row>
    <row r="36" spans="1:10" s="46" customFormat="1" ht="17.100000000000001" customHeight="1">
      <c r="A36" s="112" t="s">
        <v>769</v>
      </c>
      <c r="B36" s="755" t="s">
        <v>265</v>
      </c>
      <c r="C36" s="756"/>
      <c r="D36" s="756"/>
      <c r="E36" s="756"/>
      <c r="F36" s="756"/>
      <c r="G36" s="756"/>
      <c r="H36" s="756"/>
      <c r="I36" s="757"/>
      <c r="J36" s="112">
        <v>37</v>
      </c>
    </row>
    <row r="37" spans="1:10" s="46" customFormat="1" ht="17.100000000000001" customHeight="1">
      <c r="A37" s="112" t="s">
        <v>770</v>
      </c>
      <c r="B37" s="755" t="s">
        <v>266</v>
      </c>
      <c r="C37" s="756"/>
      <c r="D37" s="756"/>
      <c r="E37" s="756"/>
      <c r="F37" s="756"/>
      <c r="G37" s="756"/>
      <c r="H37" s="756"/>
      <c r="I37" s="757"/>
      <c r="J37" s="112">
        <v>38</v>
      </c>
    </row>
    <row r="38" spans="1:10" s="46" customFormat="1" ht="17.100000000000001" customHeight="1">
      <c r="A38" s="112" t="s">
        <v>771</v>
      </c>
      <c r="B38" s="755" t="s">
        <v>267</v>
      </c>
      <c r="C38" s="756"/>
      <c r="D38" s="756"/>
      <c r="E38" s="756"/>
      <c r="F38" s="756"/>
      <c r="G38" s="756"/>
      <c r="H38" s="756"/>
      <c r="I38" s="757"/>
      <c r="J38" s="112">
        <v>39</v>
      </c>
    </row>
    <row r="39" spans="1:10" s="46" customFormat="1" ht="17.100000000000001" customHeight="1">
      <c r="A39" s="112" t="s">
        <v>772</v>
      </c>
      <c r="B39" s="755" t="s">
        <v>268</v>
      </c>
      <c r="C39" s="756"/>
      <c r="D39" s="756"/>
      <c r="E39" s="756"/>
      <c r="F39" s="756"/>
      <c r="G39" s="756"/>
      <c r="H39" s="756"/>
      <c r="I39" s="757"/>
      <c r="J39" s="112">
        <v>40</v>
      </c>
    </row>
    <row r="40" spans="1:10" s="46" customFormat="1" ht="17.100000000000001" customHeight="1">
      <c r="A40" s="112" t="s">
        <v>773</v>
      </c>
      <c r="B40" s="755" t="s">
        <v>269</v>
      </c>
      <c r="C40" s="756"/>
      <c r="D40" s="756"/>
      <c r="E40" s="756"/>
      <c r="F40" s="756"/>
      <c r="G40" s="756"/>
      <c r="H40" s="756"/>
      <c r="I40" s="757"/>
      <c r="J40" s="112">
        <v>41</v>
      </c>
    </row>
    <row r="41" spans="1:10" s="46" customFormat="1" ht="17.100000000000001" customHeight="1">
      <c r="A41" s="112" t="s">
        <v>774</v>
      </c>
      <c r="B41" s="755" t="s">
        <v>270</v>
      </c>
      <c r="C41" s="756"/>
      <c r="D41" s="756"/>
      <c r="E41" s="756"/>
      <c r="F41" s="756"/>
      <c r="G41" s="756"/>
      <c r="H41" s="756"/>
      <c r="I41" s="757"/>
      <c r="J41" s="112">
        <v>42</v>
      </c>
    </row>
    <row r="42" spans="1:10" s="46" customFormat="1" ht="17.100000000000001" customHeight="1">
      <c r="A42" s="112" t="s">
        <v>775</v>
      </c>
      <c r="B42" s="755" t="s">
        <v>271</v>
      </c>
      <c r="C42" s="756"/>
      <c r="D42" s="756"/>
      <c r="E42" s="756"/>
      <c r="F42" s="756"/>
      <c r="G42" s="756"/>
      <c r="H42" s="756"/>
      <c r="I42" s="757"/>
      <c r="J42" s="112">
        <v>43</v>
      </c>
    </row>
    <row r="43" spans="1:10" s="46" customFormat="1" ht="17.100000000000001" customHeight="1">
      <c r="A43" s="112" t="s">
        <v>776</v>
      </c>
      <c r="B43" s="755" t="s">
        <v>272</v>
      </c>
      <c r="C43" s="756"/>
      <c r="D43" s="756"/>
      <c r="E43" s="756"/>
      <c r="F43" s="756"/>
      <c r="G43" s="756"/>
      <c r="H43" s="756"/>
      <c r="I43" s="757"/>
      <c r="J43" s="112">
        <v>44</v>
      </c>
    </row>
    <row r="44" spans="1:10" s="46" customFormat="1" ht="28.5" customHeight="1">
      <c r="A44" s="112" t="s">
        <v>777</v>
      </c>
      <c r="B44" s="762" t="s">
        <v>739</v>
      </c>
      <c r="C44" s="763"/>
      <c r="D44" s="763"/>
      <c r="E44" s="763"/>
      <c r="F44" s="763"/>
      <c r="G44" s="763"/>
      <c r="H44" s="763"/>
      <c r="I44" s="764"/>
      <c r="J44" s="112">
        <v>45</v>
      </c>
    </row>
    <row r="45" spans="1:10" s="46" customFormat="1" ht="17.100000000000001" customHeight="1">
      <c r="A45" s="112" t="s">
        <v>778</v>
      </c>
      <c r="B45" s="722" t="s">
        <v>740</v>
      </c>
      <c r="C45" s="723"/>
      <c r="D45" s="723"/>
      <c r="E45" s="723"/>
      <c r="F45" s="723"/>
      <c r="G45" s="723"/>
      <c r="H45" s="723"/>
      <c r="I45" s="724"/>
      <c r="J45" s="112">
        <v>46</v>
      </c>
    </row>
    <row r="46" spans="1:10" s="46" customFormat="1" ht="17.100000000000001" customHeight="1">
      <c r="A46" s="112" t="s">
        <v>779</v>
      </c>
      <c r="B46" s="722" t="s">
        <v>741</v>
      </c>
      <c r="C46" s="723"/>
      <c r="D46" s="723"/>
      <c r="E46" s="723"/>
      <c r="F46" s="723"/>
      <c r="G46" s="723"/>
      <c r="H46" s="723"/>
      <c r="I46" s="724"/>
      <c r="J46" s="112">
        <v>48</v>
      </c>
    </row>
    <row r="47" spans="1:10" s="46" customFormat="1" ht="17.100000000000001" customHeight="1">
      <c r="A47" s="112" t="s">
        <v>780</v>
      </c>
      <c r="B47" s="761" t="s">
        <v>273</v>
      </c>
      <c r="C47" s="761"/>
      <c r="D47" s="761"/>
      <c r="E47" s="761"/>
      <c r="F47" s="761"/>
      <c r="G47" s="761"/>
      <c r="H47" s="761"/>
      <c r="I47" s="761"/>
      <c r="J47" s="112">
        <v>49</v>
      </c>
    </row>
    <row r="48" spans="1:10" s="46" customFormat="1" ht="14.25">
      <c r="A48" s="114"/>
      <c r="B48" s="111"/>
      <c r="C48" s="111"/>
      <c r="D48" s="111"/>
      <c r="E48" s="111"/>
      <c r="F48" s="111"/>
      <c r="G48" s="111"/>
      <c r="H48" s="111"/>
      <c r="I48" s="111"/>
      <c r="J48" s="113"/>
    </row>
    <row r="49" spans="1:10" s="46" customFormat="1" ht="14.25">
      <c r="A49" s="115"/>
      <c r="J49" s="115"/>
    </row>
    <row r="50" spans="1:10" s="46" customFormat="1" ht="14.25">
      <c r="A50" s="115"/>
      <c r="J50" s="115"/>
    </row>
    <row r="51" spans="1:10" s="46" customFormat="1" ht="14.25">
      <c r="A51" s="115"/>
      <c r="J51" s="115"/>
    </row>
  </sheetData>
  <mergeCells count="44">
    <mergeCell ref="A1:I1"/>
    <mergeCell ref="B13:I13"/>
    <mergeCell ref="B26:I26"/>
    <mergeCell ref="B25:I25"/>
    <mergeCell ref="B24:I24"/>
    <mergeCell ref="B23:I23"/>
    <mergeCell ref="B22:I22"/>
    <mergeCell ref="B20:I20"/>
    <mergeCell ref="B19:I19"/>
    <mergeCell ref="B16:I16"/>
    <mergeCell ref="B15:I15"/>
    <mergeCell ref="B14:I14"/>
    <mergeCell ref="B12:I12"/>
    <mergeCell ref="B47:I47"/>
    <mergeCell ref="B37:I37"/>
    <mergeCell ref="B38:I38"/>
    <mergeCell ref="B39:I39"/>
    <mergeCell ref="B43:I43"/>
    <mergeCell ref="B42:I42"/>
    <mergeCell ref="B41:I41"/>
    <mergeCell ref="B44:I44"/>
    <mergeCell ref="B40:I40"/>
    <mergeCell ref="B33:I33"/>
    <mergeCell ref="B32:I32"/>
    <mergeCell ref="B21:I21"/>
    <mergeCell ref="B27:I27"/>
    <mergeCell ref="B28:I28"/>
    <mergeCell ref="B29:I29"/>
    <mergeCell ref="B35:I35"/>
    <mergeCell ref="B36:I36"/>
    <mergeCell ref="B5:I5"/>
    <mergeCell ref="B3:I3"/>
    <mergeCell ref="B31:I31"/>
    <mergeCell ref="B30:I30"/>
    <mergeCell ref="B8:I8"/>
    <mergeCell ref="B7:I7"/>
    <mergeCell ref="B6:I6"/>
    <mergeCell ref="B11:I11"/>
    <mergeCell ref="B10:I10"/>
    <mergeCell ref="B4:I4"/>
    <mergeCell ref="B9:I9"/>
    <mergeCell ref="B18:I18"/>
    <mergeCell ref="B17:I17"/>
    <mergeCell ref="B34:I34"/>
  </mergeCells>
  <phoneticPr fontId="0" type="noConversion"/>
  <pageMargins left="0.65" right="0.39" top="0.63" bottom="0.47" header="0.5" footer="0.43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M59"/>
  <sheetViews>
    <sheetView topLeftCell="A10" zoomScaleNormal="100" workbookViewId="0">
      <selection activeCell="P16" sqref="P1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177</v>
      </c>
      <c r="C2" s="784"/>
      <c r="D2" s="784"/>
      <c r="E2" s="784"/>
      <c r="F2" s="784"/>
      <c r="G2" s="784"/>
      <c r="H2" s="392"/>
      <c r="I2" s="392"/>
      <c r="J2" s="250"/>
      <c r="K2" s="251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134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192100</v>
      </c>
      <c r="H7" s="337">
        <f>SUM(H8:H10)</f>
        <v>192100</v>
      </c>
      <c r="I7" s="530">
        <v>130315</v>
      </c>
      <c r="J7" s="337">
        <f>SUM(J8:J10)</f>
        <v>177990</v>
      </c>
      <c r="K7" s="134">
        <f>IF(H7=0,"",J7/H7*100)</f>
        <v>92.654867256637161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143220+1000+11400+4300+350</f>
        <v>160270</v>
      </c>
      <c r="H8" s="339">
        <f>143220+1000+11400+4300+350</f>
        <v>160270</v>
      </c>
      <c r="I8" s="531">
        <v>109193</v>
      </c>
      <c r="J8" s="339">
        <f>147400</f>
        <v>147400</v>
      </c>
      <c r="K8" s="135">
        <f>IF(H8=0,"",J8/H8*100)</f>
        <v>91.96980096087853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27060+800+840+1470+1660</f>
        <v>31830</v>
      </c>
      <c r="H9" s="339">
        <f>27060+800+840+1470+1660</f>
        <v>31830</v>
      </c>
      <c r="I9" s="531">
        <v>21122</v>
      </c>
      <c r="J9" s="339">
        <f>28700+7*270</f>
        <v>30590</v>
      </c>
      <c r="K9" s="135">
        <f t="shared" ref="K9:K34" si="0">IF(H9=0,"",J9/H9*100)</f>
        <v>96.104304115614198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29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530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17410</v>
      </c>
      <c r="H12" s="337">
        <f>H13</f>
        <v>17410</v>
      </c>
      <c r="I12" s="530">
        <v>11959</v>
      </c>
      <c r="J12" s="337">
        <f>J13</f>
        <v>16200</v>
      </c>
      <c r="K12" s="177">
        <f t="shared" si="0"/>
        <v>93.049971280873052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15260+400+1250+460+40</f>
        <v>17410</v>
      </c>
      <c r="H13" s="339">
        <f>15260+400+1250+460+40</f>
        <v>17410</v>
      </c>
      <c r="I13" s="531">
        <v>11959</v>
      </c>
      <c r="J13" s="339">
        <f>16200</f>
        <v>16200</v>
      </c>
      <c r="K13" s="135">
        <f t="shared" si="0"/>
        <v>93.049971280873052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524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SUM(G16:G26)</f>
        <v>74600</v>
      </c>
      <c r="H15" s="43">
        <f>SUM(H16:H26)</f>
        <v>74600</v>
      </c>
      <c r="I15" s="526">
        <v>21312</v>
      </c>
      <c r="J15" s="43">
        <f>SUM(J16:J26)</f>
        <v>83450</v>
      </c>
      <c r="K15" s="177">
        <f t="shared" si="0"/>
        <v>111.86327077747988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5000</v>
      </c>
      <c r="H16" s="40">
        <v>5000</v>
      </c>
      <c r="I16" s="525">
        <v>4178</v>
      </c>
      <c r="J16" s="40">
        <v>6500</v>
      </c>
      <c r="K16" s="135">
        <f t="shared" si="0"/>
        <v>130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525">
        <v>0</v>
      </c>
      <c r="J17" s="40">
        <v>0</v>
      </c>
      <c r="K17" s="135" t="str">
        <f t="shared" si="0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206</v>
      </c>
      <c r="G18" s="40">
        <v>3500</v>
      </c>
      <c r="H18" s="40">
        <v>3350</v>
      </c>
      <c r="I18" s="525">
        <v>2171</v>
      </c>
      <c r="J18" s="40">
        <v>3350</v>
      </c>
      <c r="K18" s="135">
        <f t="shared" si="0"/>
        <v>100</v>
      </c>
    </row>
    <row r="19" spans="2:13" ht="17.100000000000001" customHeight="1">
      <c r="B19" s="14"/>
      <c r="C19" s="15"/>
      <c r="D19" s="15"/>
      <c r="E19" s="16">
        <v>613400</v>
      </c>
      <c r="F19" s="15" t="s">
        <v>165</v>
      </c>
      <c r="G19" s="40">
        <v>100</v>
      </c>
      <c r="H19" s="40">
        <v>100</v>
      </c>
      <c r="I19" s="525">
        <v>58</v>
      </c>
      <c r="J19" s="40">
        <v>100</v>
      </c>
      <c r="K19" s="135">
        <f t="shared" si="0"/>
        <v>100</v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525">
        <v>0</v>
      </c>
      <c r="J20" s="40">
        <v>0</v>
      </c>
      <c r="K20" s="135" t="str">
        <f t="shared" si="0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525">
        <v>0</v>
      </c>
      <c r="J21" s="40">
        <v>0</v>
      </c>
      <c r="K21" s="135" t="str">
        <f t="shared" si="0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40">
        <v>1000</v>
      </c>
      <c r="H22" s="40">
        <v>1150</v>
      </c>
      <c r="I22" s="525">
        <v>1133</v>
      </c>
      <c r="J22" s="40">
        <v>1500</v>
      </c>
      <c r="K22" s="135">
        <f t="shared" si="0"/>
        <v>130.43478260869566</v>
      </c>
    </row>
    <row r="23" spans="2:13" ht="17.100000000000001" customHeight="1">
      <c r="B23" s="14"/>
      <c r="C23" s="15"/>
      <c r="D23" s="15"/>
      <c r="E23" s="16">
        <v>613800</v>
      </c>
      <c r="F23" s="15" t="s">
        <v>166</v>
      </c>
      <c r="G23" s="40">
        <v>0</v>
      </c>
      <c r="H23" s="40">
        <v>0</v>
      </c>
      <c r="I23" s="525">
        <v>0</v>
      </c>
      <c r="J23" s="40">
        <v>0</v>
      </c>
      <c r="K23" s="135" t="str">
        <f t="shared" si="0"/>
        <v/>
      </c>
      <c r="M23" s="71"/>
    </row>
    <row r="24" spans="2:13" ht="17.100000000000001" customHeight="1">
      <c r="B24" s="14"/>
      <c r="C24" s="15"/>
      <c r="D24" s="15"/>
      <c r="E24" s="16">
        <v>613900</v>
      </c>
      <c r="F24" s="15" t="s">
        <v>167</v>
      </c>
      <c r="G24" s="105">
        <v>15000</v>
      </c>
      <c r="H24" s="105">
        <v>15000</v>
      </c>
      <c r="I24" s="528">
        <v>13772</v>
      </c>
      <c r="J24" s="105">
        <v>22000</v>
      </c>
      <c r="K24" s="135">
        <f t="shared" si="0"/>
        <v>146.66666666666666</v>
      </c>
      <c r="M24" s="71"/>
    </row>
    <row r="25" spans="2:13" ht="17.100000000000001" customHeight="1">
      <c r="B25" s="14"/>
      <c r="C25" s="15"/>
      <c r="D25" s="15"/>
      <c r="E25" s="16">
        <v>613900</v>
      </c>
      <c r="F25" s="311" t="s">
        <v>587</v>
      </c>
      <c r="G25" s="40">
        <v>0</v>
      </c>
      <c r="H25" s="40">
        <v>0</v>
      </c>
      <c r="I25" s="525">
        <v>0</v>
      </c>
      <c r="J25" s="40">
        <v>0</v>
      </c>
      <c r="K25" s="135" t="str">
        <f t="shared" si="0"/>
        <v/>
      </c>
    </row>
    <row r="26" spans="2:13" ht="17.100000000000001" customHeight="1">
      <c r="B26" s="14"/>
      <c r="C26" s="15"/>
      <c r="D26" s="15"/>
      <c r="E26" s="16">
        <v>613900</v>
      </c>
      <c r="F26" s="26" t="s">
        <v>605</v>
      </c>
      <c r="G26" s="40">
        <v>50000</v>
      </c>
      <c r="H26" s="40">
        <v>50000</v>
      </c>
      <c r="I26" s="525">
        <v>0</v>
      </c>
      <c r="J26" s="40">
        <v>50000</v>
      </c>
      <c r="K26" s="135">
        <f t="shared" si="0"/>
        <v>100</v>
      </c>
    </row>
    <row r="27" spans="2:13" ht="17.100000000000001" customHeight="1">
      <c r="B27" s="14"/>
      <c r="C27" s="15"/>
      <c r="D27" s="15"/>
      <c r="E27" s="16"/>
      <c r="F27" s="15"/>
      <c r="G27" s="20"/>
      <c r="H27" s="20"/>
      <c r="I27" s="524"/>
      <c r="J27" s="20"/>
      <c r="K27" s="135" t="str">
        <f t="shared" si="0"/>
        <v/>
      </c>
    </row>
    <row r="28" spans="2:13" s="1" customFormat="1" ht="17.100000000000001" customHeight="1">
      <c r="B28" s="17"/>
      <c r="C28" s="12"/>
      <c r="D28" s="12"/>
      <c r="E28" s="9">
        <v>614000</v>
      </c>
      <c r="F28" s="12" t="s">
        <v>208</v>
      </c>
      <c r="G28" s="20">
        <f>SUM(G29:G29)</f>
        <v>1300000</v>
      </c>
      <c r="H28" s="20">
        <f>SUM(H29:H29)</f>
        <v>1300000</v>
      </c>
      <c r="I28" s="524">
        <v>133070</v>
      </c>
      <c r="J28" s="20">
        <f>SUM(J29:J29)</f>
        <v>1150000</v>
      </c>
      <c r="K28" s="177">
        <f t="shared" si="0"/>
        <v>88.461538461538453</v>
      </c>
    </row>
    <row r="29" spans="2:13" s="1" customFormat="1" ht="17.100000000000001" customHeight="1">
      <c r="B29" s="17"/>
      <c r="C29" s="12"/>
      <c r="D29" s="67"/>
      <c r="E29" s="117">
        <v>614500</v>
      </c>
      <c r="F29" s="103" t="s">
        <v>711</v>
      </c>
      <c r="G29" s="105">
        <v>1300000</v>
      </c>
      <c r="H29" s="105">
        <v>1300000</v>
      </c>
      <c r="I29" s="528">
        <v>133070</v>
      </c>
      <c r="J29" s="714">
        <v>1150000</v>
      </c>
      <c r="K29" s="135">
        <f t="shared" si="0"/>
        <v>88.461538461538453</v>
      </c>
    </row>
    <row r="30" spans="2:13" ht="17.100000000000001" customHeight="1">
      <c r="B30" s="14"/>
      <c r="C30" s="15"/>
      <c r="D30" s="15"/>
      <c r="E30" s="16"/>
      <c r="F30" s="26"/>
      <c r="G30" s="105"/>
      <c r="H30" s="105"/>
      <c r="I30" s="528"/>
      <c r="J30" s="105"/>
      <c r="K30" s="135" t="str">
        <f t="shared" si="0"/>
        <v/>
      </c>
    </row>
    <row r="31" spans="2:13" ht="17.100000000000001" customHeight="1">
      <c r="B31" s="17"/>
      <c r="C31" s="12"/>
      <c r="D31" s="12"/>
      <c r="E31" s="9">
        <v>821000</v>
      </c>
      <c r="F31" s="12" t="s">
        <v>90</v>
      </c>
      <c r="G31" s="96">
        <f>SUM(G32:G33)</f>
        <v>1000</v>
      </c>
      <c r="H31" s="96">
        <f>SUM(H32:H33)</f>
        <v>1000</v>
      </c>
      <c r="I31" s="527">
        <v>410</v>
      </c>
      <c r="J31" s="96">
        <f>SUM(J32:J33)</f>
        <v>1000</v>
      </c>
      <c r="K31" s="177">
        <f t="shared" si="0"/>
        <v>100</v>
      </c>
    </row>
    <row r="32" spans="2:13" ht="17.100000000000001" customHeight="1">
      <c r="B32" s="14"/>
      <c r="C32" s="15"/>
      <c r="D32" s="15"/>
      <c r="E32" s="16">
        <v>821200</v>
      </c>
      <c r="F32" s="15" t="s">
        <v>91</v>
      </c>
      <c r="G32" s="105">
        <v>0</v>
      </c>
      <c r="H32" s="105">
        <v>0</v>
      </c>
      <c r="I32" s="528">
        <v>0</v>
      </c>
      <c r="J32" s="105">
        <v>0</v>
      </c>
      <c r="K32" s="135" t="str">
        <f t="shared" si="0"/>
        <v/>
      </c>
    </row>
    <row r="33" spans="2:11" ht="17.100000000000001" customHeight="1">
      <c r="B33" s="14"/>
      <c r="C33" s="15"/>
      <c r="D33" s="15"/>
      <c r="E33" s="16">
        <v>821300</v>
      </c>
      <c r="F33" s="15" t="s">
        <v>92</v>
      </c>
      <c r="G33" s="105">
        <v>1000</v>
      </c>
      <c r="H33" s="105">
        <v>1000</v>
      </c>
      <c r="I33" s="528">
        <v>410</v>
      </c>
      <c r="J33" s="105">
        <v>1000</v>
      </c>
      <c r="K33" s="135">
        <f>IF(H33=0,"",J33/H33*100)</f>
        <v>100</v>
      </c>
    </row>
    <row r="34" spans="2:11" ht="17.100000000000001" customHeight="1">
      <c r="B34" s="14"/>
      <c r="C34" s="15"/>
      <c r="D34" s="15"/>
      <c r="E34" s="16"/>
      <c r="F34" s="15"/>
      <c r="G34" s="40"/>
      <c r="H34" s="40"/>
      <c r="I34" s="525"/>
      <c r="J34" s="40"/>
      <c r="K34" s="135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96">
        <v>8</v>
      </c>
      <c r="H35" s="96">
        <v>8</v>
      </c>
      <c r="I35" s="527">
        <v>7</v>
      </c>
      <c r="J35" s="96">
        <v>8</v>
      </c>
      <c r="K35" s="135"/>
    </row>
    <row r="36" spans="2:11" ht="17.100000000000001" customHeight="1">
      <c r="B36" s="17"/>
      <c r="C36" s="12"/>
      <c r="D36" s="12"/>
      <c r="E36" s="9"/>
      <c r="F36" s="12" t="s">
        <v>113</v>
      </c>
      <c r="G36" s="20">
        <f>G7+G12+G15+G28+G31</f>
        <v>1585110</v>
      </c>
      <c r="H36" s="20">
        <f>H7+H12+H15+H28+H31</f>
        <v>1585110</v>
      </c>
      <c r="I36" s="20">
        <f t="shared" ref="I36" si="1">I7+I12+I15+I28+I31</f>
        <v>297066</v>
      </c>
      <c r="J36" s="20">
        <f>J7+J12+J15+J28+J31</f>
        <v>1428640</v>
      </c>
      <c r="K36" s="134">
        <f>IF(H36=0,"",J36/H36*100)</f>
        <v>90.12876078000896</v>
      </c>
    </row>
    <row r="37" spans="2:11" ht="17.100000000000001" customHeight="1">
      <c r="B37" s="17"/>
      <c r="C37" s="12"/>
      <c r="D37" s="12"/>
      <c r="E37" s="9"/>
      <c r="F37" s="12" t="s">
        <v>94</v>
      </c>
      <c r="G37" s="20">
        <f>G36</f>
        <v>1585110</v>
      </c>
      <c r="H37" s="20">
        <f>H36</f>
        <v>1585110</v>
      </c>
      <c r="I37" s="20">
        <f t="shared" ref="I37" si="2">I36</f>
        <v>297066</v>
      </c>
      <c r="J37" s="20">
        <f>J36</f>
        <v>1428640</v>
      </c>
      <c r="K37" s="134">
        <f t="shared" ref="K37:K38" si="3">IF(H37=0,"",J37/H37*100)</f>
        <v>90.12876078000896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1585110</v>
      </c>
      <c r="H38" s="20">
        <f>H37</f>
        <v>1585110</v>
      </c>
      <c r="I38" s="20">
        <f t="shared" ref="I38" si="4">I37</f>
        <v>297066</v>
      </c>
      <c r="J38" s="20">
        <f>J37</f>
        <v>1428640</v>
      </c>
      <c r="K38" s="134">
        <f t="shared" si="3"/>
        <v>90.12876078000896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41"/>
      <c r="H39" s="41"/>
      <c r="I39" s="41"/>
      <c r="J39" s="41"/>
      <c r="K39" s="138"/>
    </row>
    <row r="40" spans="2:11" s="1" customFormat="1" ht="17.100000000000001" customHeight="1">
      <c r="B40" s="13"/>
      <c r="C40" s="13"/>
      <c r="D40" s="13"/>
      <c r="E40" s="24"/>
      <c r="F40" s="71"/>
      <c r="G40" s="80"/>
      <c r="H40" s="80"/>
      <c r="I40" s="80"/>
      <c r="J40" s="80"/>
      <c r="K40" s="124"/>
    </row>
    <row r="41" spans="2:11" s="1" customFormat="1" ht="17.100000000000001" customHeight="1">
      <c r="B41" s="71"/>
      <c r="C41" s="13"/>
      <c r="D41" s="13"/>
      <c r="E41" s="24"/>
      <c r="F41" s="13"/>
      <c r="G41" s="80"/>
      <c r="H41" s="80"/>
      <c r="I41" s="80"/>
      <c r="J41" s="80"/>
      <c r="K41" s="124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M59"/>
  <sheetViews>
    <sheetView topLeftCell="A22" zoomScaleNormal="100" workbookViewId="0">
      <selection activeCell="O40" sqref="O4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136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135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2" customFormat="1" ht="17.100000000000001" customHeight="1">
      <c r="B7" s="10"/>
      <c r="C7" s="11"/>
      <c r="D7" s="11"/>
      <c r="E7" s="9">
        <v>600000</v>
      </c>
      <c r="F7" s="27" t="s">
        <v>120</v>
      </c>
      <c r="G7" s="25">
        <f>G8</f>
        <v>15000</v>
      </c>
      <c r="H7" s="25">
        <f>H8</f>
        <v>15000</v>
      </c>
      <c r="I7" s="533">
        <v>8200</v>
      </c>
      <c r="J7" s="25">
        <f>J8</f>
        <v>15000</v>
      </c>
      <c r="K7" s="134">
        <f>IF(H7=0,"",J7/H7*100)</f>
        <v>100</v>
      </c>
    </row>
    <row r="8" spans="2:13" s="2" customFormat="1" ht="17.100000000000001" customHeight="1">
      <c r="B8" s="10"/>
      <c r="C8" s="11"/>
      <c r="D8" s="11"/>
      <c r="E8" s="50">
        <v>600000</v>
      </c>
      <c r="F8" s="51" t="s">
        <v>109</v>
      </c>
      <c r="G8" s="72">
        <v>15000</v>
      </c>
      <c r="H8" s="72">
        <v>15000</v>
      </c>
      <c r="I8" s="536">
        <v>8200</v>
      </c>
      <c r="J8" s="72">
        <v>15000</v>
      </c>
      <c r="K8" s="135">
        <f>IF(H8=0,"",J8/H8*100)</f>
        <v>100</v>
      </c>
    </row>
    <row r="9" spans="2:13" s="2" customFormat="1" ht="17.100000000000001" customHeight="1">
      <c r="B9" s="10"/>
      <c r="C9" s="11"/>
      <c r="D9" s="11"/>
      <c r="E9" s="9"/>
      <c r="F9" s="9"/>
      <c r="G9" s="72"/>
      <c r="H9" s="72"/>
      <c r="I9" s="536"/>
      <c r="J9" s="72"/>
      <c r="K9" s="135" t="str">
        <f t="shared" ref="K9:K32" si="0">IF(H9=0,"",J9/H9*100)</f>
        <v/>
      </c>
    </row>
    <row r="10" spans="2:13" s="1" customFormat="1" ht="17.100000000000001" customHeight="1">
      <c r="B10" s="17"/>
      <c r="C10" s="12"/>
      <c r="D10" s="12"/>
      <c r="E10" s="9">
        <v>611000</v>
      </c>
      <c r="F10" s="12" t="s">
        <v>163</v>
      </c>
      <c r="G10" s="337">
        <f>SUM(G11:G13)</f>
        <v>386910</v>
      </c>
      <c r="H10" s="337">
        <f>SUM(H11:H13)</f>
        <v>386910</v>
      </c>
      <c r="I10" s="542">
        <v>266921</v>
      </c>
      <c r="J10" s="337">
        <f>SUM(J11:J13)</f>
        <v>368650</v>
      </c>
      <c r="K10" s="177">
        <f t="shared" si="0"/>
        <v>95.280556201700648</v>
      </c>
    </row>
    <row r="11" spans="2:13" ht="17.100000000000001" customHeight="1">
      <c r="B11" s="14"/>
      <c r="C11" s="15"/>
      <c r="D11" s="15"/>
      <c r="E11" s="16">
        <v>611100</v>
      </c>
      <c r="F11" s="26" t="s">
        <v>204</v>
      </c>
      <c r="G11" s="339">
        <f>306460+2000+9200</f>
        <v>317660</v>
      </c>
      <c r="H11" s="339">
        <f>306460+2000+9200</f>
        <v>317660</v>
      </c>
      <c r="I11" s="543">
        <v>216906</v>
      </c>
      <c r="J11" s="339">
        <f>298100</f>
        <v>298100</v>
      </c>
      <c r="K11" s="135">
        <f t="shared" si="0"/>
        <v>93.842473084429884</v>
      </c>
    </row>
    <row r="12" spans="2:13" ht="17.100000000000001" customHeight="1">
      <c r="B12" s="14"/>
      <c r="C12" s="15"/>
      <c r="D12" s="15"/>
      <c r="E12" s="16">
        <v>611200</v>
      </c>
      <c r="F12" s="15" t="s">
        <v>205</v>
      </c>
      <c r="G12" s="336">
        <f>62550+2000+4700</f>
        <v>69250</v>
      </c>
      <c r="H12" s="336">
        <f>62550+2000+4700</f>
        <v>69250</v>
      </c>
      <c r="I12" s="541">
        <v>50015</v>
      </c>
      <c r="J12" s="336">
        <f>65900+600+15*270</f>
        <v>70550</v>
      </c>
      <c r="K12" s="135">
        <f t="shared" si="0"/>
        <v>101.87725631768953</v>
      </c>
    </row>
    <row r="13" spans="2:13" ht="17.100000000000001" customHeight="1">
      <c r="B13" s="14"/>
      <c r="C13" s="15"/>
      <c r="D13" s="15"/>
      <c r="E13" s="16">
        <v>611200</v>
      </c>
      <c r="F13" s="311" t="s">
        <v>586</v>
      </c>
      <c r="G13" s="336">
        <v>0</v>
      </c>
      <c r="H13" s="336">
        <v>0</v>
      </c>
      <c r="I13" s="541">
        <v>0</v>
      </c>
      <c r="J13" s="336">
        <v>0</v>
      </c>
      <c r="K13" s="135" t="str">
        <f t="shared" si="0"/>
        <v/>
      </c>
      <c r="M13" s="79"/>
    </row>
    <row r="14" spans="2:13" ht="17.100000000000001" customHeight="1">
      <c r="B14" s="14"/>
      <c r="C14" s="15"/>
      <c r="D14" s="15"/>
      <c r="E14" s="16"/>
      <c r="F14" s="26"/>
      <c r="G14" s="336"/>
      <c r="H14" s="336"/>
      <c r="I14" s="541"/>
      <c r="J14" s="336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612000</v>
      </c>
      <c r="F15" s="12" t="s">
        <v>162</v>
      </c>
      <c r="G15" s="337">
        <f>G16+G17</f>
        <v>34240</v>
      </c>
      <c r="H15" s="337">
        <f>H16+H17</f>
        <v>34240</v>
      </c>
      <c r="I15" s="542">
        <v>23436</v>
      </c>
      <c r="J15" s="337">
        <f>J16+J17</f>
        <v>32800</v>
      </c>
      <c r="K15" s="177">
        <f t="shared" si="0"/>
        <v>95.794392523364493</v>
      </c>
    </row>
    <row r="16" spans="2:13" ht="17.100000000000001" customHeight="1">
      <c r="B16" s="14"/>
      <c r="C16" s="15"/>
      <c r="D16" s="15"/>
      <c r="E16" s="16">
        <v>612100</v>
      </c>
      <c r="F16" s="18" t="s">
        <v>83</v>
      </c>
      <c r="G16" s="336">
        <f>32660+600+980</f>
        <v>34240</v>
      </c>
      <c r="H16" s="336">
        <f>32660+600+980</f>
        <v>34240</v>
      </c>
      <c r="I16" s="541">
        <v>23436</v>
      </c>
      <c r="J16" s="336">
        <f>32800</f>
        <v>32800</v>
      </c>
      <c r="K16" s="135">
        <f t="shared" si="0"/>
        <v>95.794392523364493</v>
      </c>
    </row>
    <row r="17" spans="2:13" ht="17.100000000000001" customHeight="1">
      <c r="B17" s="14"/>
      <c r="C17" s="15"/>
      <c r="D17" s="15"/>
      <c r="E17" s="16"/>
      <c r="F17" s="15"/>
      <c r="G17" s="39"/>
      <c r="H17" s="39"/>
      <c r="I17" s="534"/>
      <c r="J17" s="39"/>
      <c r="K17" s="135" t="str">
        <f t="shared" si="0"/>
        <v/>
      </c>
    </row>
    <row r="18" spans="2:13" s="1" customFormat="1" ht="17.100000000000001" customHeight="1">
      <c r="B18" s="17"/>
      <c r="C18" s="12"/>
      <c r="D18" s="12"/>
      <c r="E18" s="9">
        <v>613000</v>
      </c>
      <c r="F18" s="12" t="s">
        <v>164</v>
      </c>
      <c r="G18" s="43">
        <f>SUM(G19:G29)</f>
        <v>139000</v>
      </c>
      <c r="H18" s="43">
        <f>SUM(H19:H29)</f>
        <v>139000</v>
      </c>
      <c r="I18" s="535">
        <v>71316</v>
      </c>
      <c r="J18" s="43">
        <f>SUM(J19:J29)</f>
        <v>111360</v>
      </c>
      <c r="K18" s="177">
        <f t="shared" si="0"/>
        <v>80.115107913669064</v>
      </c>
    </row>
    <row r="19" spans="2:13" ht="17.100000000000001" customHeight="1">
      <c r="B19" s="14"/>
      <c r="C19" s="15"/>
      <c r="D19" s="15"/>
      <c r="E19" s="16">
        <v>613100</v>
      </c>
      <c r="F19" s="15" t="s">
        <v>84</v>
      </c>
      <c r="G19" s="39">
        <v>5500</v>
      </c>
      <c r="H19" s="39">
        <v>5500</v>
      </c>
      <c r="I19" s="534">
        <v>2533</v>
      </c>
      <c r="J19" s="39">
        <v>4740</v>
      </c>
      <c r="K19" s="135">
        <f t="shared" si="0"/>
        <v>86.181818181818187</v>
      </c>
    </row>
    <row r="20" spans="2:13" ht="17.100000000000001" customHeight="1">
      <c r="B20" s="14"/>
      <c r="C20" s="15"/>
      <c r="D20" s="15"/>
      <c r="E20" s="16">
        <v>613200</v>
      </c>
      <c r="F20" s="15" t="s">
        <v>85</v>
      </c>
      <c r="G20" s="39">
        <v>0</v>
      </c>
      <c r="H20" s="39">
        <v>0</v>
      </c>
      <c r="I20" s="534">
        <v>0</v>
      </c>
      <c r="J20" s="39">
        <v>0</v>
      </c>
      <c r="K20" s="135" t="str">
        <f t="shared" si="0"/>
        <v/>
      </c>
    </row>
    <row r="21" spans="2:13" ht="17.100000000000001" customHeight="1">
      <c r="B21" s="14"/>
      <c r="C21" s="15"/>
      <c r="D21" s="15"/>
      <c r="E21" s="16">
        <v>613300</v>
      </c>
      <c r="F21" s="26" t="s">
        <v>206</v>
      </c>
      <c r="G21" s="39">
        <v>7000</v>
      </c>
      <c r="H21" s="39">
        <v>7000</v>
      </c>
      <c r="I21" s="534">
        <v>5365</v>
      </c>
      <c r="J21" s="736">
        <v>7530</v>
      </c>
      <c r="K21" s="135">
        <f t="shared" si="0"/>
        <v>107.57142857142856</v>
      </c>
    </row>
    <row r="22" spans="2:13" ht="17.100000000000001" customHeight="1">
      <c r="B22" s="14"/>
      <c r="C22" s="15"/>
      <c r="D22" s="15"/>
      <c r="E22" s="16">
        <v>613400</v>
      </c>
      <c r="F22" s="15" t="s">
        <v>165</v>
      </c>
      <c r="G22" s="39">
        <v>3000</v>
      </c>
      <c r="H22" s="39">
        <v>3000</v>
      </c>
      <c r="I22" s="534">
        <v>2469</v>
      </c>
      <c r="J22" s="39">
        <f>2470+150+300</f>
        <v>2920</v>
      </c>
      <c r="K22" s="135">
        <f t="shared" si="0"/>
        <v>97.333333333333343</v>
      </c>
    </row>
    <row r="23" spans="2:13" ht="17.100000000000001" customHeight="1">
      <c r="B23" s="14"/>
      <c r="C23" s="15"/>
      <c r="D23" s="15"/>
      <c r="E23" s="16">
        <v>613500</v>
      </c>
      <c r="F23" s="15" t="s">
        <v>86</v>
      </c>
      <c r="G23" s="72">
        <v>0</v>
      </c>
      <c r="H23" s="72">
        <v>0</v>
      </c>
      <c r="I23" s="536">
        <v>0</v>
      </c>
      <c r="J23" s="72">
        <v>0</v>
      </c>
      <c r="K23" s="135" t="str">
        <f t="shared" si="0"/>
        <v/>
      </c>
    </row>
    <row r="24" spans="2:13" ht="17.100000000000001" customHeight="1">
      <c r="B24" s="14"/>
      <c r="C24" s="15"/>
      <c r="D24" s="15"/>
      <c r="E24" s="16">
        <v>613600</v>
      </c>
      <c r="F24" s="26" t="s">
        <v>207</v>
      </c>
      <c r="G24" s="72">
        <v>0</v>
      </c>
      <c r="H24" s="72">
        <v>0</v>
      </c>
      <c r="I24" s="536">
        <v>0</v>
      </c>
      <c r="J24" s="72">
        <v>0</v>
      </c>
      <c r="K24" s="135" t="str">
        <f t="shared" si="0"/>
        <v/>
      </c>
    </row>
    <row r="25" spans="2:13" ht="17.100000000000001" customHeight="1">
      <c r="B25" s="14"/>
      <c r="C25" s="15"/>
      <c r="D25" s="15"/>
      <c r="E25" s="16">
        <v>613700</v>
      </c>
      <c r="F25" s="15" t="s">
        <v>87</v>
      </c>
      <c r="G25" s="105">
        <v>1500</v>
      </c>
      <c r="H25" s="105">
        <v>1500</v>
      </c>
      <c r="I25" s="538">
        <v>1131</v>
      </c>
      <c r="J25" s="603">
        <v>1700</v>
      </c>
      <c r="K25" s="135">
        <f t="shared" si="0"/>
        <v>113.33333333333333</v>
      </c>
    </row>
    <row r="26" spans="2:13" ht="17.100000000000001" customHeight="1">
      <c r="B26" s="14"/>
      <c r="C26" s="15"/>
      <c r="D26" s="15"/>
      <c r="E26" s="16">
        <v>613800</v>
      </c>
      <c r="F26" s="15" t="s">
        <v>166</v>
      </c>
      <c r="G26" s="72">
        <v>7200</v>
      </c>
      <c r="H26" s="72">
        <v>7200</v>
      </c>
      <c r="I26" s="536">
        <v>4083</v>
      </c>
      <c r="J26" s="72">
        <f>4310+2*730</f>
        <v>5770</v>
      </c>
      <c r="K26" s="135">
        <f t="shared" si="0"/>
        <v>80.138888888888886</v>
      </c>
    </row>
    <row r="27" spans="2:13" ht="17.100000000000001" customHeight="1">
      <c r="B27" s="14"/>
      <c r="C27" s="15"/>
      <c r="D27" s="15"/>
      <c r="E27" s="16">
        <v>613900</v>
      </c>
      <c r="F27" s="15" t="s">
        <v>167</v>
      </c>
      <c r="G27" s="148">
        <v>34800</v>
      </c>
      <c r="H27" s="148">
        <v>34800</v>
      </c>
      <c r="I27" s="539">
        <v>13713</v>
      </c>
      <c r="J27" s="148">
        <v>23200</v>
      </c>
      <c r="K27" s="135">
        <f t="shared" si="0"/>
        <v>66.666666666666657</v>
      </c>
    </row>
    <row r="28" spans="2:13" ht="17.100000000000001" customHeight="1">
      <c r="B28" s="14"/>
      <c r="C28" s="15"/>
      <c r="D28" s="15"/>
      <c r="E28" s="57">
        <v>613900</v>
      </c>
      <c r="F28" s="26" t="s">
        <v>590</v>
      </c>
      <c r="G28" s="72">
        <v>80000</v>
      </c>
      <c r="H28" s="72">
        <v>80000</v>
      </c>
      <c r="I28" s="536">
        <v>42022</v>
      </c>
      <c r="J28" s="72">
        <f>42000+3*4600+6000+3700</f>
        <v>65500</v>
      </c>
      <c r="K28" s="135">
        <f t="shared" si="0"/>
        <v>81.875</v>
      </c>
    </row>
    <row r="29" spans="2:13" ht="17.100000000000001" customHeight="1">
      <c r="B29" s="14"/>
      <c r="C29" s="15"/>
      <c r="D29" s="15"/>
      <c r="E29" s="16">
        <v>613900</v>
      </c>
      <c r="F29" s="311" t="s">
        <v>587</v>
      </c>
      <c r="G29" s="72">
        <v>0</v>
      </c>
      <c r="H29" s="72">
        <v>0</v>
      </c>
      <c r="I29" s="536">
        <v>0</v>
      </c>
      <c r="J29" s="72">
        <v>0</v>
      </c>
      <c r="K29" s="135" t="str">
        <f t="shared" si="0"/>
        <v/>
      </c>
    </row>
    <row r="30" spans="2:13" ht="17.100000000000001" customHeight="1">
      <c r="B30" s="14"/>
      <c r="C30" s="15"/>
      <c r="D30" s="15"/>
      <c r="E30" s="57"/>
      <c r="F30" s="15"/>
      <c r="G30" s="72"/>
      <c r="H30" s="72"/>
      <c r="I30" s="536"/>
      <c r="J30" s="72"/>
      <c r="K30" s="135" t="str">
        <f t="shared" si="0"/>
        <v/>
      </c>
    </row>
    <row r="31" spans="2:13" s="1" customFormat="1" ht="17.100000000000001" customHeight="1">
      <c r="B31" s="17"/>
      <c r="C31" s="12"/>
      <c r="D31" s="31"/>
      <c r="E31" s="9">
        <v>614000</v>
      </c>
      <c r="F31" s="12" t="s">
        <v>208</v>
      </c>
      <c r="G31" s="96">
        <f>SUM(G32:G34)</f>
        <v>461000</v>
      </c>
      <c r="H31" s="96">
        <f>SUM(H32:H34)</f>
        <v>546000</v>
      </c>
      <c r="I31" s="537">
        <v>529522</v>
      </c>
      <c r="J31" s="96">
        <f>SUM(J32:J34)</f>
        <v>587500</v>
      </c>
      <c r="K31" s="177">
        <f t="shared" si="0"/>
        <v>107.6007326007326</v>
      </c>
    </row>
    <row r="32" spans="2:13" ht="17.100000000000001" customHeight="1">
      <c r="B32" s="14"/>
      <c r="C32" s="15"/>
      <c r="D32" s="30"/>
      <c r="E32" s="16">
        <v>614100</v>
      </c>
      <c r="F32" s="52" t="s">
        <v>285</v>
      </c>
      <c r="G32" s="72">
        <v>350000</v>
      </c>
      <c r="H32" s="72">
        <v>435000</v>
      </c>
      <c r="I32" s="536">
        <v>435000</v>
      </c>
      <c r="J32" s="72">
        <v>435000</v>
      </c>
      <c r="K32" s="135">
        <f t="shared" si="0"/>
        <v>100</v>
      </c>
      <c r="L32" s="95"/>
      <c r="M32" s="71"/>
    </row>
    <row r="33" spans="2:12" ht="17.100000000000001" customHeight="1">
      <c r="B33" s="14"/>
      <c r="C33" s="15"/>
      <c r="D33" s="30"/>
      <c r="E33" s="55">
        <v>614800</v>
      </c>
      <c r="F33" s="52" t="s">
        <v>111</v>
      </c>
      <c r="G33" s="72">
        <v>51000</v>
      </c>
      <c r="H33" s="72">
        <v>51000</v>
      </c>
      <c r="I33" s="536">
        <v>51000</v>
      </c>
      <c r="J33" s="697">
        <f>51000+17000+21000+18000+500</f>
        <v>107500</v>
      </c>
      <c r="K33" s="135">
        <f>IF(H33=0,"",J33/H33*100)</f>
        <v>210.78431372549019</v>
      </c>
      <c r="L33" s="71"/>
    </row>
    <row r="34" spans="2:12" ht="27.75" customHeight="1">
      <c r="B34" s="14"/>
      <c r="C34" s="15"/>
      <c r="D34" s="30"/>
      <c r="E34" s="55">
        <v>614800</v>
      </c>
      <c r="F34" s="397" t="s">
        <v>655</v>
      </c>
      <c r="G34" s="72">
        <v>60000</v>
      </c>
      <c r="H34" s="72">
        <v>60000</v>
      </c>
      <c r="I34" s="536">
        <v>43522</v>
      </c>
      <c r="J34" s="697">
        <v>45000</v>
      </c>
      <c r="K34" s="135">
        <f t="shared" ref="K34:K51" si="1">IF(H34=0,"",J34/H34*100)</f>
        <v>75</v>
      </c>
      <c r="L34" s="71"/>
    </row>
    <row r="35" spans="2:12" ht="17.100000000000001" customHeight="1">
      <c r="B35" s="14"/>
      <c r="C35" s="15"/>
      <c r="D35" s="30"/>
      <c r="E35" s="93"/>
      <c r="F35" s="52"/>
      <c r="G35" s="72"/>
      <c r="H35" s="72"/>
      <c r="I35" s="536"/>
      <c r="J35" s="72"/>
      <c r="K35" s="135" t="str">
        <f t="shared" si="1"/>
        <v/>
      </c>
    </row>
    <row r="36" spans="2:12" ht="17.100000000000001" customHeight="1">
      <c r="B36" s="14"/>
      <c r="C36" s="15"/>
      <c r="D36" s="15"/>
      <c r="E36" s="87">
        <v>616000</v>
      </c>
      <c r="F36" s="32" t="s">
        <v>211</v>
      </c>
      <c r="G36" s="149">
        <f>SUM(G37:G38)</f>
        <v>65500</v>
      </c>
      <c r="H36" s="149">
        <f>SUM(H37:H38)</f>
        <v>65500</v>
      </c>
      <c r="I36" s="540">
        <v>47192</v>
      </c>
      <c r="J36" s="149">
        <f>SUM(J37:J38)</f>
        <v>55420</v>
      </c>
      <c r="K36" s="177">
        <f t="shared" si="1"/>
        <v>84.610687022900763</v>
      </c>
    </row>
    <row r="37" spans="2:12" ht="17.100000000000001" customHeight="1">
      <c r="B37" s="14"/>
      <c r="C37" s="15"/>
      <c r="D37" s="15"/>
      <c r="E37" s="68">
        <v>616300</v>
      </c>
      <c r="F37" s="59" t="s">
        <v>216</v>
      </c>
      <c r="G37" s="72">
        <v>24000</v>
      </c>
      <c r="H37" s="72">
        <v>24000</v>
      </c>
      <c r="I37" s="536">
        <v>21708</v>
      </c>
      <c r="J37" s="72">
        <v>21710</v>
      </c>
      <c r="K37" s="135">
        <f t="shared" si="1"/>
        <v>90.458333333333329</v>
      </c>
    </row>
    <row r="38" spans="2:12" ht="17.100000000000001" customHeight="1">
      <c r="B38" s="14"/>
      <c r="C38" s="15"/>
      <c r="D38" s="15"/>
      <c r="E38" s="68">
        <v>616300</v>
      </c>
      <c r="F38" s="59" t="s">
        <v>220</v>
      </c>
      <c r="G38" s="72">
        <v>41500</v>
      </c>
      <c r="H38" s="72">
        <v>41500</v>
      </c>
      <c r="I38" s="536">
        <v>25484</v>
      </c>
      <c r="J38" s="72">
        <v>33710</v>
      </c>
      <c r="K38" s="135">
        <f t="shared" si="1"/>
        <v>81.228915662650607</v>
      </c>
    </row>
    <row r="39" spans="2:12" ht="17.100000000000001" customHeight="1">
      <c r="B39" s="14"/>
      <c r="C39" s="15"/>
      <c r="D39" s="15"/>
      <c r="E39" s="16"/>
      <c r="F39" s="15"/>
      <c r="G39" s="96"/>
      <c r="H39" s="96"/>
      <c r="I39" s="537"/>
      <c r="J39" s="96"/>
      <c r="K39" s="135" t="str">
        <f t="shared" si="1"/>
        <v/>
      </c>
    </row>
    <row r="40" spans="2:12" ht="17.100000000000001" customHeight="1">
      <c r="B40" s="17"/>
      <c r="C40" s="12"/>
      <c r="D40" s="12"/>
      <c r="E40" s="9">
        <v>821000</v>
      </c>
      <c r="F40" s="12" t="s">
        <v>90</v>
      </c>
      <c r="G40" s="96">
        <f>SUM(G41:G42)</f>
        <v>3000</v>
      </c>
      <c r="H40" s="96">
        <f>SUM(H41:H42)</f>
        <v>3000</v>
      </c>
      <c r="I40" s="537">
        <v>576</v>
      </c>
      <c r="J40" s="96">
        <f>SUM(J41:J42)</f>
        <v>3000</v>
      </c>
      <c r="K40" s="177">
        <f t="shared" si="1"/>
        <v>100</v>
      </c>
    </row>
    <row r="41" spans="2:12" ht="17.100000000000001" customHeight="1">
      <c r="B41" s="14"/>
      <c r="C41" s="15"/>
      <c r="D41" s="15"/>
      <c r="E41" s="16">
        <v>821200</v>
      </c>
      <c r="F41" s="15" t="s">
        <v>91</v>
      </c>
      <c r="G41" s="105">
        <v>0</v>
      </c>
      <c r="H41" s="105">
        <v>0</v>
      </c>
      <c r="I41" s="538">
        <v>0</v>
      </c>
      <c r="J41" s="105">
        <v>0</v>
      </c>
      <c r="K41" s="135" t="str">
        <f t="shared" si="1"/>
        <v/>
      </c>
    </row>
    <row r="42" spans="2:12" s="1" customFormat="1" ht="17.100000000000001" customHeight="1">
      <c r="B42" s="14"/>
      <c r="C42" s="15"/>
      <c r="D42" s="15"/>
      <c r="E42" s="16">
        <v>821300</v>
      </c>
      <c r="F42" s="15" t="s">
        <v>92</v>
      </c>
      <c r="G42" s="105">
        <v>3000</v>
      </c>
      <c r="H42" s="105">
        <v>3000</v>
      </c>
      <c r="I42" s="538">
        <v>576</v>
      </c>
      <c r="J42" s="105">
        <v>3000</v>
      </c>
      <c r="K42" s="135">
        <f t="shared" si="1"/>
        <v>100</v>
      </c>
    </row>
    <row r="43" spans="2:12" ht="17.100000000000001" customHeight="1">
      <c r="B43" s="14"/>
      <c r="C43" s="15"/>
      <c r="D43" s="15"/>
      <c r="E43" s="16"/>
      <c r="F43" s="15"/>
      <c r="G43" s="72"/>
      <c r="H43" s="72"/>
      <c r="I43" s="536"/>
      <c r="J43" s="72"/>
      <c r="K43" s="135" t="str">
        <f t="shared" si="1"/>
        <v/>
      </c>
    </row>
    <row r="44" spans="2:12" ht="17.100000000000001" customHeight="1">
      <c r="B44" s="17"/>
      <c r="C44" s="12"/>
      <c r="D44" s="12"/>
      <c r="E44" s="9">
        <v>823000</v>
      </c>
      <c r="F44" s="12" t="s">
        <v>217</v>
      </c>
      <c r="G44" s="96">
        <f>SUM(G45:G46)</f>
        <v>525500</v>
      </c>
      <c r="H44" s="96">
        <f>SUM(H45:H46)</f>
        <v>525500</v>
      </c>
      <c r="I44" s="537">
        <v>516694</v>
      </c>
      <c r="J44" s="96">
        <f>SUM(J45:J46)</f>
        <v>516710</v>
      </c>
      <c r="K44" s="177">
        <f t="shared" si="1"/>
        <v>98.32730732635585</v>
      </c>
    </row>
    <row r="45" spans="2:12" ht="17.100000000000001" customHeight="1">
      <c r="B45" s="14"/>
      <c r="C45" s="15"/>
      <c r="D45" s="15"/>
      <c r="E45" s="16">
        <v>823300</v>
      </c>
      <c r="F45" s="26" t="s">
        <v>661</v>
      </c>
      <c r="G45" s="105">
        <v>95000</v>
      </c>
      <c r="H45" s="105">
        <v>95000</v>
      </c>
      <c r="I45" s="538">
        <v>86411</v>
      </c>
      <c r="J45" s="105">
        <v>86420</v>
      </c>
      <c r="K45" s="135">
        <f t="shared" si="1"/>
        <v>90.96842105263157</v>
      </c>
    </row>
    <row r="46" spans="2:12" ht="17.100000000000001" customHeight="1">
      <c r="B46" s="14"/>
      <c r="C46" s="15"/>
      <c r="D46" s="15"/>
      <c r="E46" s="16">
        <v>823300</v>
      </c>
      <c r="F46" s="26" t="s">
        <v>660</v>
      </c>
      <c r="G46" s="105">
        <v>430500</v>
      </c>
      <c r="H46" s="105">
        <v>430500</v>
      </c>
      <c r="I46" s="538">
        <v>430283</v>
      </c>
      <c r="J46" s="105">
        <v>430290</v>
      </c>
      <c r="K46" s="135">
        <f t="shared" si="1"/>
        <v>99.951219512195124</v>
      </c>
    </row>
    <row r="47" spans="2:12" ht="17.100000000000001" customHeight="1">
      <c r="B47" s="14"/>
      <c r="C47" s="15"/>
      <c r="D47" s="15"/>
      <c r="E47" s="16"/>
      <c r="F47" s="15"/>
      <c r="G47" s="15"/>
      <c r="H47" s="15"/>
      <c r="I47" s="532"/>
      <c r="J47" s="15"/>
      <c r="K47" s="135" t="str">
        <f t="shared" si="1"/>
        <v/>
      </c>
    </row>
    <row r="48" spans="2:12" ht="17.100000000000001" customHeight="1">
      <c r="B48" s="17"/>
      <c r="C48" s="12"/>
      <c r="D48" s="12"/>
      <c r="E48" s="9"/>
      <c r="F48" s="12" t="s">
        <v>93</v>
      </c>
      <c r="G48" s="342">
        <v>15</v>
      </c>
      <c r="H48" s="342">
        <v>15</v>
      </c>
      <c r="I48" s="544">
        <v>15</v>
      </c>
      <c r="J48" s="342">
        <v>15</v>
      </c>
      <c r="K48" s="135"/>
    </row>
    <row r="49" spans="2:13" ht="17.100000000000001" customHeight="1">
      <c r="B49" s="17"/>
      <c r="C49" s="12"/>
      <c r="D49" s="12"/>
      <c r="E49" s="9"/>
      <c r="F49" s="12" t="s">
        <v>113</v>
      </c>
      <c r="G49" s="20">
        <f>G7+G10+G15+G18+G31+G36+G40+G44</f>
        <v>1630150</v>
      </c>
      <c r="H49" s="20">
        <f>H7+H10+H15+H18+H31+H36+H40+H44</f>
        <v>1715150</v>
      </c>
      <c r="I49" s="20">
        <f>I7+I10+I15+I18+I31+I36+I40+I44</f>
        <v>1463857</v>
      </c>
      <c r="J49" s="20">
        <f>J7+J10+J15+J18+J31+J36+J40+J44</f>
        <v>1690440</v>
      </c>
      <c r="K49" s="177">
        <f>IF(H49=0,"",J49/H49*100)</f>
        <v>98.559309681368973</v>
      </c>
      <c r="M49" s="80"/>
    </row>
    <row r="50" spans="2:13" s="1" customFormat="1" ht="17.100000000000001" customHeight="1">
      <c r="B50" s="17"/>
      <c r="C50" s="12"/>
      <c r="D50" s="12"/>
      <c r="E50" s="9"/>
      <c r="F50" s="12" t="s">
        <v>94</v>
      </c>
      <c r="G50" s="20">
        <f>G49</f>
        <v>1630150</v>
      </c>
      <c r="H50" s="20">
        <f>H49</f>
        <v>1715150</v>
      </c>
      <c r="I50" s="20">
        <f t="shared" ref="I50" si="2">I49</f>
        <v>1463857</v>
      </c>
      <c r="J50" s="20">
        <f>J49</f>
        <v>1690440</v>
      </c>
      <c r="K50" s="177">
        <f t="shared" si="1"/>
        <v>98.559309681368973</v>
      </c>
    </row>
    <row r="51" spans="2:13" s="1" customFormat="1" ht="17.100000000000001" customHeight="1">
      <c r="B51" s="17"/>
      <c r="C51" s="12"/>
      <c r="D51" s="12"/>
      <c r="E51" s="9"/>
      <c r="F51" s="12" t="s">
        <v>95</v>
      </c>
      <c r="G51" s="20">
        <f>G50</f>
        <v>1630150</v>
      </c>
      <c r="H51" s="20">
        <f>H50</f>
        <v>1715150</v>
      </c>
      <c r="I51" s="20">
        <f t="shared" ref="I51" si="3">I50</f>
        <v>1463857</v>
      </c>
      <c r="J51" s="20">
        <f>J50</f>
        <v>1690440</v>
      </c>
      <c r="K51" s="177">
        <f t="shared" si="1"/>
        <v>98.559309681368973</v>
      </c>
    </row>
    <row r="52" spans="2:13" s="1" customFormat="1" ht="17.100000000000001" customHeight="1" thickBot="1">
      <c r="B52" s="21"/>
      <c r="C52" s="22"/>
      <c r="D52" s="22"/>
      <c r="E52" s="23"/>
      <c r="F52" s="22"/>
      <c r="G52" s="22"/>
      <c r="H52" s="22"/>
      <c r="I52" s="22"/>
      <c r="J52" s="22"/>
      <c r="K52" s="138"/>
    </row>
    <row r="53" spans="2:13" s="1" customFormat="1" ht="17.100000000000001" customHeight="1">
      <c r="B53" s="13"/>
      <c r="C53" s="13"/>
      <c r="D53" s="13"/>
      <c r="E53" s="24"/>
      <c r="F53" s="13"/>
      <c r="G53" s="13"/>
      <c r="H53" s="13"/>
      <c r="I53" s="13"/>
      <c r="J53" s="13"/>
      <c r="K53" s="124"/>
    </row>
    <row r="54" spans="2:13" ht="17.100000000000001" customHeight="1"/>
    <row r="55" spans="2:13" ht="17.100000000000001" customHeight="1"/>
    <row r="56" spans="2:13" ht="17.100000000000001" customHeight="1"/>
    <row r="57" spans="2:13" ht="17.100000000000001" customHeight="1"/>
    <row r="58" spans="2:13" ht="17.100000000000001" customHeight="1"/>
    <row r="59" spans="2:13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&amp;R23</oddFooter>
  </headerFooter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M59"/>
  <sheetViews>
    <sheetView topLeftCell="A10" zoomScaleNormal="100" zoomScaleSheetLayoutView="130" workbookViewId="0">
      <selection activeCell="O14" sqref="O1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137</v>
      </c>
      <c r="C2" s="784"/>
      <c r="D2" s="784"/>
      <c r="E2" s="784"/>
      <c r="F2" s="784"/>
      <c r="G2" s="784"/>
      <c r="H2" s="784"/>
      <c r="I2" s="784"/>
      <c r="J2" s="784"/>
      <c r="K2" s="128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138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234390</v>
      </c>
      <c r="H7" s="337">
        <f>SUM(H8:H11)</f>
        <v>234390</v>
      </c>
      <c r="I7" s="551">
        <v>152024</v>
      </c>
      <c r="J7" s="337">
        <f>SUM(J8:J11)</f>
        <v>213630</v>
      </c>
      <c r="K7" s="134">
        <f>IF(H7=0,"",J7/H7*100)</f>
        <v>91.142966850121582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175080+1200+15000+5260+450</f>
        <v>196990</v>
      </c>
      <c r="H8" s="336">
        <f>175080+1200+15000+5260+450</f>
        <v>196990</v>
      </c>
      <c r="I8" s="550">
        <v>129514</v>
      </c>
      <c r="J8" s="336">
        <f>180000</f>
        <v>180000</v>
      </c>
      <c r="K8" s="135">
        <f>IF(H8=0,"",J8/H8*100)</f>
        <v>91.375196710492929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34400+0+3000</f>
        <v>37400</v>
      </c>
      <c r="H9" s="336">
        <f>34400+0+3000</f>
        <v>37400</v>
      </c>
      <c r="I9" s="550">
        <v>22510</v>
      </c>
      <c r="J9" s="336">
        <f>31200+9*270</f>
        <v>33630</v>
      </c>
      <c r="K9" s="135">
        <f t="shared" ref="K9:K38" si="0">IF(H9=0,"",J9/H9*100)</f>
        <v>89.919786096256686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50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550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21380</v>
      </c>
      <c r="H12" s="337">
        <f>H13</f>
        <v>21380</v>
      </c>
      <c r="I12" s="551">
        <v>14767</v>
      </c>
      <c r="J12" s="337">
        <f>J13</f>
        <v>20400</v>
      </c>
      <c r="K12" s="177">
        <f t="shared" si="0"/>
        <v>95.41627689429373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18620+500+1650+560+50</f>
        <v>21380</v>
      </c>
      <c r="H13" s="336">
        <f>18620+500+1650+560+50</f>
        <v>21380</v>
      </c>
      <c r="I13" s="550">
        <v>14767</v>
      </c>
      <c r="J13" s="336">
        <f>20400</f>
        <v>20400</v>
      </c>
      <c r="K13" s="135">
        <f t="shared" si="0"/>
        <v>95.41627689429373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545"/>
      <c r="J14" s="39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85110</v>
      </c>
      <c r="H15" s="43">
        <f>SUM(H16:H25)</f>
        <v>85110</v>
      </c>
      <c r="I15" s="546">
        <v>57899</v>
      </c>
      <c r="J15" s="43">
        <f>SUM(J16:J25)</f>
        <v>80360</v>
      </c>
      <c r="K15" s="177">
        <f t="shared" si="0"/>
        <v>94.418987193044288</v>
      </c>
      <c r="M15" s="81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3510</v>
      </c>
      <c r="H16" s="39">
        <v>3510</v>
      </c>
      <c r="I16" s="545">
        <v>3018</v>
      </c>
      <c r="J16" s="39">
        <v>3810</v>
      </c>
      <c r="K16" s="135">
        <f t="shared" si="0"/>
        <v>108.54700854700855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545">
        <v>0</v>
      </c>
      <c r="J17" s="39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39">
        <v>15000</v>
      </c>
      <c r="H18" s="39">
        <v>15000</v>
      </c>
      <c r="I18" s="545">
        <v>11746</v>
      </c>
      <c r="J18" s="39">
        <v>15950</v>
      </c>
      <c r="K18" s="135">
        <f t="shared" si="0"/>
        <v>106.33333333333333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72">
        <v>600</v>
      </c>
      <c r="H19" s="72">
        <v>600</v>
      </c>
      <c r="I19" s="547">
        <v>27</v>
      </c>
      <c r="J19" s="72">
        <v>300</v>
      </c>
      <c r="K19" s="135">
        <f t="shared" si="0"/>
        <v>50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2">
        <v>0</v>
      </c>
      <c r="H20" s="72">
        <v>0</v>
      </c>
      <c r="I20" s="547">
        <v>0</v>
      </c>
      <c r="J20" s="72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72">
        <v>0</v>
      </c>
      <c r="H21" s="72">
        <v>0</v>
      </c>
      <c r="I21" s="547">
        <v>0</v>
      </c>
      <c r="J21" s="72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1000</v>
      </c>
      <c r="H22" s="72">
        <v>1000</v>
      </c>
      <c r="I22" s="547">
        <v>43</v>
      </c>
      <c r="J22" s="72">
        <v>300</v>
      </c>
      <c r="K22" s="135">
        <f t="shared" si="0"/>
        <v>30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0</v>
      </c>
      <c r="I23" s="547">
        <v>0</v>
      </c>
      <c r="J23" s="72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65000</v>
      </c>
      <c r="H24" s="105">
        <v>65000</v>
      </c>
      <c r="I24" s="549">
        <v>43065</v>
      </c>
      <c r="J24" s="105">
        <v>60000</v>
      </c>
      <c r="K24" s="135">
        <f t="shared" si="0"/>
        <v>92.307692307692307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72">
        <v>0</v>
      </c>
      <c r="H25" s="72">
        <v>0</v>
      </c>
      <c r="I25" s="547">
        <v>0</v>
      </c>
      <c r="J25" s="72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96"/>
      <c r="H26" s="96"/>
      <c r="I26" s="548"/>
      <c r="J26" s="96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208</v>
      </c>
      <c r="G27" s="96">
        <f>SUM(G28:G29)</f>
        <v>4080000</v>
      </c>
      <c r="H27" s="96">
        <f>SUM(H28:H29)</f>
        <v>4080000</v>
      </c>
      <c r="I27" s="548">
        <v>2776502</v>
      </c>
      <c r="J27" s="96">
        <f>SUM(J28:J29)</f>
        <v>4080000</v>
      </c>
      <c r="K27" s="177">
        <f t="shared" si="0"/>
        <v>100</v>
      </c>
    </row>
    <row r="28" spans="2:12" ht="26.25" customHeight="1">
      <c r="B28" s="14"/>
      <c r="C28" s="15"/>
      <c r="D28" s="30"/>
      <c r="E28" s="16">
        <v>614100</v>
      </c>
      <c r="F28" s="398" t="s">
        <v>656</v>
      </c>
      <c r="G28" s="105">
        <v>650000</v>
      </c>
      <c r="H28" s="105">
        <v>650000</v>
      </c>
      <c r="I28" s="549">
        <v>486000</v>
      </c>
      <c r="J28" s="714">
        <v>550000</v>
      </c>
      <c r="K28" s="135">
        <f t="shared" si="0"/>
        <v>84.615384615384613</v>
      </c>
    </row>
    <row r="29" spans="2:12" ht="17.100000000000001" customHeight="1">
      <c r="B29" s="14"/>
      <c r="C29" s="15"/>
      <c r="D29" s="15"/>
      <c r="E29" s="16">
        <v>614200</v>
      </c>
      <c r="F29" s="26" t="s">
        <v>105</v>
      </c>
      <c r="G29" s="105">
        <v>3430000</v>
      </c>
      <c r="H29" s="105">
        <v>3430000</v>
      </c>
      <c r="I29" s="549">
        <v>2290502</v>
      </c>
      <c r="J29" s="714">
        <v>3530000</v>
      </c>
      <c r="K29" s="135">
        <f t="shared" si="0"/>
        <v>102.91545189504374</v>
      </c>
    </row>
    <row r="30" spans="2:12" ht="17.100000000000001" customHeight="1">
      <c r="B30" s="14"/>
      <c r="C30" s="15"/>
      <c r="D30" s="15"/>
      <c r="E30" s="16"/>
      <c r="F30" s="15"/>
      <c r="G30" s="72"/>
      <c r="H30" s="72"/>
      <c r="I30" s="547"/>
      <c r="J30" s="72"/>
      <c r="K30" s="135" t="str">
        <f t="shared" si="0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90</v>
      </c>
      <c r="G31" s="96">
        <f>G32+G33</f>
        <v>1500</v>
      </c>
      <c r="H31" s="96">
        <f>H32+H33</f>
        <v>1500</v>
      </c>
      <c r="I31" s="548">
        <v>666</v>
      </c>
      <c r="J31" s="96">
        <f>J32+J33</f>
        <v>1500</v>
      </c>
      <c r="K31" s="177">
        <f t="shared" si="0"/>
        <v>100</v>
      </c>
    </row>
    <row r="32" spans="2:12" s="1" customFormat="1" ht="17.100000000000001" customHeight="1">
      <c r="B32" s="14"/>
      <c r="C32" s="15"/>
      <c r="D32" s="15"/>
      <c r="E32" s="16">
        <v>821200</v>
      </c>
      <c r="F32" s="15" t="s">
        <v>91</v>
      </c>
      <c r="G32" s="72">
        <v>0</v>
      </c>
      <c r="H32" s="72">
        <v>0</v>
      </c>
      <c r="I32" s="547">
        <v>0</v>
      </c>
      <c r="J32" s="72">
        <v>0</v>
      </c>
      <c r="K32" s="135" t="str">
        <f t="shared" si="0"/>
        <v/>
      </c>
      <c r="L32" s="1" t="s">
        <v>175</v>
      </c>
    </row>
    <row r="33" spans="2:11" ht="17.100000000000001" customHeight="1">
      <c r="B33" s="14"/>
      <c r="C33" s="15"/>
      <c r="D33" s="15"/>
      <c r="E33" s="16">
        <v>821300</v>
      </c>
      <c r="F33" s="15" t="s">
        <v>92</v>
      </c>
      <c r="G33" s="72">
        <v>1500</v>
      </c>
      <c r="H33" s="72">
        <v>1500</v>
      </c>
      <c r="I33" s="547">
        <v>666</v>
      </c>
      <c r="J33" s="72">
        <v>1500</v>
      </c>
      <c r="K33" s="135">
        <f t="shared" si="0"/>
        <v>100</v>
      </c>
    </row>
    <row r="34" spans="2:11" ht="17.100000000000001" customHeight="1">
      <c r="B34" s="14"/>
      <c r="C34" s="15"/>
      <c r="D34" s="15"/>
      <c r="E34" s="16"/>
      <c r="F34" s="15"/>
      <c r="G34" s="72"/>
      <c r="H34" s="72"/>
      <c r="I34" s="547"/>
      <c r="J34" s="72"/>
      <c r="K34" s="135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96">
        <v>9</v>
      </c>
      <c r="H35" s="96">
        <v>9</v>
      </c>
      <c r="I35" s="548">
        <v>9</v>
      </c>
      <c r="J35" s="96">
        <v>9</v>
      </c>
      <c r="K35" s="135"/>
    </row>
    <row r="36" spans="2:11" s="1" customFormat="1" ht="17.100000000000001" customHeight="1">
      <c r="B36" s="17"/>
      <c r="C36" s="12"/>
      <c r="D36" s="12"/>
      <c r="E36" s="9"/>
      <c r="F36" s="12" t="s">
        <v>113</v>
      </c>
      <c r="G36" s="20">
        <f>G7+G12+G15+G27+G31</f>
        <v>4422380</v>
      </c>
      <c r="H36" s="20">
        <f>H7+H12+H15+H27+H31</f>
        <v>4422380</v>
      </c>
      <c r="I36" s="20">
        <f t="shared" ref="I36" si="1">I7+I12+I15+I27+I31</f>
        <v>3001858</v>
      </c>
      <c r="J36" s="20">
        <f>J7+J12+J15+J27+J31</f>
        <v>4395890</v>
      </c>
      <c r="K36" s="177">
        <f t="shared" si="0"/>
        <v>99.401001270808933</v>
      </c>
    </row>
    <row r="37" spans="2:11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4422380</v>
      </c>
      <c r="H37" s="20">
        <f>H36</f>
        <v>4422380</v>
      </c>
      <c r="I37" s="20">
        <f t="shared" ref="I37" si="2">I36</f>
        <v>3001858</v>
      </c>
      <c r="J37" s="20">
        <f>J36</f>
        <v>4395890</v>
      </c>
      <c r="K37" s="177">
        <f t="shared" si="0"/>
        <v>99.401001270808933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4422380</v>
      </c>
      <c r="H38" s="20">
        <f>H37</f>
        <v>4422380</v>
      </c>
      <c r="I38" s="20">
        <f t="shared" ref="I38" si="3">I37</f>
        <v>3001858</v>
      </c>
      <c r="J38" s="20">
        <f>J37</f>
        <v>4395890</v>
      </c>
      <c r="K38" s="177">
        <f t="shared" si="0"/>
        <v>99.401001270808933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22"/>
      <c r="H39" s="22"/>
      <c r="I39" s="22"/>
      <c r="J39" s="22"/>
      <c r="K39" s="138"/>
    </row>
    <row r="40" spans="2:11" ht="17.100000000000001" customHeight="1"/>
    <row r="41" spans="2:11" ht="17.100000000000001" customHeight="1"/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>
      <c r="B45" s="71"/>
    </row>
    <row r="46" spans="2:11" ht="17.100000000000001" customHeight="1">
      <c r="B46" s="71"/>
    </row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B2:M59"/>
  <sheetViews>
    <sheetView topLeftCell="A13" zoomScaleNormal="100" zoomScaleSheetLayoutView="100" workbookViewId="0">
      <selection activeCell="N29" sqref="N2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178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139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230270</v>
      </c>
      <c r="H7" s="337">
        <f>SUM(H8:H11)</f>
        <v>230270</v>
      </c>
      <c r="I7" s="557">
        <v>174083</v>
      </c>
      <c r="J7" s="337">
        <f>SUM(J8:J11)</f>
        <v>236350</v>
      </c>
      <c r="K7" s="134">
        <f>IF(H7=0,"",J7/H7*100)</f>
        <v>102.64037868589047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185300+1500+5560</f>
        <v>192360</v>
      </c>
      <c r="H8" s="339">
        <f>185300+1500+5560</f>
        <v>192360</v>
      </c>
      <c r="I8" s="558">
        <v>143647</v>
      </c>
      <c r="J8" s="339">
        <f>194020</f>
        <v>194020</v>
      </c>
      <c r="K8" s="135">
        <f>IF(H8=0,"",J8/H8*100)</f>
        <v>100.86296527344562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36410+1500</f>
        <v>37910</v>
      </c>
      <c r="H9" s="339">
        <f>36410+1500</f>
        <v>37910</v>
      </c>
      <c r="I9" s="558">
        <v>30436</v>
      </c>
      <c r="J9" s="339">
        <f>39900+9*270</f>
        <v>42330</v>
      </c>
      <c r="K9" s="135">
        <f t="shared" ref="K9:K40" si="0">IF(H9=0,"",J9/H9*100)</f>
        <v>111.6591928251121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5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558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21070</v>
      </c>
      <c r="H12" s="337">
        <f>H13</f>
        <v>21070</v>
      </c>
      <c r="I12" s="557">
        <v>15283</v>
      </c>
      <c r="J12" s="337">
        <f>J13</f>
        <v>20920</v>
      </c>
      <c r="K12" s="177">
        <f t="shared" si="0"/>
        <v>99.288087327954429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19770+700+600</f>
        <v>21070</v>
      </c>
      <c r="H13" s="339">
        <f>19770+700+600</f>
        <v>21070</v>
      </c>
      <c r="I13" s="558">
        <v>15283</v>
      </c>
      <c r="J13" s="339">
        <f>20920</f>
        <v>20920</v>
      </c>
      <c r="K13" s="135">
        <f t="shared" si="0"/>
        <v>99.288087327954429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52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SUM(G16:G26)</f>
        <v>217800</v>
      </c>
      <c r="H15" s="43">
        <f>SUM(H16:H26)</f>
        <v>217800</v>
      </c>
      <c r="I15" s="553">
        <v>122716</v>
      </c>
      <c r="J15" s="43">
        <f>SUM(J16:J26)</f>
        <v>216600</v>
      </c>
      <c r="K15" s="177">
        <f t="shared" si="0"/>
        <v>99.449035812672179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1800</v>
      </c>
      <c r="H16" s="40">
        <v>1800</v>
      </c>
      <c r="I16" s="552">
        <v>781</v>
      </c>
      <c r="J16" s="40">
        <v>1800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552">
        <v>0</v>
      </c>
      <c r="J17" s="40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40">
        <v>5000</v>
      </c>
      <c r="H18" s="40">
        <v>5000</v>
      </c>
      <c r="I18" s="552">
        <v>4410</v>
      </c>
      <c r="J18" s="40">
        <v>6800</v>
      </c>
      <c r="K18" s="135">
        <f t="shared" si="0"/>
        <v>136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40">
        <v>0</v>
      </c>
      <c r="H19" s="40">
        <v>0</v>
      </c>
      <c r="I19" s="552">
        <v>0</v>
      </c>
      <c r="J19" s="40">
        <v>0</v>
      </c>
      <c r="K19" s="135" t="str">
        <f t="shared" si="0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0</v>
      </c>
      <c r="H20" s="105">
        <v>0</v>
      </c>
      <c r="I20" s="555">
        <v>0</v>
      </c>
      <c r="J20" s="105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555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57">
        <v>613700</v>
      </c>
      <c r="F22" s="15" t="s">
        <v>87</v>
      </c>
      <c r="G22" s="105">
        <v>1000</v>
      </c>
      <c r="H22" s="105">
        <v>1000</v>
      </c>
      <c r="I22" s="555">
        <v>759</v>
      </c>
      <c r="J22" s="105">
        <v>1000</v>
      </c>
      <c r="K22" s="135">
        <f t="shared" si="0"/>
        <v>100</v>
      </c>
    </row>
    <row r="23" spans="2:12" ht="17.100000000000001" customHeight="1">
      <c r="B23" s="14"/>
      <c r="C23" s="15"/>
      <c r="D23" s="30"/>
      <c r="E23" s="16">
        <v>613700</v>
      </c>
      <c r="F23" s="56" t="s">
        <v>88</v>
      </c>
      <c r="G23" s="105">
        <v>200000</v>
      </c>
      <c r="H23" s="105">
        <v>200000</v>
      </c>
      <c r="I23" s="555">
        <v>110435</v>
      </c>
      <c r="J23" s="105">
        <v>197000</v>
      </c>
      <c r="K23" s="135">
        <f t="shared" si="0"/>
        <v>98.5</v>
      </c>
    </row>
    <row r="24" spans="2:12" ht="17.100000000000001" customHeight="1">
      <c r="B24" s="14"/>
      <c r="C24" s="15"/>
      <c r="D24" s="15"/>
      <c r="E24" s="54">
        <v>613800</v>
      </c>
      <c r="F24" s="15" t="s">
        <v>166</v>
      </c>
      <c r="G24" s="105">
        <v>0</v>
      </c>
      <c r="H24" s="105">
        <v>0</v>
      </c>
      <c r="I24" s="555">
        <v>0</v>
      </c>
      <c r="J24" s="105">
        <v>0</v>
      </c>
      <c r="K24" s="135" t="str">
        <f t="shared" si="0"/>
        <v/>
      </c>
    </row>
    <row r="25" spans="2:12" ht="17.100000000000001" customHeight="1">
      <c r="B25" s="14"/>
      <c r="C25" s="15"/>
      <c r="D25" s="15"/>
      <c r="E25" s="16">
        <v>613900</v>
      </c>
      <c r="F25" s="15" t="s">
        <v>167</v>
      </c>
      <c r="G25" s="105">
        <v>10000</v>
      </c>
      <c r="H25" s="105">
        <v>10000</v>
      </c>
      <c r="I25" s="555">
        <v>6331</v>
      </c>
      <c r="J25" s="105">
        <v>10000</v>
      </c>
      <c r="K25" s="135">
        <f t="shared" si="0"/>
        <v>100</v>
      </c>
      <c r="L25" s="95"/>
    </row>
    <row r="26" spans="2:12" ht="17.100000000000001" customHeight="1">
      <c r="B26" s="14"/>
      <c r="C26" s="15"/>
      <c r="D26" s="15"/>
      <c r="E26" s="16">
        <v>613900</v>
      </c>
      <c r="F26" s="311" t="s">
        <v>587</v>
      </c>
      <c r="G26" s="105">
        <v>0</v>
      </c>
      <c r="H26" s="105">
        <v>0</v>
      </c>
      <c r="I26" s="555">
        <v>0</v>
      </c>
      <c r="J26" s="105">
        <v>0</v>
      </c>
      <c r="K26" s="135" t="str">
        <f t="shared" si="0"/>
        <v/>
      </c>
    </row>
    <row r="27" spans="2:12" ht="17.100000000000001" customHeight="1">
      <c r="B27" s="14"/>
      <c r="C27" s="15"/>
      <c r="D27" s="15"/>
      <c r="E27" s="16"/>
      <c r="F27" s="15"/>
      <c r="G27" s="105"/>
      <c r="H27" s="105"/>
      <c r="I27" s="555"/>
      <c r="J27" s="105"/>
      <c r="K27" s="135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614000</v>
      </c>
      <c r="F28" s="12" t="s">
        <v>208</v>
      </c>
      <c r="G28" s="96">
        <f>SUM(G29:G30)</f>
        <v>210000</v>
      </c>
      <c r="H28" s="96">
        <f>SUM(H29:H30)</f>
        <v>210000</v>
      </c>
      <c r="I28" s="554">
        <v>40000</v>
      </c>
      <c r="J28" s="96">
        <f>SUM(J29:J30)</f>
        <v>180000</v>
      </c>
      <c r="K28" s="177">
        <f t="shared" si="0"/>
        <v>85.714285714285708</v>
      </c>
    </row>
    <row r="29" spans="2:12" ht="17.100000000000001" customHeight="1">
      <c r="B29" s="14"/>
      <c r="C29" s="15"/>
      <c r="D29" s="30"/>
      <c r="E29" s="54">
        <v>614100</v>
      </c>
      <c r="F29" s="62" t="s">
        <v>176</v>
      </c>
      <c r="G29" s="105">
        <v>180000</v>
      </c>
      <c r="H29" s="105">
        <v>180000</v>
      </c>
      <c r="I29" s="555">
        <v>40000</v>
      </c>
      <c r="J29" s="105">
        <v>180000</v>
      </c>
      <c r="K29" s="135">
        <f t="shared" si="0"/>
        <v>100</v>
      </c>
    </row>
    <row r="30" spans="2:12" ht="17.100000000000001" customHeight="1">
      <c r="B30" s="14"/>
      <c r="C30" s="15"/>
      <c r="D30" s="15"/>
      <c r="E30" s="16">
        <v>614100</v>
      </c>
      <c r="F30" s="26" t="s">
        <v>224</v>
      </c>
      <c r="G30" s="105">
        <v>30000</v>
      </c>
      <c r="H30" s="105">
        <v>30000</v>
      </c>
      <c r="I30" s="555">
        <v>0</v>
      </c>
      <c r="J30" s="105">
        <v>0</v>
      </c>
      <c r="K30" s="135">
        <f t="shared" si="0"/>
        <v>0</v>
      </c>
    </row>
    <row r="31" spans="2:12" ht="17.100000000000001" customHeight="1">
      <c r="B31" s="14"/>
      <c r="C31" s="15"/>
      <c r="D31" s="15"/>
      <c r="E31" s="16"/>
      <c r="F31" s="15"/>
      <c r="G31" s="105"/>
      <c r="H31" s="105"/>
      <c r="I31" s="555"/>
      <c r="J31" s="105"/>
      <c r="K31" s="135" t="str">
        <f t="shared" si="0"/>
        <v/>
      </c>
    </row>
    <row r="32" spans="2:12" s="1" customFormat="1" ht="17.100000000000001" customHeight="1">
      <c r="B32" s="17"/>
      <c r="C32" s="12"/>
      <c r="D32" s="12"/>
      <c r="E32" s="9">
        <v>821000</v>
      </c>
      <c r="F32" s="12" t="s">
        <v>90</v>
      </c>
      <c r="G32" s="96">
        <f>SUM(G33:G35)</f>
        <v>894000</v>
      </c>
      <c r="H32" s="96">
        <f>SUM(H33:H35)</f>
        <v>959000</v>
      </c>
      <c r="I32" s="554">
        <v>20926</v>
      </c>
      <c r="J32" s="96">
        <f>SUM(J33:J35)</f>
        <v>1109000</v>
      </c>
      <c r="K32" s="177">
        <f t="shared" si="0"/>
        <v>115.6412930135558</v>
      </c>
    </row>
    <row r="33" spans="2:13" ht="17.100000000000001" customHeight="1">
      <c r="B33" s="14"/>
      <c r="C33" s="15"/>
      <c r="D33" s="15"/>
      <c r="E33" s="16">
        <v>821200</v>
      </c>
      <c r="F33" s="15" t="s">
        <v>91</v>
      </c>
      <c r="G33" s="105">
        <v>0</v>
      </c>
      <c r="H33" s="105">
        <v>0</v>
      </c>
      <c r="I33" s="555">
        <v>0</v>
      </c>
      <c r="J33" s="105">
        <v>0</v>
      </c>
      <c r="K33" s="135" t="str">
        <f t="shared" si="0"/>
        <v/>
      </c>
    </row>
    <row r="34" spans="2:13" ht="17.100000000000001" customHeight="1">
      <c r="B34" s="14"/>
      <c r="C34" s="15"/>
      <c r="D34" s="15"/>
      <c r="E34" s="16">
        <v>821300</v>
      </c>
      <c r="F34" s="15" t="s">
        <v>92</v>
      </c>
      <c r="G34" s="105">
        <v>2000</v>
      </c>
      <c r="H34" s="105">
        <v>2000</v>
      </c>
      <c r="I34" s="555">
        <v>543</v>
      </c>
      <c r="J34" s="105">
        <v>2000</v>
      </c>
      <c r="K34" s="135">
        <f t="shared" si="0"/>
        <v>100</v>
      </c>
    </row>
    <row r="35" spans="2:13" ht="17.100000000000001" customHeight="1">
      <c r="B35" s="14"/>
      <c r="C35" s="15"/>
      <c r="D35" s="15"/>
      <c r="E35" s="107">
        <v>821600</v>
      </c>
      <c r="F35" s="98" t="s">
        <v>104</v>
      </c>
      <c r="G35" s="105">
        <v>892000</v>
      </c>
      <c r="H35" s="105">
        <v>957000</v>
      </c>
      <c r="I35" s="555">
        <v>20383</v>
      </c>
      <c r="J35" s="714">
        <v>1107000</v>
      </c>
      <c r="K35" s="135">
        <f t="shared" si="0"/>
        <v>115.67398119122257</v>
      </c>
      <c r="M35" s="80"/>
    </row>
    <row r="36" spans="2:13" ht="17.100000000000001" customHeight="1">
      <c r="B36" s="14"/>
      <c r="C36" s="15"/>
      <c r="D36" s="15"/>
      <c r="E36" s="16"/>
      <c r="F36" s="15"/>
      <c r="G36" s="96"/>
      <c r="H36" s="96"/>
      <c r="I36" s="554"/>
      <c r="J36" s="96"/>
      <c r="K36" s="135" t="str">
        <f t="shared" si="0"/>
        <v/>
      </c>
    </row>
    <row r="37" spans="2:13" s="1" customFormat="1" ht="17.100000000000001" customHeight="1">
      <c r="B37" s="17"/>
      <c r="C37" s="12"/>
      <c r="D37" s="12"/>
      <c r="E37" s="9"/>
      <c r="F37" s="12" t="s">
        <v>93</v>
      </c>
      <c r="G37" s="96">
        <v>9</v>
      </c>
      <c r="H37" s="96">
        <v>9</v>
      </c>
      <c r="I37" s="554">
        <v>9</v>
      </c>
      <c r="J37" s="96">
        <v>9</v>
      </c>
      <c r="K37" s="135"/>
    </row>
    <row r="38" spans="2:13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G7+G12+G15+G28+G32</f>
        <v>1573140</v>
      </c>
      <c r="H38" s="20">
        <f>H7+H12+H15+H28+H32</f>
        <v>1638140</v>
      </c>
      <c r="I38" s="20">
        <f t="shared" ref="I38" si="1">I7+I12+I15+I28+I32</f>
        <v>373008</v>
      </c>
      <c r="J38" s="20">
        <f>J7+J12+J15+J28+J32</f>
        <v>1762870</v>
      </c>
      <c r="K38" s="177">
        <f t="shared" si="0"/>
        <v>107.61412333500189</v>
      </c>
    </row>
    <row r="39" spans="2:13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1573140</v>
      </c>
      <c r="H39" s="20">
        <f>H38</f>
        <v>1638140</v>
      </c>
      <c r="I39" s="20">
        <f t="shared" ref="I39" si="2">I38</f>
        <v>373008</v>
      </c>
      <c r="J39" s="20">
        <f>J38</f>
        <v>1762870</v>
      </c>
      <c r="K39" s="177">
        <f t="shared" si="0"/>
        <v>107.61412333500189</v>
      </c>
    </row>
    <row r="40" spans="2:13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1573140</v>
      </c>
      <c r="H40" s="20">
        <f>H39</f>
        <v>1638140</v>
      </c>
      <c r="I40" s="20">
        <f t="shared" ref="I40" si="3">I39</f>
        <v>373008</v>
      </c>
      <c r="J40" s="20">
        <f>J39</f>
        <v>1762870</v>
      </c>
      <c r="K40" s="177">
        <f t="shared" si="0"/>
        <v>107.61412333500189</v>
      </c>
    </row>
    <row r="41" spans="2:13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41"/>
      <c r="K41" s="138"/>
    </row>
    <row r="42" spans="2:13" ht="17.100000000000001" customHeight="1"/>
    <row r="43" spans="2:13" ht="17.100000000000001" customHeight="1">
      <c r="B43" s="71"/>
    </row>
    <row r="44" spans="2:13" ht="17.100000000000001" customHeight="1">
      <c r="B44" s="71"/>
    </row>
    <row r="45" spans="2:13" ht="17.100000000000001" customHeight="1">
      <c r="B45" s="71"/>
    </row>
    <row r="46" spans="2:13" ht="17.100000000000001" customHeight="1"/>
    <row r="47" spans="2:13" ht="17.100000000000001" customHeight="1"/>
    <row r="48" spans="2:13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B2:M59"/>
  <sheetViews>
    <sheetView zoomScaleNormal="100" zoomScaleSheetLayoutView="100" workbookViewId="0">
      <selection activeCell="J10" sqref="J1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140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141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563400</v>
      </c>
      <c r="H7" s="337">
        <f>SUM(H8:H11)</f>
        <v>563400</v>
      </c>
      <c r="I7" s="566">
        <v>397870</v>
      </c>
      <c r="J7" s="337">
        <f>SUM(J8:J11)</f>
        <v>553910</v>
      </c>
      <c r="K7" s="134">
        <f>IF(H7=0,"",J7/H7*100)</f>
        <v>98.315583954561589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426130+2500+2*13700+12790+830</f>
        <v>469650</v>
      </c>
      <c r="H8" s="336">
        <f>426130+2500+2*13700+12790+830</f>
        <v>469650</v>
      </c>
      <c r="I8" s="565">
        <v>332448</v>
      </c>
      <c r="J8" s="336">
        <f>457700+400</f>
        <v>458100</v>
      </c>
      <c r="K8" s="135">
        <f>IF(H8=0,"",J8/H8*100)</f>
        <v>97.540721814116893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40">
        <f>84170+2500+2*840+2*2700</f>
        <v>93750</v>
      </c>
      <c r="H9" s="340">
        <f>84170+2500+2*840+2*2700</f>
        <v>93750</v>
      </c>
      <c r="I9" s="567">
        <v>65422</v>
      </c>
      <c r="J9" s="340">
        <f>88800+800+23*270</f>
        <v>95810</v>
      </c>
      <c r="K9" s="135">
        <f t="shared" ref="K9:K40" si="0">IF(H9=0,"",J9/H9*100)</f>
        <v>102.19733333333335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65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565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50910</v>
      </c>
      <c r="H12" s="337">
        <f>H13</f>
        <v>50910</v>
      </c>
      <c r="I12" s="566">
        <v>35368</v>
      </c>
      <c r="J12" s="337">
        <f>J13</f>
        <v>49130</v>
      </c>
      <c r="K12" s="177">
        <f t="shared" si="0"/>
        <v>96.503633863681003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45450+1000+2*1500+1370+90</f>
        <v>50910</v>
      </c>
      <c r="H13" s="336">
        <f>45450+1000+2*1500+1370+90</f>
        <v>50910</v>
      </c>
      <c r="I13" s="565">
        <v>35368</v>
      </c>
      <c r="J13" s="336">
        <f>49030+100</f>
        <v>49130</v>
      </c>
      <c r="K13" s="135">
        <f t="shared" si="0"/>
        <v>96.503633863681003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560"/>
      <c r="J14" s="39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73990</v>
      </c>
      <c r="H15" s="43">
        <f>SUM(H16:H25)</f>
        <v>73990</v>
      </c>
      <c r="I15" s="561">
        <v>58483</v>
      </c>
      <c r="J15" s="43">
        <f>SUM(J16:J25)</f>
        <v>94820</v>
      </c>
      <c r="K15" s="177">
        <f t="shared" si="0"/>
        <v>128.1524530341938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2">
        <v>10500</v>
      </c>
      <c r="H16" s="72">
        <v>11700</v>
      </c>
      <c r="I16" s="562">
        <v>7198</v>
      </c>
      <c r="J16" s="72">
        <v>11700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72">
        <v>0</v>
      </c>
      <c r="H17" s="72">
        <v>0</v>
      </c>
      <c r="I17" s="562">
        <v>0</v>
      </c>
      <c r="J17" s="72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72">
        <v>6500</v>
      </c>
      <c r="H18" s="72">
        <v>5800</v>
      </c>
      <c r="I18" s="562">
        <v>4686</v>
      </c>
      <c r="J18" s="72">
        <v>5800</v>
      </c>
      <c r="K18" s="135">
        <f t="shared" si="0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72">
        <v>2100</v>
      </c>
      <c r="H19" s="72">
        <v>1400</v>
      </c>
      <c r="I19" s="562">
        <v>477</v>
      </c>
      <c r="J19" s="72">
        <v>1200</v>
      </c>
      <c r="K19" s="135">
        <f t="shared" si="0"/>
        <v>85.714285714285708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2">
        <v>1890</v>
      </c>
      <c r="H20" s="72">
        <v>410</v>
      </c>
      <c r="I20" s="562">
        <v>362</v>
      </c>
      <c r="J20" s="72">
        <v>410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72">
        <v>5500</v>
      </c>
      <c r="H21" s="72">
        <v>5500</v>
      </c>
      <c r="I21" s="562">
        <v>2919</v>
      </c>
      <c r="J21" s="72">
        <v>5500</v>
      </c>
      <c r="K21" s="135">
        <f t="shared" si="0"/>
        <v>100</v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7500</v>
      </c>
      <c r="H22" s="72">
        <v>5500</v>
      </c>
      <c r="I22" s="562">
        <v>2776</v>
      </c>
      <c r="J22" s="72">
        <v>5500</v>
      </c>
      <c r="K22" s="135">
        <f t="shared" si="0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380</v>
      </c>
      <c r="I23" s="562">
        <v>379</v>
      </c>
      <c r="J23" s="72">
        <v>710</v>
      </c>
      <c r="K23" s="135">
        <f t="shared" si="0"/>
        <v>186.84210526315789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40000</v>
      </c>
      <c r="H24" s="72">
        <v>43300</v>
      </c>
      <c r="I24" s="562">
        <v>39686</v>
      </c>
      <c r="J24" s="72">
        <v>64000</v>
      </c>
      <c r="K24" s="135">
        <f t="shared" si="0"/>
        <v>147.80600461893764</v>
      </c>
      <c r="L24" s="95"/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72">
        <v>0</v>
      </c>
      <c r="H25" s="72">
        <v>0</v>
      </c>
      <c r="I25" s="562">
        <v>0</v>
      </c>
      <c r="J25" s="72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96"/>
      <c r="H26" s="96"/>
      <c r="I26" s="563"/>
      <c r="J26" s="96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208</v>
      </c>
      <c r="G27" s="96">
        <f t="shared" ref="G27:H27" si="1">SUM(G28:G31)</f>
        <v>2150000</v>
      </c>
      <c r="H27" s="96">
        <f t="shared" si="1"/>
        <v>2150000</v>
      </c>
      <c r="I27" s="563">
        <v>1298803</v>
      </c>
      <c r="J27" s="96">
        <f t="shared" ref="J27" si="2">SUM(J28:J31)</f>
        <v>2300000</v>
      </c>
      <c r="K27" s="177">
        <f t="shared" si="0"/>
        <v>106.9767441860465</v>
      </c>
    </row>
    <row r="28" spans="2:12" s="1" customFormat="1" ht="17.100000000000001" customHeight="1">
      <c r="B28" s="17"/>
      <c r="C28" s="12"/>
      <c r="D28" s="31"/>
      <c r="E28" s="50">
        <v>614100</v>
      </c>
      <c r="F28" s="18" t="s">
        <v>161</v>
      </c>
      <c r="G28" s="105">
        <v>150000</v>
      </c>
      <c r="H28" s="105">
        <v>150000</v>
      </c>
      <c r="I28" s="564">
        <v>3500</v>
      </c>
      <c r="J28" s="714">
        <v>150000</v>
      </c>
      <c r="K28" s="135">
        <f t="shared" si="0"/>
        <v>100</v>
      </c>
    </row>
    <row r="29" spans="2:12" ht="17.100000000000001" customHeight="1">
      <c r="B29" s="14"/>
      <c r="C29" s="15"/>
      <c r="D29" s="15"/>
      <c r="E29" s="16">
        <v>614500</v>
      </c>
      <c r="F29" s="29" t="s">
        <v>427</v>
      </c>
      <c r="G29" s="105">
        <v>1100000</v>
      </c>
      <c r="H29" s="105">
        <v>1100000</v>
      </c>
      <c r="I29" s="564">
        <v>959868</v>
      </c>
      <c r="J29" s="714">
        <v>1250000</v>
      </c>
      <c r="K29" s="135">
        <f t="shared" si="0"/>
        <v>113.63636363636364</v>
      </c>
    </row>
    <row r="30" spans="2:12" ht="17.100000000000001" customHeight="1">
      <c r="B30" s="14"/>
      <c r="C30" s="15"/>
      <c r="D30" s="15"/>
      <c r="E30" s="16">
        <v>614500</v>
      </c>
      <c r="F30" s="29" t="s">
        <v>428</v>
      </c>
      <c r="G30" s="105">
        <v>500000</v>
      </c>
      <c r="H30" s="105">
        <v>500000</v>
      </c>
      <c r="I30" s="564">
        <v>263722</v>
      </c>
      <c r="J30" s="714">
        <v>500000</v>
      </c>
      <c r="K30" s="135">
        <f t="shared" si="0"/>
        <v>100</v>
      </c>
    </row>
    <row r="31" spans="2:12" ht="17.100000000000001" customHeight="1">
      <c r="B31" s="14"/>
      <c r="C31" s="15"/>
      <c r="D31" s="15"/>
      <c r="E31" s="50">
        <v>614500</v>
      </c>
      <c r="F31" s="29" t="s">
        <v>429</v>
      </c>
      <c r="G31" s="105">
        <v>400000</v>
      </c>
      <c r="H31" s="105">
        <v>400000</v>
      </c>
      <c r="I31" s="564">
        <v>71713</v>
      </c>
      <c r="J31" s="714">
        <v>400000</v>
      </c>
      <c r="K31" s="135">
        <f t="shared" si="0"/>
        <v>100</v>
      </c>
    </row>
    <row r="32" spans="2:12" ht="17.100000000000001" customHeight="1">
      <c r="B32" s="14"/>
      <c r="C32" s="15"/>
      <c r="D32" s="15"/>
      <c r="E32" s="16"/>
      <c r="F32" s="26"/>
      <c r="G32" s="72"/>
      <c r="H32" s="72"/>
      <c r="I32" s="562"/>
      <c r="J32" s="697"/>
      <c r="K32" s="135" t="str">
        <f t="shared" si="0"/>
        <v/>
      </c>
    </row>
    <row r="33" spans="2:11" s="1" customFormat="1" ht="17.100000000000001" customHeight="1">
      <c r="B33" s="17"/>
      <c r="C33" s="12"/>
      <c r="D33" s="12"/>
      <c r="E33" s="9">
        <v>821000</v>
      </c>
      <c r="F33" s="12" t="s">
        <v>90</v>
      </c>
      <c r="G33" s="96">
        <f>SUM(G34:G36)</f>
        <v>13000</v>
      </c>
      <c r="H33" s="96">
        <f>SUM(H34:H36)</f>
        <v>13000</v>
      </c>
      <c r="I33" s="563">
        <v>5763</v>
      </c>
      <c r="J33" s="96">
        <f>SUM(J34:J36)</f>
        <v>8000</v>
      </c>
      <c r="K33" s="177">
        <f t="shared" si="0"/>
        <v>61.53846153846154</v>
      </c>
    </row>
    <row r="34" spans="2:11" ht="17.100000000000001" customHeight="1">
      <c r="B34" s="14"/>
      <c r="C34" s="15"/>
      <c r="D34" s="15"/>
      <c r="E34" s="16">
        <v>821200</v>
      </c>
      <c r="F34" s="15" t="s">
        <v>91</v>
      </c>
      <c r="G34" s="72">
        <v>0</v>
      </c>
      <c r="H34" s="72">
        <v>0</v>
      </c>
      <c r="I34" s="562">
        <v>0</v>
      </c>
      <c r="J34" s="72">
        <v>0</v>
      </c>
      <c r="K34" s="135" t="str">
        <f t="shared" si="0"/>
        <v/>
      </c>
    </row>
    <row r="35" spans="2:11" ht="17.100000000000001" customHeight="1">
      <c r="B35" s="14"/>
      <c r="C35" s="15"/>
      <c r="D35" s="15"/>
      <c r="E35" s="16">
        <v>821300</v>
      </c>
      <c r="F35" s="15" t="s">
        <v>92</v>
      </c>
      <c r="G35" s="72">
        <v>13000</v>
      </c>
      <c r="H35" s="72">
        <v>13000</v>
      </c>
      <c r="I35" s="562">
        <v>5763</v>
      </c>
      <c r="J35" s="72">
        <v>8000</v>
      </c>
      <c r="K35" s="135">
        <f t="shared" si="0"/>
        <v>61.53846153846154</v>
      </c>
    </row>
    <row r="36" spans="2:11" ht="17.100000000000001" customHeight="1">
      <c r="B36" s="14"/>
      <c r="C36" s="15"/>
      <c r="D36" s="15"/>
      <c r="E36" s="16"/>
      <c r="F36" s="26"/>
      <c r="G36" s="72"/>
      <c r="H36" s="72"/>
      <c r="I36" s="562"/>
      <c r="J36" s="72"/>
      <c r="K36" s="135" t="str">
        <f t="shared" si="0"/>
        <v/>
      </c>
    </row>
    <row r="37" spans="2:11" s="1" customFormat="1" ht="17.100000000000001" customHeight="1">
      <c r="B37" s="17"/>
      <c r="C37" s="12"/>
      <c r="D37" s="12"/>
      <c r="E37" s="9"/>
      <c r="F37" s="12" t="s">
        <v>93</v>
      </c>
      <c r="G37" s="20">
        <v>23</v>
      </c>
      <c r="H37" s="20">
        <v>23</v>
      </c>
      <c r="I37" s="559">
        <v>23</v>
      </c>
      <c r="J37" s="20">
        <v>23</v>
      </c>
      <c r="K37" s="135"/>
    </row>
    <row r="38" spans="2:11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G7+G12+G15+G27+G33</f>
        <v>2851300</v>
      </c>
      <c r="H38" s="20">
        <f>H7+H12+H15+H27+H33</f>
        <v>2851300</v>
      </c>
      <c r="I38" s="20">
        <f t="shared" ref="I38" si="3">I7+I12+I15+I27+I33</f>
        <v>1796287</v>
      </c>
      <c r="J38" s="20">
        <f>J7+J12+J15+J27+J33</f>
        <v>3005860</v>
      </c>
      <c r="K38" s="177">
        <f t="shared" si="0"/>
        <v>105.42068530144144</v>
      </c>
    </row>
    <row r="39" spans="2:11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2851300</v>
      </c>
      <c r="H39" s="20">
        <f>H38</f>
        <v>2851300</v>
      </c>
      <c r="I39" s="20">
        <f t="shared" ref="I39" si="4">I38</f>
        <v>1796287</v>
      </c>
      <c r="J39" s="20">
        <f>J38</f>
        <v>3005860</v>
      </c>
      <c r="K39" s="177">
        <f t="shared" si="0"/>
        <v>105.42068530144144</v>
      </c>
    </row>
    <row r="40" spans="2:11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2851300</v>
      </c>
      <c r="H40" s="20">
        <f>H39</f>
        <v>2851300</v>
      </c>
      <c r="I40" s="20">
        <f t="shared" ref="I40" si="5">I39</f>
        <v>1796287</v>
      </c>
      <c r="J40" s="20">
        <f>J39</f>
        <v>3005860</v>
      </c>
      <c r="K40" s="177">
        <f t="shared" si="0"/>
        <v>105.42068530144144</v>
      </c>
    </row>
    <row r="41" spans="2:11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41"/>
      <c r="K41" s="138"/>
    </row>
    <row r="42" spans="2:11" ht="17.100000000000001" customHeight="1"/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>
      <c r="B45" s="71"/>
    </row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2:N61"/>
  <sheetViews>
    <sheetView topLeftCell="A19" zoomScaleNormal="100" zoomScaleSheetLayoutView="100" workbookViewId="0">
      <selection activeCell="M38" sqref="M38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142</v>
      </c>
      <c r="C2" s="784"/>
      <c r="D2" s="784"/>
      <c r="E2" s="784"/>
      <c r="F2" s="784"/>
      <c r="G2" s="784"/>
      <c r="H2" s="392"/>
      <c r="I2" s="392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53">
        <f>SUM(G8:G11)</f>
        <v>276210</v>
      </c>
      <c r="H7" s="353">
        <f>SUM(H8:H11)</f>
        <v>276210</v>
      </c>
      <c r="I7" s="573">
        <v>201712</v>
      </c>
      <c r="J7" s="353">
        <f>SUM(J8:J11)</f>
        <v>276200</v>
      </c>
      <c r="K7" s="134">
        <f>IF(H7=0,"",J7/H7*100)</f>
        <v>99.99637956627204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55">
        <f>229670+1400+6560</f>
        <v>237630</v>
      </c>
      <c r="H8" s="355">
        <f>229670+1400+6560</f>
        <v>237630</v>
      </c>
      <c r="I8" s="575">
        <v>174537</v>
      </c>
      <c r="J8" s="355">
        <f>236500</f>
        <v>236500</v>
      </c>
      <c r="K8" s="135">
        <f>IF(H8=0,"",J8/H8*100)</f>
        <v>99.524470815974411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55">
        <f>36340+1400+840</f>
        <v>38580</v>
      </c>
      <c r="H9" s="355">
        <f>36340+1400+840</f>
        <v>38580</v>
      </c>
      <c r="I9" s="575">
        <v>27175</v>
      </c>
      <c r="J9" s="355">
        <f>37000+10*270</f>
        <v>39700</v>
      </c>
      <c r="K9" s="135">
        <f t="shared" ref="K9:K52" si="0">IF(H9=0,"",J9/H9*100)</f>
        <v>102.90305857957492</v>
      </c>
      <c r="M9" s="80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54">
        <v>0</v>
      </c>
      <c r="H10" s="354">
        <v>0</v>
      </c>
      <c r="I10" s="574">
        <v>0</v>
      </c>
      <c r="J10" s="354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575"/>
      <c r="J11" s="355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53">
        <f>G13</f>
        <v>25030</v>
      </c>
      <c r="H12" s="353">
        <f>H13</f>
        <v>25030</v>
      </c>
      <c r="I12" s="573">
        <v>18527</v>
      </c>
      <c r="J12" s="353">
        <f>J13</f>
        <v>25200</v>
      </c>
      <c r="K12" s="177">
        <f t="shared" si="0"/>
        <v>100.67918497802637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f>23620+700+710</f>
        <v>25030</v>
      </c>
      <c r="H13" s="355">
        <f>23620+700+710</f>
        <v>25030</v>
      </c>
      <c r="I13" s="575">
        <v>18527</v>
      </c>
      <c r="J13" s="355">
        <f>25200</f>
        <v>25200</v>
      </c>
      <c r="K13" s="135">
        <f t="shared" si="0"/>
        <v>100.67918497802637</v>
      </c>
    </row>
    <row r="14" spans="2:13" ht="17.100000000000001" customHeight="1">
      <c r="B14" s="14"/>
      <c r="C14" s="15"/>
      <c r="D14" s="15"/>
      <c r="E14" s="16"/>
      <c r="F14" s="15"/>
      <c r="G14" s="105"/>
      <c r="H14" s="105"/>
      <c r="I14" s="571"/>
      <c r="J14" s="105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6">
        <f>SUM(G16:G27)</f>
        <v>91300</v>
      </c>
      <c r="H15" s="96">
        <f>SUM(H16:H27)</f>
        <v>101100</v>
      </c>
      <c r="I15" s="570">
        <v>85292</v>
      </c>
      <c r="J15" s="96">
        <f>SUM(J16:J27)</f>
        <v>108400</v>
      </c>
      <c r="K15" s="177">
        <f t="shared" si="0"/>
        <v>107.22057368941643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5">
        <v>4500</v>
      </c>
      <c r="H16" s="105">
        <v>4500</v>
      </c>
      <c r="I16" s="571">
        <v>2361</v>
      </c>
      <c r="J16" s="105">
        <v>4500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105">
        <v>0</v>
      </c>
      <c r="H17" s="105">
        <v>0</v>
      </c>
      <c r="I17" s="571">
        <v>0</v>
      </c>
      <c r="J17" s="105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105">
        <v>4100</v>
      </c>
      <c r="H18" s="105">
        <v>4100</v>
      </c>
      <c r="I18" s="571">
        <v>2617</v>
      </c>
      <c r="J18" s="105">
        <v>3700</v>
      </c>
      <c r="K18" s="135">
        <f t="shared" si="0"/>
        <v>90.243902439024396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105">
        <v>7700</v>
      </c>
      <c r="H19" s="105">
        <v>17500</v>
      </c>
      <c r="I19" s="571">
        <v>16695</v>
      </c>
      <c r="J19" s="105">
        <v>17500</v>
      </c>
      <c r="K19" s="135">
        <f t="shared" si="0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0</v>
      </c>
      <c r="H20" s="105">
        <v>0</v>
      </c>
      <c r="I20" s="571">
        <v>0</v>
      </c>
      <c r="J20" s="105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571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1000</v>
      </c>
      <c r="H22" s="105">
        <v>1000</v>
      </c>
      <c r="I22" s="571">
        <v>245</v>
      </c>
      <c r="J22" s="105">
        <v>700</v>
      </c>
      <c r="K22" s="135">
        <f t="shared" si="0"/>
        <v>70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571">
        <v>0</v>
      </c>
      <c r="J23" s="105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613800</v>
      </c>
      <c r="F24" s="26" t="s">
        <v>186</v>
      </c>
      <c r="G24" s="105">
        <v>0</v>
      </c>
      <c r="H24" s="105">
        <v>0</v>
      </c>
      <c r="I24" s="571">
        <v>0</v>
      </c>
      <c r="J24" s="105">
        <v>0</v>
      </c>
      <c r="K24" s="135" t="str">
        <f t="shared" si="0"/>
        <v/>
      </c>
    </row>
    <row r="25" spans="2:12" ht="17.100000000000001" customHeight="1">
      <c r="B25" s="14"/>
      <c r="C25" s="15"/>
      <c r="D25" s="15"/>
      <c r="E25" s="16">
        <v>613900</v>
      </c>
      <c r="F25" s="26" t="s">
        <v>167</v>
      </c>
      <c r="G25" s="105">
        <v>19000</v>
      </c>
      <c r="H25" s="105">
        <v>19000</v>
      </c>
      <c r="I25" s="571">
        <v>14862</v>
      </c>
      <c r="J25" s="105">
        <v>22000</v>
      </c>
      <c r="K25" s="135">
        <f t="shared" si="0"/>
        <v>115.78947368421053</v>
      </c>
    </row>
    <row r="26" spans="2:12" ht="17.100000000000001" customHeight="1">
      <c r="B26" s="14"/>
      <c r="C26" s="15"/>
      <c r="D26" s="15"/>
      <c r="E26" s="16">
        <v>613900</v>
      </c>
      <c r="F26" s="26" t="s">
        <v>180</v>
      </c>
      <c r="G26" s="105">
        <v>55000</v>
      </c>
      <c r="H26" s="105">
        <v>55000</v>
      </c>
      <c r="I26" s="571">
        <v>48512</v>
      </c>
      <c r="J26" s="105">
        <v>60000</v>
      </c>
      <c r="K26" s="135">
        <f t="shared" si="0"/>
        <v>109.09090909090908</v>
      </c>
    </row>
    <row r="27" spans="2:12" ht="17.100000000000001" customHeight="1">
      <c r="B27" s="14"/>
      <c r="C27" s="15"/>
      <c r="D27" s="15"/>
      <c r="E27" s="16">
        <v>613900</v>
      </c>
      <c r="F27" s="311" t="s">
        <v>587</v>
      </c>
      <c r="G27" s="105">
        <v>0</v>
      </c>
      <c r="H27" s="105">
        <v>0</v>
      </c>
      <c r="I27" s="571">
        <v>0</v>
      </c>
      <c r="J27" s="105">
        <v>0</v>
      </c>
      <c r="K27" s="135" t="str">
        <f t="shared" si="0"/>
        <v/>
      </c>
    </row>
    <row r="28" spans="2:12" ht="17.100000000000001" customHeight="1">
      <c r="B28" s="14"/>
      <c r="C28" s="15"/>
      <c r="D28" s="15"/>
      <c r="E28" s="16"/>
      <c r="F28" s="15"/>
      <c r="G28" s="105"/>
      <c r="H28" s="105"/>
      <c r="I28" s="571"/>
      <c r="J28" s="105"/>
      <c r="K28" s="135" t="str">
        <f t="shared" si="0"/>
        <v/>
      </c>
    </row>
    <row r="29" spans="2:12" s="1" customFormat="1" ht="17.100000000000001" customHeight="1">
      <c r="B29" s="17"/>
      <c r="C29" s="12"/>
      <c r="D29" s="12"/>
      <c r="E29" s="9">
        <v>614000</v>
      </c>
      <c r="F29" s="12" t="s">
        <v>208</v>
      </c>
      <c r="G29" s="96">
        <f>SUM(G30:G36)</f>
        <v>1210000</v>
      </c>
      <c r="H29" s="96">
        <f>SUM(H30:H36)</f>
        <v>1210000</v>
      </c>
      <c r="I29" s="570">
        <v>919010</v>
      </c>
      <c r="J29" s="96">
        <f>SUM(J30:J36)</f>
        <v>1227000</v>
      </c>
      <c r="K29" s="177">
        <f t="shared" si="0"/>
        <v>101.40495867768595</v>
      </c>
    </row>
    <row r="30" spans="2:12" s="168" customFormat="1" ht="27.75" customHeight="1">
      <c r="B30" s="161"/>
      <c r="C30" s="162"/>
      <c r="D30" s="163"/>
      <c r="E30" s="164">
        <v>614100</v>
      </c>
      <c r="F30" s="165" t="s">
        <v>227</v>
      </c>
      <c r="G30" s="166">
        <v>160000</v>
      </c>
      <c r="H30" s="166">
        <v>160000</v>
      </c>
      <c r="I30" s="572">
        <v>111950</v>
      </c>
      <c r="J30" s="166">
        <v>127000</v>
      </c>
      <c r="K30" s="135">
        <f t="shared" si="0"/>
        <v>79.375</v>
      </c>
      <c r="L30" s="167"/>
    </row>
    <row r="31" spans="2:12" ht="17.100000000000001" customHeight="1">
      <c r="B31" s="14"/>
      <c r="C31" s="15"/>
      <c r="D31" s="15"/>
      <c r="E31" s="106">
        <v>614100</v>
      </c>
      <c r="F31" s="103" t="s">
        <v>100</v>
      </c>
      <c r="G31" s="105">
        <v>350000</v>
      </c>
      <c r="H31" s="105">
        <v>350000</v>
      </c>
      <c r="I31" s="571">
        <v>264550</v>
      </c>
      <c r="J31" s="105">
        <v>350000</v>
      </c>
      <c r="K31" s="135">
        <f t="shared" si="0"/>
        <v>100</v>
      </c>
    </row>
    <row r="32" spans="2:12" ht="17.100000000000001" customHeight="1">
      <c r="B32" s="14"/>
      <c r="C32" s="15"/>
      <c r="D32" s="15"/>
      <c r="E32" s="106">
        <v>614100</v>
      </c>
      <c r="F32" s="103" t="s">
        <v>430</v>
      </c>
      <c r="G32" s="105">
        <v>295000</v>
      </c>
      <c r="H32" s="105">
        <v>295000</v>
      </c>
      <c r="I32" s="571">
        <v>199110</v>
      </c>
      <c r="J32" s="105">
        <f>305000+40000</f>
        <v>345000</v>
      </c>
      <c r="K32" s="135">
        <f t="shared" si="0"/>
        <v>116.94915254237289</v>
      </c>
    </row>
    <row r="33" spans="2:14" ht="17.100000000000001" customHeight="1">
      <c r="B33" s="14"/>
      <c r="C33" s="15"/>
      <c r="D33" s="15"/>
      <c r="E33" s="16">
        <v>614200</v>
      </c>
      <c r="F33" s="29" t="s">
        <v>112</v>
      </c>
      <c r="G33" s="105">
        <v>150000</v>
      </c>
      <c r="H33" s="105">
        <v>150000</v>
      </c>
      <c r="I33" s="571">
        <v>116400</v>
      </c>
      <c r="J33" s="105">
        <v>150000</v>
      </c>
      <c r="K33" s="135">
        <f t="shared" si="0"/>
        <v>100</v>
      </c>
    </row>
    <row r="34" spans="2:14" s="168" customFormat="1" ht="29.25" customHeight="1">
      <c r="B34" s="161"/>
      <c r="C34" s="162"/>
      <c r="D34" s="162"/>
      <c r="E34" s="164">
        <v>614200</v>
      </c>
      <c r="F34" s="169" t="s">
        <v>282</v>
      </c>
      <c r="G34" s="166">
        <v>15000</v>
      </c>
      <c r="H34" s="166">
        <v>15000</v>
      </c>
      <c r="I34" s="572">
        <v>10000</v>
      </c>
      <c r="J34" s="166">
        <v>15000</v>
      </c>
      <c r="K34" s="135">
        <f t="shared" si="0"/>
        <v>100</v>
      </c>
    </row>
    <row r="35" spans="2:14" ht="17.100000000000001" customHeight="1">
      <c r="B35" s="14"/>
      <c r="C35" s="15"/>
      <c r="D35" s="15"/>
      <c r="E35" s="50">
        <v>614300</v>
      </c>
      <c r="F35" s="29" t="s">
        <v>101</v>
      </c>
      <c r="G35" s="105">
        <v>40000</v>
      </c>
      <c r="H35" s="105">
        <v>40000</v>
      </c>
      <c r="I35" s="571">
        <v>28500</v>
      </c>
      <c r="J35" s="105">
        <v>40000</v>
      </c>
      <c r="K35" s="135">
        <f t="shared" si="0"/>
        <v>100</v>
      </c>
    </row>
    <row r="36" spans="2:14" ht="17.100000000000001" customHeight="1">
      <c r="B36" s="14"/>
      <c r="C36" s="15"/>
      <c r="D36" s="15"/>
      <c r="E36" s="50">
        <v>614300</v>
      </c>
      <c r="F36" s="29" t="s">
        <v>102</v>
      </c>
      <c r="G36" s="105">
        <v>200000</v>
      </c>
      <c r="H36" s="105">
        <v>200000</v>
      </c>
      <c r="I36" s="571">
        <v>188500</v>
      </c>
      <c r="J36" s="105">
        <v>200000</v>
      </c>
      <c r="K36" s="135">
        <f t="shared" si="0"/>
        <v>100</v>
      </c>
      <c r="L36" s="95"/>
    </row>
    <row r="37" spans="2:14" ht="17.100000000000001" customHeight="1">
      <c r="B37" s="14"/>
      <c r="C37" s="15"/>
      <c r="D37" s="15"/>
      <c r="E37" s="50"/>
      <c r="F37" s="29"/>
      <c r="G37" s="105"/>
      <c r="H37" s="105"/>
      <c r="I37" s="571"/>
      <c r="J37" s="105"/>
      <c r="K37" s="135" t="str">
        <f t="shared" si="0"/>
        <v/>
      </c>
      <c r="L37" s="95"/>
    </row>
    <row r="38" spans="2:14" ht="17.100000000000001" customHeight="1">
      <c r="B38" s="14"/>
      <c r="C38" s="15"/>
      <c r="D38" s="15"/>
      <c r="E38" s="9">
        <v>615000</v>
      </c>
      <c r="F38" s="32" t="s">
        <v>89</v>
      </c>
      <c r="G38" s="96">
        <f>G39</f>
        <v>0</v>
      </c>
      <c r="H38" s="96">
        <f>H39</f>
        <v>0</v>
      </c>
      <c r="I38" s="570">
        <v>0</v>
      </c>
      <c r="J38" s="96">
        <f>J39</f>
        <v>0</v>
      </c>
      <c r="K38" s="135" t="str">
        <f t="shared" si="0"/>
        <v/>
      </c>
      <c r="L38" s="95"/>
    </row>
    <row r="39" spans="2:14" ht="17.100000000000001" customHeight="1">
      <c r="B39" s="14"/>
      <c r="C39" s="15"/>
      <c r="D39" s="15"/>
      <c r="E39" s="16">
        <v>615100</v>
      </c>
      <c r="F39" s="59" t="s">
        <v>89</v>
      </c>
      <c r="G39" s="105">
        <v>0</v>
      </c>
      <c r="H39" s="105">
        <v>0</v>
      </c>
      <c r="I39" s="571">
        <v>0</v>
      </c>
      <c r="J39" s="105">
        <v>0</v>
      </c>
      <c r="K39" s="135" t="str">
        <f t="shared" si="0"/>
        <v/>
      </c>
      <c r="L39" s="95"/>
    </row>
    <row r="40" spans="2:14" ht="17.100000000000001" customHeight="1">
      <c r="B40" s="14"/>
      <c r="C40" s="15"/>
      <c r="D40" s="15"/>
      <c r="E40" s="50"/>
      <c r="F40" s="29"/>
      <c r="G40" s="105"/>
      <c r="H40" s="105"/>
      <c r="I40" s="571"/>
      <c r="J40" s="105"/>
      <c r="K40" s="135" t="str">
        <f t="shared" si="0"/>
        <v/>
      </c>
    </row>
    <row r="41" spans="2:14" ht="17.100000000000001" customHeight="1">
      <c r="B41" s="14"/>
      <c r="C41" s="15"/>
      <c r="D41" s="15"/>
      <c r="E41" s="9">
        <v>616000</v>
      </c>
      <c r="F41" s="32" t="s">
        <v>209</v>
      </c>
      <c r="G41" s="96">
        <f>G42</f>
        <v>6500</v>
      </c>
      <c r="H41" s="96">
        <f>H42</f>
        <v>6500</v>
      </c>
      <c r="I41" s="570">
        <v>5438</v>
      </c>
      <c r="J41" s="96">
        <f>J42</f>
        <v>5440</v>
      </c>
      <c r="K41" s="177">
        <f t="shared" si="0"/>
        <v>83.692307692307693</v>
      </c>
    </row>
    <row r="42" spans="2:14" ht="17.100000000000001" customHeight="1">
      <c r="B42" s="14"/>
      <c r="C42" s="15"/>
      <c r="D42" s="15"/>
      <c r="E42" s="16">
        <v>616300</v>
      </c>
      <c r="F42" s="59" t="s">
        <v>218</v>
      </c>
      <c r="G42" s="105">
        <v>6500</v>
      </c>
      <c r="H42" s="105">
        <v>6500</v>
      </c>
      <c r="I42" s="571">
        <v>5438</v>
      </c>
      <c r="J42" s="105">
        <v>5440</v>
      </c>
      <c r="K42" s="135">
        <f t="shared" si="0"/>
        <v>83.692307692307693</v>
      </c>
    </row>
    <row r="43" spans="2:14" ht="17.100000000000001" customHeight="1">
      <c r="B43" s="14"/>
      <c r="C43" s="15"/>
      <c r="D43" s="15"/>
      <c r="E43" s="16"/>
      <c r="F43" s="15"/>
      <c r="G43" s="72"/>
      <c r="H43" s="72"/>
      <c r="I43" s="569"/>
      <c r="J43" s="72"/>
      <c r="K43" s="135" t="str">
        <f t="shared" si="0"/>
        <v/>
      </c>
    </row>
    <row r="44" spans="2:14" s="1" customFormat="1" ht="17.100000000000001" customHeight="1">
      <c r="B44" s="17"/>
      <c r="C44" s="12"/>
      <c r="D44" s="12"/>
      <c r="E44" s="9">
        <v>821000</v>
      </c>
      <c r="F44" s="12" t="s">
        <v>90</v>
      </c>
      <c r="G44" s="96">
        <f>SUM(G45:G46)</f>
        <v>1000</v>
      </c>
      <c r="H44" s="96">
        <f>SUM(H45:H46)</f>
        <v>1000</v>
      </c>
      <c r="I44" s="570">
        <v>989</v>
      </c>
      <c r="J44" s="96">
        <f>SUM(J45:J46)</f>
        <v>990</v>
      </c>
      <c r="K44" s="177">
        <f t="shared" si="0"/>
        <v>99</v>
      </c>
    </row>
    <row r="45" spans="2:14" ht="17.100000000000001" customHeight="1">
      <c r="B45" s="14"/>
      <c r="C45" s="15"/>
      <c r="D45" s="15"/>
      <c r="E45" s="16">
        <v>821200</v>
      </c>
      <c r="F45" s="15" t="s">
        <v>91</v>
      </c>
      <c r="G45" s="72">
        <v>0</v>
      </c>
      <c r="H45" s="72">
        <v>0</v>
      </c>
      <c r="I45" s="569">
        <v>0</v>
      </c>
      <c r="J45" s="72">
        <v>0</v>
      </c>
      <c r="K45" s="135" t="str">
        <f t="shared" si="0"/>
        <v/>
      </c>
    </row>
    <row r="46" spans="2:14" ht="17.100000000000001" customHeight="1">
      <c r="B46" s="14"/>
      <c r="C46" s="15"/>
      <c r="D46" s="15"/>
      <c r="E46" s="16">
        <v>821300</v>
      </c>
      <c r="F46" s="15" t="s">
        <v>92</v>
      </c>
      <c r="G46" s="105">
        <v>1000</v>
      </c>
      <c r="H46" s="105">
        <v>1000</v>
      </c>
      <c r="I46" s="571">
        <v>989</v>
      </c>
      <c r="J46" s="105">
        <v>990</v>
      </c>
      <c r="K46" s="135">
        <f t="shared" si="0"/>
        <v>99</v>
      </c>
      <c r="N46" s="80"/>
    </row>
    <row r="47" spans="2:14" ht="17.100000000000001" customHeight="1">
      <c r="B47" s="14"/>
      <c r="C47" s="15"/>
      <c r="D47" s="15"/>
      <c r="E47" s="16"/>
      <c r="F47" s="15"/>
      <c r="G47" s="72"/>
      <c r="H47" s="72"/>
      <c r="I47" s="569"/>
      <c r="J47" s="72"/>
      <c r="K47" s="135" t="str">
        <f t="shared" si="0"/>
        <v/>
      </c>
    </row>
    <row r="48" spans="2:14" ht="17.100000000000001" customHeight="1">
      <c r="B48" s="14"/>
      <c r="C48" s="15"/>
      <c r="D48" s="15"/>
      <c r="E48" s="9">
        <v>823000</v>
      </c>
      <c r="F48" s="12" t="s">
        <v>210</v>
      </c>
      <c r="G48" s="96">
        <f>G49</f>
        <v>75000</v>
      </c>
      <c r="H48" s="96">
        <f>H49</f>
        <v>75000</v>
      </c>
      <c r="I48" s="570">
        <v>69152</v>
      </c>
      <c r="J48" s="96">
        <f>J49</f>
        <v>69160</v>
      </c>
      <c r="K48" s="177">
        <f t="shared" si="0"/>
        <v>92.213333333333338</v>
      </c>
    </row>
    <row r="49" spans="2:11" ht="17.100000000000001" customHeight="1">
      <c r="B49" s="14"/>
      <c r="C49" s="15"/>
      <c r="D49" s="15"/>
      <c r="E49" s="16">
        <v>823300</v>
      </c>
      <c r="F49" s="26" t="s">
        <v>185</v>
      </c>
      <c r="G49" s="105">
        <v>75000</v>
      </c>
      <c r="H49" s="105">
        <v>75000</v>
      </c>
      <c r="I49" s="571">
        <v>69152</v>
      </c>
      <c r="J49" s="105">
        <v>69160</v>
      </c>
      <c r="K49" s="135">
        <f t="shared" si="0"/>
        <v>92.213333333333338</v>
      </c>
    </row>
    <row r="50" spans="2:11" ht="17.100000000000001" customHeight="1">
      <c r="B50" s="14"/>
      <c r="C50" s="15"/>
      <c r="D50" s="15"/>
      <c r="E50" s="16"/>
      <c r="F50" s="26"/>
      <c r="G50" s="72"/>
      <c r="H50" s="72"/>
      <c r="I50" s="569"/>
      <c r="J50" s="72"/>
      <c r="K50" s="135" t="str">
        <f t="shared" si="0"/>
        <v/>
      </c>
    </row>
    <row r="51" spans="2:11" s="1" customFormat="1" ht="17.100000000000001" customHeight="1">
      <c r="B51" s="17"/>
      <c r="C51" s="12"/>
      <c r="D51" s="12"/>
      <c r="E51" s="9"/>
      <c r="F51" s="12" t="s">
        <v>93</v>
      </c>
      <c r="G51" s="20">
        <v>10</v>
      </c>
      <c r="H51" s="20">
        <v>10</v>
      </c>
      <c r="I51" s="568">
        <v>10</v>
      </c>
      <c r="J51" s="20">
        <v>11</v>
      </c>
      <c r="K51" s="135"/>
    </row>
    <row r="52" spans="2:11" s="1" customFormat="1" ht="17.100000000000001" customHeight="1">
      <c r="B52" s="17"/>
      <c r="C52" s="12"/>
      <c r="D52" s="12"/>
      <c r="E52" s="9"/>
      <c r="F52" s="12" t="s">
        <v>113</v>
      </c>
      <c r="G52" s="20">
        <f>G7+G12+G15+G29+G38+G41+G44+G48</f>
        <v>1685040</v>
      </c>
      <c r="H52" s="20">
        <f>H7+H12+H15+H29+H38+H41+H44+H48</f>
        <v>1694840</v>
      </c>
      <c r="I52" s="20">
        <f t="shared" ref="I52" si="1">I7+I12+I15+I29+I38+I41+I44+I48</f>
        <v>1300120</v>
      </c>
      <c r="J52" s="20">
        <f>J7+J12+J15+J29+J38+J41+J44+J48</f>
        <v>1712390</v>
      </c>
      <c r="K52" s="177">
        <f t="shared" si="0"/>
        <v>101.03549597602132</v>
      </c>
    </row>
    <row r="53" spans="2:11" s="1" customFormat="1" ht="17.100000000000001" customHeight="1">
      <c r="B53" s="17"/>
      <c r="C53" s="12"/>
      <c r="D53" s="12"/>
      <c r="E53" s="9"/>
      <c r="F53" s="12" t="s">
        <v>94</v>
      </c>
      <c r="G53" s="15"/>
      <c r="H53" s="15"/>
      <c r="I53" s="15"/>
      <c r="J53" s="15"/>
      <c r="K53" s="136"/>
    </row>
    <row r="54" spans="2:11" s="1" customFormat="1" ht="17.100000000000001" customHeight="1">
      <c r="B54" s="17"/>
      <c r="C54" s="12"/>
      <c r="D54" s="12"/>
      <c r="E54" s="9"/>
      <c r="F54" s="12" t="s">
        <v>95</v>
      </c>
      <c r="G54" s="15"/>
      <c r="H54" s="15"/>
      <c r="I54" s="15"/>
      <c r="J54" s="15"/>
      <c r="K54" s="136"/>
    </row>
    <row r="55" spans="2:11" ht="8.25" customHeight="1" thickBot="1">
      <c r="B55" s="21"/>
      <c r="C55" s="22"/>
      <c r="D55" s="22"/>
      <c r="E55" s="23"/>
      <c r="F55" s="22"/>
      <c r="G55" s="22"/>
      <c r="H55" s="22"/>
      <c r="I55" s="22"/>
      <c r="J55" s="22"/>
      <c r="K55" s="138"/>
    </row>
    <row r="56" spans="2:11" ht="17.100000000000001" customHeight="1"/>
    <row r="57" spans="2:11" ht="17.100000000000001" customHeight="1"/>
    <row r="58" spans="2:11" ht="17.100000000000001" customHeight="1">
      <c r="B58" s="71"/>
    </row>
    <row r="59" spans="2:11" ht="17.100000000000001" customHeight="1">
      <c r="B59" s="71"/>
    </row>
    <row r="60" spans="2:11">
      <c r="B60" s="71"/>
    </row>
    <row r="61" spans="2:11">
      <c r="B61" s="71"/>
    </row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B2:N59"/>
  <sheetViews>
    <sheetView topLeftCell="A10" zoomScaleNormal="100" zoomScaleSheetLayoutView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2" width="9.140625" style="13"/>
    <col min="13" max="13" width="10.140625" style="13" bestFit="1" customWidth="1"/>
    <col min="14" max="16384" width="9.140625" style="13"/>
  </cols>
  <sheetData>
    <row r="2" spans="2:14" ht="15" customHeight="1">
      <c r="B2" s="784" t="s">
        <v>168</v>
      </c>
      <c r="C2" s="784"/>
      <c r="D2" s="784"/>
      <c r="E2" s="784"/>
      <c r="F2" s="784"/>
      <c r="G2" s="784"/>
      <c r="H2" s="394"/>
      <c r="I2" s="394"/>
    </row>
    <row r="3" spans="2:14" s="1" customFormat="1" ht="16.5" thickBot="1">
      <c r="E3" s="2"/>
      <c r="F3" s="785"/>
      <c r="G3" s="785"/>
      <c r="H3" s="393"/>
      <c r="I3" s="393"/>
      <c r="J3" s="159"/>
      <c r="K3" s="160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4" s="2" customFormat="1" ht="17.100000000000001" customHeight="1">
      <c r="B6" s="10" t="s">
        <v>143</v>
      </c>
      <c r="C6" s="11" t="s">
        <v>132</v>
      </c>
      <c r="D6" s="11" t="s">
        <v>117</v>
      </c>
      <c r="E6" s="9"/>
      <c r="F6" s="9"/>
      <c r="G6" s="147"/>
      <c r="H6" s="147"/>
      <c r="I6" s="147"/>
      <c r="J6" s="147"/>
      <c r="K6" s="133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1104340</v>
      </c>
      <c r="H7" s="337">
        <f>SUM(H8:H11)</f>
        <v>1104340</v>
      </c>
      <c r="I7" s="583">
        <v>793500</v>
      </c>
      <c r="J7" s="337">
        <f>SUM(J8:J11)</f>
        <v>1095580</v>
      </c>
      <c r="K7" s="134">
        <f>IF(H7=0,"",J7/H7*100)</f>
        <v>99.206766032200235</v>
      </c>
      <c r="M7" s="81"/>
      <c r="N7" s="81"/>
    </row>
    <row r="8" spans="2:14" ht="17.100000000000001" customHeight="1">
      <c r="B8" s="14"/>
      <c r="C8" s="15"/>
      <c r="D8" s="15"/>
      <c r="E8" s="16">
        <v>611100</v>
      </c>
      <c r="F8" s="26" t="s">
        <v>204</v>
      </c>
      <c r="G8" s="339">
        <f>856320+2000+8230+25690</f>
        <v>892240</v>
      </c>
      <c r="H8" s="339">
        <f>856320+2000+8230+25690</f>
        <v>892240</v>
      </c>
      <c r="I8" s="584">
        <v>649480</v>
      </c>
      <c r="J8" s="339">
        <f>880300+5000</f>
        <v>885300</v>
      </c>
      <c r="K8" s="135">
        <f>IF(H8=0,"",J8/H8*100)</f>
        <v>99.222182372455833</v>
      </c>
    </row>
    <row r="9" spans="2:14" ht="17.100000000000001" customHeight="1">
      <c r="B9" s="14"/>
      <c r="C9" s="15"/>
      <c r="D9" s="15"/>
      <c r="E9" s="16">
        <v>611200</v>
      </c>
      <c r="F9" s="15" t="s">
        <v>205</v>
      </c>
      <c r="G9" s="339">
        <f>194450+1500+4*1470+3*840+7750</f>
        <v>212100</v>
      </c>
      <c r="H9" s="339">
        <f>194450+1500+4*1470+3*840+7750</f>
        <v>212100</v>
      </c>
      <c r="I9" s="584">
        <v>144020</v>
      </c>
      <c r="J9" s="339">
        <f>193100+54*270+2600</f>
        <v>210280</v>
      </c>
      <c r="K9" s="135">
        <f t="shared" ref="K9:K34" si="0">IF(H9=0,"",J9/H9*100)</f>
        <v>99.141914191419147</v>
      </c>
      <c r="M9" s="80"/>
    </row>
    <row r="10" spans="2:14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82">
        <v>0</v>
      </c>
      <c r="J10" s="336">
        <v>0</v>
      </c>
      <c r="K10" s="135" t="str">
        <f t="shared" si="0"/>
        <v/>
      </c>
      <c r="M10" s="79"/>
    </row>
    <row r="11" spans="2:14" ht="17.100000000000001" customHeight="1">
      <c r="B11" s="14"/>
      <c r="C11" s="15"/>
      <c r="D11" s="15"/>
      <c r="E11" s="16"/>
      <c r="F11" s="26"/>
      <c r="G11" s="339"/>
      <c r="H11" s="339"/>
      <c r="I11" s="584"/>
      <c r="J11" s="339"/>
      <c r="K11" s="135" t="str">
        <f t="shared" si="0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98200</v>
      </c>
      <c r="H12" s="337">
        <f>H13</f>
        <v>98200</v>
      </c>
      <c r="I12" s="583">
        <v>71482</v>
      </c>
      <c r="J12" s="337">
        <f>J13</f>
        <v>96900</v>
      </c>
      <c r="K12" s="177">
        <f t="shared" si="0"/>
        <v>98.676171079429736</v>
      </c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39">
        <f>94850+500+2850</f>
        <v>98200</v>
      </c>
      <c r="H13" s="339">
        <f>94850+500+2850</f>
        <v>98200</v>
      </c>
      <c r="I13" s="584">
        <v>71482</v>
      </c>
      <c r="J13" s="339">
        <v>96900</v>
      </c>
      <c r="K13" s="135">
        <f t="shared" si="0"/>
        <v>98.676171079429736</v>
      </c>
    </row>
    <row r="14" spans="2:14" ht="17.100000000000001" customHeight="1">
      <c r="B14" s="14"/>
      <c r="C14" s="15"/>
      <c r="D14" s="15"/>
      <c r="E14" s="16"/>
      <c r="F14" s="15"/>
      <c r="G14" s="40"/>
      <c r="H14" s="40"/>
      <c r="I14" s="578"/>
      <c r="J14" s="40"/>
      <c r="K14" s="135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155500</v>
      </c>
      <c r="H15" s="43">
        <f>SUM(H16:H25)</f>
        <v>155500</v>
      </c>
      <c r="I15" s="579">
        <v>83150</v>
      </c>
      <c r="J15" s="43">
        <f>SUM(J16:J25)</f>
        <v>151500</v>
      </c>
      <c r="K15" s="177">
        <f t="shared" si="0"/>
        <v>97.427652733118975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40">
        <v>6000</v>
      </c>
      <c r="H16" s="40">
        <v>6000</v>
      </c>
      <c r="I16" s="578">
        <v>1732</v>
      </c>
      <c r="J16" s="40">
        <v>5000</v>
      </c>
      <c r="K16" s="135">
        <f t="shared" si="0"/>
        <v>83.333333333333343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60000</v>
      </c>
      <c r="H17" s="40">
        <v>60000</v>
      </c>
      <c r="I17" s="578">
        <v>22686</v>
      </c>
      <c r="J17" s="40">
        <v>60000</v>
      </c>
      <c r="K17" s="135">
        <f t="shared" si="0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40">
        <v>8000</v>
      </c>
      <c r="H18" s="40">
        <v>8000</v>
      </c>
      <c r="I18" s="578">
        <v>6525</v>
      </c>
      <c r="J18" s="40">
        <v>10500</v>
      </c>
      <c r="K18" s="135">
        <f t="shared" si="0"/>
        <v>131.25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40">
        <v>22000</v>
      </c>
      <c r="H19" s="40">
        <v>22000</v>
      </c>
      <c r="I19" s="578">
        <v>15280</v>
      </c>
      <c r="J19" s="40">
        <v>22000</v>
      </c>
      <c r="K19" s="135">
        <f t="shared" si="0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2500</v>
      </c>
      <c r="H20" s="105">
        <v>2500</v>
      </c>
      <c r="I20" s="581">
        <v>1108</v>
      </c>
      <c r="J20" s="105">
        <v>2000</v>
      </c>
      <c r="K20" s="135">
        <f t="shared" si="0"/>
        <v>80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578">
        <v>0</v>
      </c>
      <c r="J21" s="40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40">
        <v>17000</v>
      </c>
      <c r="H22" s="40">
        <v>17000</v>
      </c>
      <c r="I22" s="578">
        <v>6360</v>
      </c>
      <c r="J22" s="40">
        <f>17000-4000</f>
        <v>13000</v>
      </c>
      <c r="K22" s="135">
        <f t="shared" si="0"/>
        <v>76.470588235294116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40">
        <v>0</v>
      </c>
      <c r="H23" s="40">
        <v>0</v>
      </c>
      <c r="I23" s="578">
        <v>0</v>
      </c>
      <c r="J23" s="40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40000</v>
      </c>
      <c r="H24" s="105">
        <v>40000</v>
      </c>
      <c r="I24" s="581">
        <v>29459</v>
      </c>
      <c r="J24" s="105">
        <v>39000</v>
      </c>
      <c r="K24" s="135">
        <f t="shared" si="0"/>
        <v>97.5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97">
        <v>0</v>
      </c>
      <c r="H25" s="97">
        <v>0</v>
      </c>
      <c r="I25" s="580">
        <v>0</v>
      </c>
      <c r="J25" s="97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40"/>
      <c r="H26" s="40"/>
      <c r="I26" s="578"/>
      <c r="J26" s="40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SUM(G28:G30)</f>
        <v>30000</v>
      </c>
      <c r="H27" s="20">
        <f>SUM(H28:H30)</f>
        <v>36430</v>
      </c>
      <c r="I27" s="576">
        <v>24840</v>
      </c>
      <c r="J27" s="20">
        <f>SUM(J28:J30)</f>
        <v>50250</v>
      </c>
      <c r="K27" s="177">
        <f t="shared" si="0"/>
        <v>137.9357672248147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5">
        <v>25000</v>
      </c>
      <c r="H28" s="105">
        <v>25000</v>
      </c>
      <c r="I28" s="581">
        <v>17419</v>
      </c>
      <c r="J28" s="105">
        <f>25000+4000</f>
        <v>29000</v>
      </c>
      <c r="K28" s="135">
        <f t="shared" si="0"/>
        <v>115.99999999999999</v>
      </c>
      <c r="L28" s="71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11430</v>
      </c>
      <c r="I29" s="581">
        <v>7421</v>
      </c>
      <c r="J29" s="105">
        <v>21250</v>
      </c>
      <c r="K29" s="135">
        <f t="shared" si="0"/>
        <v>185.91426071741034</v>
      </c>
    </row>
    <row r="30" spans="2:12" ht="17.100000000000001" customHeight="1">
      <c r="B30" s="14"/>
      <c r="C30" s="15"/>
      <c r="D30" s="15"/>
      <c r="E30" s="16"/>
      <c r="F30" s="26"/>
      <c r="G30" s="40"/>
      <c r="H30" s="40"/>
      <c r="I30" s="578"/>
      <c r="J30" s="4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657</v>
      </c>
      <c r="H31" s="25" t="s">
        <v>657</v>
      </c>
      <c r="I31" s="577" t="s">
        <v>675</v>
      </c>
      <c r="J31" s="658" t="s">
        <v>675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1388040</v>
      </c>
      <c r="H32" s="20">
        <f>H7+H12+H15+H27</f>
        <v>1394470</v>
      </c>
      <c r="I32" s="20">
        <f t="shared" ref="I32" si="1">I7+I12+I15+I27</f>
        <v>972972</v>
      </c>
      <c r="J32" s="20">
        <f>J7+J12+J15+J27</f>
        <v>1394230</v>
      </c>
      <c r="K32" s="177">
        <f t="shared" si="0"/>
        <v>99.982789160039303</v>
      </c>
    </row>
    <row r="33" spans="2:14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  <c r="N33" s="1" t="s">
        <v>175</v>
      </c>
    </row>
    <row r="34" spans="2:14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4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4" ht="17.100000000000001" customHeight="1"/>
    <row r="37" spans="2:14" ht="17.100000000000001" customHeight="1">
      <c r="B37" s="71"/>
    </row>
    <row r="38" spans="2:14" ht="17.100000000000001" customHeight="1">
      <c r="B38" s="71"/>
    </row>
    <row r="39" spans="2:14" ht="17.100000000000001" customHeight="1">
      <c r="B39" s="71"/>
    </row>
    <row r="40" spans="2:14" ht="17.100000000000001" customHeight="1">
      <c r="B40" s="71"/>
    </row>
    <row r="41" spans="2:14" ht="17.100000000000001" customHeight="1">
      <c r="B41" s="71"/>
    </row>
    <row r="42" spans="2:14" ht="17.100000000000001" customHeight="1">
      <c r="B42" s="71"/>
    </row>
    <row r="43" spans="2:14" ht="17.100000000000001" customHeight="1">
      <c r="B43" s="71"/>
    </row>
    <row r="44" spans="2:14" ht="17.100000000000001" customHeight="1">
      <c r="B44" s="71"/>
    </row>
    <row r="45" spans="2:14" ht="17.100000000000001" customHeight="1">
      <c r="B45" s="71"/>
    </row>
    <row r="46" spans="2:14" ht="17.100000000000001" customHeight="1">
      <c r="B46" s="71"/>
    </row>
    <row r="47" spans="2:14" ht="17.100000000000001" customHeight="1">
      <c r="B47" s="71"/>
    </row>
    <row r="48" spans="2:14" ht="17.100000000000001" customHeight="1">
      <c r="B48" s="71"/>
    </row>
    <row r="49" spans="2:2" ht="17.100000000000001" customHeight="1">
      <c r="B49" s="71"/>
    </row>
    <row r="50" spans="2:2" ht="17.100000000000001" customHeight="1">
      <c r="B50" s="71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B2:M59"/>
  <sheetViews>
    <sheetView zoomScaleNormal="100" zoomScaleSheetLayoutView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278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19" t="s">
        <v>143</v>
      </c>
      <c r="C6" s="120" t="s">
        <v>132</v>
      </c>
      <c r="D6" s="120" t="s">
        <v>124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999600</v>
      </c>
      <c r="H7" s="337">
        <f>SUM(H8:H11)</f>
        <v>999600</v>
      </c>
      <c r="I7" s="592">
        <v>731646</v>
      </c>
      <c r="J7" s="337">
        <f>SUM(J8:J11)</f>
        <v>1011880</v>
      </c>
      <c r="K7" s="134">
        <f>IF(H7=0,"",J7/H7*100)</f>
        <v>101.22849139655862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743160+0+1200+2*8280+9120+22300+770</f>
        <v>793110</v>
      </c>
      <c r="H8" s="339">
        <f>743160+0+1200+2*8280+9120+22300+770</f>
        <v>793110</v>
      </c>
      <c r="I8" s="593">
        <v>593747</v>
      </c>
      <c r="J8" s="339">
        <f>808400</f>
        <v>808400</v>
      </c>
      <c r="K8" s="135">
        <f>IF(H8=0,"",J8/H8*100)</f>
        <v>101.92785363946994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185030+3000+2*1470+3*840+3500+9500</f>
        <v>206490</v>
      </c>
      <c r="H9" s="339">
        <f>185030+3000+2*1470+3*840+3500+9500</f>
        <v>206490</v>
      </c>
      <c r="I9" s="593">
        <v>137899</v>
      </c>
      <c r="J9" s="339">
        <f>188900+54*270</f>
        <v>203480</v>
      </c>
      <c r="K9" s="135">
        <f t="shared" ref="K9:K34" si="0">IF(H9=0,"",J9/H9*100)</f>
        <v>98.542302290667834</v>
      </c>
      <c r="M9" s="71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591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593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84970</v>
      </c>
      <c r="H12" s="337">
        <f>H13</f>
        <v>84970</v>
      </c>
      <c r="I12" s="592">
        <v>64596</v>
      </c>
      <c r="J12" s="337">
        <f>J13</f>
        <v>88500</v>
      </c>
      <c r="K12" s="177">
        <f t="shared" si="0"/>
        <v>104.15440743791926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79660+0+2*910+1010+2390+90</f>
        <v>84970</v>
      </c>
      <c r="H13" s="339">
        <f>79660+0+2*910+1010+2390+90</f>
        <v>84970</v>
      </c>
      <c r="I13" s="593">
        <v>64596</v>
      </c>
      <c r="J13" s="339">
        <f>88500</f>
        <v>88500</v>
      </c>
      <c r="K13" s="135">
        <f t="shared" si="0"/>
        <v>104.15440743791926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86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206700</v>
      </c>
      <c r="H15" s="43">
        <f>SUM(H16:H25)</f>
        <v>206700</v>
      </c>
      <c r="I15" s="587">
        <v>159275</v>
      </c>
      <c r="J15" s="43">
        <f>SUM(J16:J25)</f>
        <v>217850</v>
      </c>
      <c r="K15" s="177">
        <f t="shared" si="0"/>
        <v>105.39429124334785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5">
        <v>6000</v>
      </c>
      <c r="H16" s="105">
        <v>5500</v>
      </c>
      <c r="I16" s="589">
        <v>3837</v>
      </c>
      <c r="J16" s="105">
        <v>5500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100000</v>
      </c>
      <c r="H17" s="40">
        <v>97000</v>
      </c>
      <c r="I17" s="586">
        <v>82884</v>
      </c>
      <c r="J17" s="40">
        <v>109400</v>
      </c>
      <c r="K17" s="135">
        <f t="shared" si="0"/>
        <v>112.78350515463917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105">
        <v>18000</v>
      </c>
      <c r="H18" s="105">
        <v>13900</v>
      </c>
      <c r="I18" s="589">
        <v>9761</v>
      </c>
      <c r="J18" s="105">
        <v>13900</v>
      </c>
      <c r="K18" s="135">
        <f t="shared" si="0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105">
        <v>30000</v>
      </c>
      <c r="H19" s="105">
        <v>29000</v>
      </c>
      <c r="I19" s="589">
        <v>21152</v>
      </c>
      <c r="J19" s="105">
        <v>28750</v>
      </c>
      <c r="K19" s="135">
        <f t="shared" si="0"/>
        <v>99.137931034482762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700</v>
      </c>
      <c r="H20" s="105">
        <v>400</v>
      </c>
      <c r="I20" s="589">
        <v>214</v>
      </c>
      <c r="J20" s="105">
        <v>400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589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32000</v>
      </c>
      <c r="H22" s="105">
        <v>32000</v>
      </c>
      <c r="I22" s="589">
        <v>17510</v>
      </c>
      <c r="J22" s="105">
        <v>31000</v>
      </c>
      <c r="K22" s="135">
        <f t="shared" si="0"/>
        <v>96.875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589">
        <v>0</v>
      </c>
      <c r="J23" s="105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20000</v>
      </c>
      <c r="H24" s="105">
        <v>28900</v>
      </c>
      <c r="I24" s="589">
        <v>23917</v>
      </c>
      <c r="J24" s="105">
        <v>28900</v>
      </c>
      <c r="K24" s="135">
        <f t="shared" si="0"/>
        <v>100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590">
        <v>0</v>
      </c>
      <c r="J25" s="151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5"/>
      <c r="H26" s="105"/>
      <c r="I26" s="589"/>
      <c r="J26" s="105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5000</v>
      </c>
      <c r="H27" s="96">
        <f>SUM(H28:H29)</f>
        <v>5000</v>
      </c>
      <c r="I27" s="588">
        <v>0</v>
      </c>
      <c r="J27" s="96">
        <f>SUM(J28:J29)</f>
        <v>5000</v>
      </c>
      <c r="K27" s="177">
        <f t="shared" si="0"/>
        <v>100</v>
      </c>
    </row>
    <row r="28" spans="2:12" ht="17.100000000000001" customHeight="1">
      <c r="B28" s="14"/>
      <c r="C28" s="15"/>
      <c r="D28" s="15"/>
      <c r="E28" s="107">
        <v>821200</v>
      </c>
      <c r="F28" s="19" t="s">
        <v>91</v>
      </c>
      <c r="G28" s="105">
        <v>0</v>
      </c>
      <c r="H28" s="105">
        <v>0</v>
      </c>
      <c r="I28" s="589">
        <v>0</v>
      </c>
      <c r="J28" s="105">
        <v>0</v>
      </c>
      <c r="K28" s="135" t="str">
        <f t="shared" si="0"/>
        <v/>
      </c>
      <c r="L28" s="71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5000</v>
      </c>
      <c r="I29" s="589">
        <v>0</v>
      </c>
      <c r="J29" s="105">
        <v>5000</v>
      </c>
      <c r="K29" s="135">
        <f t="shared" si="0"/>
        <v>100</v>
      </c>
    </row>
    <row r="30" spans="2:12" ht="17.100000000000001" customHeight="1">
      <c r="B30" s="14"/>
      <c r="C30" s="15"/>
      <c r="D30" s="15"/>
      <c r="E30" s="16"/>
      <c r="F30" s="15"/>
      <c r="G30" s="105"/>
      <c r="H30" s="105"/>
      <c r="I30" s="589"/>
      <c r="J30" s="105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666</v>
      </c>
      <c r="H31" s="25" t="s">
        <v>666</v>
      </c>
      <c r="I31" s="585" t="s">
        <v>732</v>
      </c>
      <c r="J31" s="658" t="s">
        <v>732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1296270</v>
      </c>
      <c r="H32" s="20">
        <f>H7+H12+H15+H27</f>
        <v>1296270</v>
      </c>
      <c r="I32" s="20">
        <f t="shared" ref="I32" si="1">I7+I12+I15+I27</f>
        <v>955517</v>
      </c>
      <c r="J32" s="20">
        <f>J7+J12+J15+J27</f>
        <v>1323230</v>
      </c>
      <c r="K32" s="177">
        <f t="shared" si="0"/>
        <v>102.07981361907628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B2:M59"/>
  <sheetViews>
    <sheetView topLeftCell="A2" zoomScaleNormal="100" zoomScaleSheetLayoutView="100" workbookViewId="0">
      <selection activeCell="M32" sqref="M32:N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784" t="s">
        <v>279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19" t="s">
        <v>143</v>
      </c>
      <c r="C6" s="120" t="s">
        <v>132</v>
      </c>
      <c r="D6" s="120" t="s">
        <v>125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844620</v>
      </c>
      <c r="H7" s="337">
        <f>SUM(H8:H11)</f>
        <v>844620</v>
      </c>
      <c r="I7" s="601">
        <v>631724</v>
      </c>
      <c r="J7" s="337">
        <f>SUM(J8:J11)</f>
        <v>867180</v>
      </c>
      <c r="K7" s="134">
        <f>IF(H7=0,"",J7/H7*100)</f>
        <v>102.67102365560842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658100+0+19750</f>
        <v>677850</v>
      </c>
      <c r="H8" s="339">
        <f>658100+0+19750</f>
        <v>677850</v>
      </c>
      <c r="I8" s="602">
        <v>521642</v>
      </c>
      <c r="J8" s="339">
        <v>704500</v>
      </c>
      <c r="K8" s="135">
        <f>IF(H8=0,"",J8/H8*100)</f>
        <v>103.93154827764255</v>
      </c>
      <c r="L8" s="71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157980+1500+1470+3*840+3300</f>
        <v>166770</v>
      </c>
      <c r="H9" s="339">
        <f>157980+1500+1470+3*840+3300</f>
        <v>166770</v>
      </c>
      <c r="I9" s="602">
        <v>110082</v>
      </c>
      <c r="J9" s="339">
        <f>150800+44*270</f>
        <v>162680</v>
      </c>
      <c r="K9" s="135">
        <f t="shared" ref="K9:K34" si="0">IF(H9=0,"",J9/H9*100)</f>
        <v>97.547520537266891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00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602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72580</v>
      </c>
      <c r="H12" s="337">
        <f>H13</f>
        <v>72580</v>
      </c>
      <c r="I12" s="601">
        <v>56595</v>
      </c>
      <c r="J12" s="337">
        <f>J13</f>
        <v>76400</v>
      </c>
      <c r="K12" s="177">
        <f t="shared" si="0"/>
        <v>105.26315789473684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70460+0+2120</f>
        <v>72580</v>
      </c>
      <c r="H13" s="339">
        <f>70460+0+2120</f>
        <v>72580</v>
      </c>
      <c r="I13" s="602">
        <v>56595</v>
      </c>
      <c r="J13" s="339">
        <f>76400</f>
        <v>76400</v>
      </c>
      <c r="K13" s="135">
        <f t="shared" si="0"/>
        <v>105.26315789473684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595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SUM(G16:G26)</f>
        <v>141210</v>
      </c>
      <c r="H15" s="43">
        <f>SUM(H16:H26)</f>
        <v>141210</v>
      </c>
      <c r="I15" s="596">
        <v>102159</v>
      </c>
      <c r="J15" s="43">
        <f>SUM(J16:J26)</f>
        <v>141160</v>
      </c>
      <c r="K15" s="177">
        <f t="shared" si="0"/>
        <v>99.964591742794411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5">
        <v>4000</v>
      </c>
      <c r="H16" s="105">
        <v>4000</v>
      </c>
      <c r="I16" s="598">
        <v>3230</v>
      </c>
      <c r="J16" s="105">
        <v>4000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50000</v>
      </c>
      <c r="H17" s="40">
        <v>50000</v>
      </c>
      <c r="I17" s="595">
        <v>33968</v>
      </c>
      <c r="J17" s="40">
        <v>55000</v>
      </c>
      <c r="K17" s="135">
        <f t="shared" si="0"/>
        <v>110.00000000000001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40">
        <v>7500</v>
      </c>
      <c r="H18" s="40">
        <v>7500</v>
      </c>
      <c r="I18" s="595">
        <v>4739</v>
      </c>
      <c r="J18" s="40">
        <v>7000</v>
      </c>
      <c r="K18" s="135">
        <f t="shared" si="0"/>
        <v>93.333333333333329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40">
        <v>17000</v>
      </c>
      <c r="H19" s="40">
        <v>17000</v>
      </c>
      <c r="I19" s="595">
        <v>13155</v>
      </c>
      <c r="J19" s="40">
        <v>16200</v>
      </c>
      <c r="K19" s="135">
        <f t="shared" si="0"/>
        <v>95.294117647058812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3000</v>
      </c>
      <c r="H20" s="105">
        <v>3000</v>
      </c>
      <c r="I20" s="598">
        <v>2373</v>
      </c>
      <c r="J20" s="105">
        <v>3000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598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14000</v>
      </c>
      <c r="H22" s="105">
        <v>14000</v>
      </c>
      <c r="I22" s="598">
        <v>9802</v>
      </c>
      <c r="J22" s="105">
        <v>14300</v>
      </c>
      <c r="K22" s="135">
        <f t="shared" si="0"/>
        <v>102.14285714285714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598">
        <v>0</v>
      </c>
      <c r="J23" s="105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356">
        <v>25000</v>
      </c>
      <c r="H24" s="356">
        <v>25000</v>
      </c>
      <c r="I24" s="603">
        <v>16782</v>
      </c>
      <c r="J24" s="356">
        <v>23500</v>
      </c>
      <c r="K24" s="135">
        <f t="shared" si="0"/>
        <v>94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599">
        <v>0</v>
      </c>
      <c r="J25" s="151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>
        <v>613900</v>
      </c>
      <c r="F26" s="98" t="s">
        <v>606</v>
      </c>
      <c r="G26" s="105">
        <v>20710</v>
      </c>
      <c r="H26" s="105">
        <v>20710</v>
      </c>
      <c r="I26" s="598">
        <v>18110</v>
      </c>
      <c r="J26" s="105">
        <v>18160</v>
      </c>
      <c r="K26" s="135">
        <f t="shared" si="0"/>
        <v>87.687107677450498</v>
      </c>
    </row>
    <row r="27" spans="2:12" s="1" customFormat="1" ht="17.100000000000001" customHeight="1">
      <c r="B27" s="17"/>
      <c r="C27" s="12"/>
      <c r="D27" s="12"/>
      <c r="E27" s="9"/>
      <c r="F27" s="12"/>
      <c r="G27" s="105"/>
      <c r="H27" s="105"/>
      <c r="I27" s="598"/>
      <c r="J27" s="105"/>
      <c r="K27" s="135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96">
        <f>SUM(G29:G30)</f>
        <v>15200</v>
      </c>
      <c r="H28" s="96">
        <f>SUM(H29:H30)</f>
        <v>15200</v>
      </c>
      <c r="I28" s="597">
        <v>15194</v>
      </c>
      <c r="J28" s="96">
        <f>SUM(J29:J30)</f>
        <v>20800</v>
      </c>
      <c r="K28" s="177">
        <f t="shared" si="0"/>
        <v>136.84210526315789</v>
      </c>
    </row>
    <row r="29" spans="2:12" ht="17.100000000000001" customHeight="1">
      <c r="B29" s="14"/>
      <c r="C29" s="15"/>
      <c r="D29" s="15"/>
      <c r="E29" s="107">
        <v>821200</v>
      </c>
      <c r="F29" s="19" t="s">
        <v>91</v>
      </c>
      <c r="G29" s="105">
        <v>0</v>
      </c>
      <c r="H29" s="105">
        <v>0</v>
      </c>
      <c r="I29" s="598">
        <v>0</v>
      </c>
      <c r="J29" s="105">
        <v>0</v>
      </c>
      <c r="K29" s="135" t="str">
        <f t="shared" si="0"/>
        <v/>
      </c>
      <c r="L29" s="71"/>
    </row>
    <row r="30" spans="2:12" ht="17.100000000000001" customHeight="1">
      <c r="B30" s="14"/>
      <c r="C30" s="15"/>
      <c r="D30" s="15"/>
      <c r="E30" s="16">
        <v>821300</v>
      </c>
      <c r="F30" s="15" t="s">
        <v>92</v>
      </c>
      <c r="G30" s="105">
        <f>5000+10200</f>
        <v>15200</v>
      </c>
      <c r="H30" s="105">
        <f>5000+10200</f>
        <v>15200</v>
      </c>
      <c r="I30" s="598">
        <v>15194</v>
      </c>
      <c r="J30" s="105">
        <f>15200+5000+600</f>
        <v>20800</v>
      </c>
      <c r="K30" s="135">
        <f t="shared" si="0"/>
        <v>136.84210526315789</v>
      </c>
    </row>
    <row r="31" spans="2:12" ht="17.100000000000001" customHeight="1">
      <c r="B31" s="14"/>
      <c r="C31" s="15"/>
      <c r="D31" s="15"/>
      <c r="E31" s="16"/>
      <c r="F31" s="15"/>
      <c r="G31" s="40"/>
      <c r="H31" s="40"/>
      <c r="I31" s="595"/>
      <c r="J31" s="40"/>
      <c r="K31" s="135" t="str">
        <f t="shared" si="0"/>
        <v/>
      </c>
    </row>
    <row r="32" spans="2:12" s="1" customFormat="1" ht="17.100000000000001" customHeight="1">
      <c r="B32" s="17"/>
      <c r="C32" s="12"/>
      <c r="D32" s="12"/>
      <c r="E32" s="9"/>
      <c r="F32" s="12" t="s">
        <v>93</v>
      </c>
      <c r="G32" s="25" t="s">
        <v>601</v>
      </c>
      <c r="H32" s="25" t="s">
        <v>601</v>
      </c>
      <c r="I32" s="594" t="s">
        <v>733</v>
      </c>
      <c r="J32" s="658" t="s">
        <v>733</v>
      </c>
      <c r="K32" s="135"/>
    </row>
    <row r="33" spans="2:11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1073610</v>
      </c>
      <c r="H33" s="20">
        <f>H7+H12+H15+H28</f>
        <v>1073610</v>
      </c>
      <c r="I33" s="20">
        <f t="shared" ref="I33" si="1">I7+I12+I15+I28</f>
        <v>805672</v>
      </c>
      <c r="J33" s="20">
        <f>J7+J12+J15+J28</f>
        <v>1105540</v>
      </c>
      <c r="K33" s="177">
        <f>IF(H33=0,"",J33/H33*100)</f>
        <v>102.97407811030077</v>
      </c>
    </row>
    <row r="34" spans="2:11" s="1" customFormat="1" ht="17.100000000000001" customHeight="1">
      <c r="B34" s="17"/>
      <c r="C34" s="12"/>
      <c r="D34" s="12"/>
      <c r="E34" s="9"/>
      <c r="F34" s="12" t="s">
        <v>94</v>
      </c>
      <c r="G34" s="20">
        <f>G33+'22'!G32+'21'!G32</f>
        <v>3757920</v>
      </c>
      <c r="H34" s="20">
        <f>H33+'22'!H32+'21'!H32</f>
        <v>3764350</v>
      </c>
      <c r="I34" s="20">
        <f>I33+'22'!I32+'21'!I32</f>
        <v>2734161</v>
      </c>
      <c r="J34" s="20">
        <f>J33+'22'!J32+'21'!J32</f>
        <v>3823000</v>
      </c>
      <c r="K34" s="177">
        <f t="shared" si="0"/>
        <v>101.55803790827103</v>
      </c>
    </row>
    <row r="35" spans="2:11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39"/>
      <c r="K35" s="136"/>
    </row>
    <row r="36" spans="2:11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41"/>
      <c r="K36" s="138"/>
    </row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B2:M59"/>
  <sheetViews>
    <sheetView zoomScaleNormal="100" zoomScaleSheetLayoutView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144</v>
      </c>
      <c r="C2" s="784"/>
      <c r="D2" s="784"/>
      <c r="E2" s="784"/>
      <c r="F2" s="784"/>
      <c r="G2" s="784"/>
      <c r="H2" s="392"/>
      <c r="I2" s="392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1050680</v>
      </c>
      <c r="H7" s="337">
        <f>SUM(H8:H11)</f>
        <v>1050680</v>
      </c>
      <c r="I7" s="610">
        <v>744871</v>
      </c>
      <c r="J7" s="337">
        <f>SUM(J8:J11)</f>
        <v>1023070</v>
      </c>
      <c r="K7" s="134">
        <f>IF(H7=0,"",J7/H7*100)</f>
        <v>97.372178018045446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817970+3000+4000+16600+7000+24540+500</f>
        <v>873610</v>
      </c>
      <c r="H8" s="339">
        <f>817970+3000+4000+16600+7000+24540+500</f>
        <v>873610</v>
      </c>
      <c r="I8" s="611">
        <v>623029</v>
      </c>
      <c r="J8" s="339">
        <f>842600</f>
        <v>842600</v>
      </c>
      <c r="K8" s="135">
        <f>IF(H8=0,"",J8/H8*100)</f>
        <v>96.450361145133414</v>
      </c>
      <c r="L8" s="95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162680+3500+3*840+1470+2500+3000+1400</f>
        <v>177070</v>
      </c>
      <c r="H9" s="339">
        <f>162680+3500+3*840+1470+2500+3000+1400</f>
        <v>177070</v>
      </c>
      <c r="I9" s="611">
        <v>121842</v>
      </c>
      <c r="J9" s="339">
        <f>166700+51*270</f>
        <v>180470</v>
      </c>
      <c r="K9" s="135">
        <f t="shared" ref="K9:K34" si="0">IF(H9=0,"",J9/H9*100)</f>
        <v>101.92014457559158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09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611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93510</v>
      </c>
      <c r="H12" s="337">
        <f>H13</f>
        <v>93510</v>
      </c>
      <c r="I12" s="610">
        <v>68456</v>
      </c>
      <c r="J12" s="337">
        <f>J13</f>
        <v>92900</v>
      </c>
      <c r="K12" s="177">
        <f t="shared" si="0"/>
        <v>99.347663351513205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87520+700+1830+770+2630+60</f>
        <v>93510</v>
      </c>
      <c r="H13" s="339">
        <f>87520+700+1830+770+2630+60</f>
        <v>93510</v>
      </c>
      <c r="I13" s="611">
        <v>68456</v>
      </c>
      <c r="J13" s="339">
        <v>92900</v>
      </c>
      <c r="K13" s="135">
        <f t="shared" si="0"/>
        <v>99.347663351513205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605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100500</v>
      </c>
      <c r="H15" s="43">
        <f>SUM(H16:H25)</f>
        <v>100500</v>
      </c>
      <c r="I15" s="606">
        <v>54039</v>
      </c>
      <c r="J15" s="43">
        <f>SUM(J16:J25)</f>
        <v>87400</v>
      </c>
      <c r="K15" s="177">
        <f t="shared" si="0"/>
        <v>86.96517412935323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5">
        <v>5000</v>
      </c>
      <c r="H16" s="105">
        <v>5000</v>
      </c>
      <c r="I16" s="608">
        <v>3553</v>
      </c>
      <c r="J16" s="105">
        <v>5000</v>
      </c>
      <c r="K16" s="135">
        <f t="shared" si="0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05">
        <v>30000</v>
      </c>
      <c r="H17" s="105">
        <v>30000</v>
      </c>
      <c r="I17" s="608">
        <v>18040</v>
      </c>
      <c r="J17" s="105">
        <v>32000</v>
      </c>
      <c r="K17" s="135">
        <f t="shared" si="0"/>
        <v>106.66666666666667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105">
        <v>6000</v>
      </c>
      <c r="H18" s="105">
        <v>6000</v>
      </c>
      <c r="I18" s="608">
        <v>2883</v>
      </c>
      <c r="J18" s="105">
        <v>5200</v>
      </c>
      <c r="K18" s="135">
        <f t="shared" si="0"/>
        <v>86.666666666666671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5">
        <v>12000</v>
      </c>
      <c r="H19" s="105">
        <v>12000</v>
      </c>
      <c r="I19" s="608">
        <v>9176</v>
      </c>
      <c r="J19" s="105">
        <v>13000</v>
      </c>
      <c r="K19" s="135">
        <f t="shared" si="0"/>
        <v>108.33333333333333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5">
        <v>500</v>
      </c>
      <c r="H20" s="105">
        <v>500</v>
      </c>
      <c r="I20" s="608">
        <v>96</v>
      </c>
      <c r="J20" s="105">
        <v>200</v>
      </c>
      <c r="K20" s="135">
        <f t="shared" si="0"/>
        <v>40</v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608">
        <v>0</v>
      </c>
      <c r="J21" s="105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5">
        <v>11000</v>
      </c>
      <c r="H22" s="105">
        <v>11000</v>
      </c>
      <c r="I22" s="608">
        <v>1064</v>
      </c>
      <c r="J22" s="105">
        <v>5000</v>
      </c>
      <c r="K22" s="135">
        <f t="shared" si="0"/>
        <v>45.454545454545453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08">
        <v>0</v>
      </c>
      <c r="J23" s="105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36000</v>
      </c>
      <c r="H24" s="105">
        <v>36000</v>
      </c>
      <c r="I24" s="608">
        <v>19227</v>
      </c>
      <c r="J24" s="105">
        <v>27000</v>
      </c>
      <c r="K24" s="135">
        <f t="shared" si="0"/>
        <v>75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08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5"/>
      <c r="H26" s="105"/>
      <c r="I26" s="608"/>
      <c r="J26" s="105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5000</v>
      </c>
      <c r="H27" s="96">
        <f>SUM(H28:H29)</f>
        <v>10140</v>
      </c>
      <c r="I27" s="607">
        <v>0</v>
      </c>
      <c r="J27" s="96">
        <f>SUM(J28:J29)</f>
        <v>10140</v>
      </c>
      <c r="K27" s="177">
        <f t="shared" si="0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5">
        <v>0</v>
      </c>
      <c r="H28" s="105">
        <v>0</v>
      </c>
      <c r="I28" s="608">
        <v>0</v>
      </c>
      <c r="J28" s="105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10140</v>
      </c>
      <c r="I29" s="608">
        <v>0</v>
      </c>
      <c r="J29" s="714">
        <v>10140</v>
      </c>
      <c r="K29" s="135">
        <f t="shared" si="0"/>
        <v>100</v>
      </c>
    </row>
    <row r="30" spans="2:11" ht="17.100000000000001" customHeight="1">
      <c r="B30" s="14"/>
      <c r="C30" s="15"/>
      <c r="D30" s="15"/>
      <c r="E30" s="16"/>
      <c r="F30" s="15"/>
      <c r="G30" s="105"/>
      <c r="H30" s="105"/>
      <c r="I30" s="608"/>
      <c r="J30" s="105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667</v>
      </c>
      <c r="H31" s="25" t="s">
        <v>667</v>
      </c>
      <c r="I31" s="604" t="s">
        <v>602</v>
      </c>
      <c r="J31" s="658" t="s">
        <v>799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1249690</v>
      </c>
      <c r="H32" s="20">
        <f>H7+H12+H15+H27</f>
        <v>1254830</v>
      </c>
      <c r="I32" s="20">
        <f t="shared" ref="I32" si="1">I7+I12+I15+I27</f>
        <v>867366</v>
      </c>
      <c r="J32" s="20">
        <f>J7+J12+J15+J27</f>
        <v>1213510</v>
      </c>
      <c r="K32" s="177">
        <f t="shared" si="0"/>
        <v>96.707123674123181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315"/>
  <sheetViews>
    <sheetView tabSelected="1" zoomScaleNormal="100" workbookViewId="0">
      <selection activeCell="G7" sqref="G7"/>
    </sheetView>
  </sheetViews>
  <sheetFormatPr defaultRowHeight="15" customHeight="1"/>
  <cols>
    <col min="1" max="1" width="50" customWidth="1"/>
    <col min="2" max="3" width="16.28515625" customWidth="1"/>
    <col min="4" max="4" width="15.5703125" customWidth="1"/>
    <col min="5" max="5" width="8" customWidth="1"/>
    <col min="6" max="6" width="6.42578125" customWidth="1"/>
    <col min="8" max="9" width="15.7109375" customWidth="1"/>
    <col min="10" max="10" width="8.7109375" customWidth="1"/>
  </cols>
  <sheetData>
    <row r="1" spans="1:27" ht="15" customHeight="1">
      <c r="A1" s="796" t="s">
        <v>811</v>
      </c>
      <c r="B1" s="768"/>
      <c r="C1" s="769"/>
      <c r="D1" s="769"/>
      <c r="E1" s="769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5" customHeight="1">
      <c r="A2" s="769"/>
      <c r="B2" s="769"/>
      <c r="C2" s="769"/>
      <c r="D2" s="769"/>
      <c r="E2" s="769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5" customHeight="1">
      <c r="A3" s="769"/>
      <c r="B3" s="769"/>
      <c r="C3" s="769"/>
      <c r="D3" s="769"/>
      <c r="E3" s="769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0.5" customHeight="1">
      <c r="A4" s="769"/>
      <c r="B4" s="769"/>
      <c r="C4" s="769"/>
      <c r="D4" s="769"/>
      <c r="E4" s="769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9" hidden="1" customHeight="1">
      <c r="A5" s="750"/>
      <c r="B5" s="750"/>
      <c r="C5" s="750"/>
      <c r="D5" s="750"/>
      <c r="E5" s="750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4.5" customHeight="1">
      <c r="A6" s="252"/>
      <c r="B6" s="400"/>
      <c r="C6" s="252"/>
      <c r="D6" s="252"/>
      <c r="E6" s="252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8.75" customHeight="1">
      <c r="A7" s="770" t="s">
        <v>781</v>
      </c>
      <c r="B7" s="770"/>
      <c r="C7" s="770"/>
      <c r="D7" s="770"/>
      <c r="E7" s="770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" customHeight="1">
      <c r="A8" s="771" t="s">
        <v>782</v>
      </c>
      <c r="B8" s="771"/>
      <c r="C8" s="771"/>
      <c r="D8" s="771"/>
      <c r="E8" s="77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6.75" customHeight="1">
      <c r="A9" s="46"/>
      <c r="B9" s="45"/>
      <c r="C9" s="45"/>
      <c r="D9" s="4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" customHeight="1">
      <c r="A10" s="204" t="s">
        <v>198</v>
      </c>
      <c r="B10" s="61"/>
      <c r="C10" s="61"/>
      <c r="D10" s="61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6.75" customHeight="1">
      <c r="A11" s="47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" customHeight="1">
      <c r="A12" s="47" t="s">
        <v>199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5" customHeight="1">
      <c r="A13" s="766" t="s">
        <v>787</v>
      </c>
      <c r="B13" s="767"/>
      <c r="C13" s="767"/>
      <c r="D13" s="767"/>
      <c r="E13" s="750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7" ht="14.25" customHeight="1">
      <c r="A14" s="727" t="s">
        <v>783</v>
      </c>
      <c r="B14" s="725"/>
      <c r="C14" s="725"/>
      <c r="D14" s="72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7" ht="9.75" customHeight="1">
      <c r="A15" s="351"/>
      <c r="B15" s="401"/>
      <c r="C15" s="314"/>
      <c r="D15" s="314"/>
      <c r="E15" s="31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53.25" customHeight="1">
      <c r="A16" s="215" t="s">
        <v>276</v>
      </c>
      <c r="B16" s="247" t="s">
        <v>652</v>
      </c>
      <c r="C16" s="247" t="s">
        <v>713</v>
      </c>
      <c r="D16" s="247" t="s">
        <v>784</v>
      </c>
      <c r="E16" s="247" t="s">
        <v>692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s="208" customFormat="1" ht="11.25" customHeight="1">
      <c r="A17" s="211">
        <v>1</v>
      </c>
      <c r="B17" s="212">
        <v>2</v>
      </c>
      <c r="C17" s="212">
        <v>3</v>
      </c>
      <c r="D17" s="212">
        <v>4</v>
      </c>
      <c r="E17" s="211">
        <v>5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ht="15" customHeight="1">
      <c r="A18" s="210" t="s">
        <v>416</v>
      </c>
      <c r="B18" s="218">
        <f>B19+B27+B28+B29+B30</f>
        <v>42444000</v>
      </c>
      <c r="C18" s="218">
        <f>C19+C27+C28+C29+C30</f>
        <v>42504362</v>
      </c>
      <c r="D18" s="218">
        <f>D19+D27+D28+D29+D30</f>
        <v>42096090</v>
      </c>
      <c r="E18" s="229">
        <f>IF(C18=0,,D18/C18*100)</f>
        <v>99.039458585450589</v>
      </c>
      <c r="F18" s="20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" customHeight="1">
      <c r="A19" s="206" t="s">
        <v>412</v>
      </c>
      <c r="B19" s="214">
        <f>SUM(B20:B26)</f>
        <v>37013190</v>
      </c>
      <c r="C19" s="214">
        <f>SUM(C20:C26)</f>
        <v>37013190</v>
      </c>
      <c r="D19" s="214">
        <f>SUM(D20:D26)</f>
        <v>35071260</v>
      </c>
      <c r="E19" s="230">
        <f t="shared" ref="E19:E54" si="0">IF(C19=0,,D19/C19*100)</f>
        <v>94.75341087866245</v>
      </c>
      <c r="F19" s="20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" customHeight="1">
      <c r="A20" s="207" t="s">
        <v>400</v>
      </c>
      <c r="B20" s="225">
        <f>Prihodi!D6</f>
        <v>3892300</v>
      </c>
      <c r="C20" s="225">
        <f>Prihodi!E6</f>
        <v>3892300</v>
      </c>
      <c r="D20" s="225">
        <f>Prihodi!G6</f>
        <v>3015210</v>
      </c>
      <c r="E20" s="305">
        <f t="shared" si="0"/>
        <v>77.466022660123841</v>
      </c>
      <c r="F20" s="20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" customHeight="1">
      <c r="A21" s="207" t="s">
        <v>401</v>
      </c>
      <c r="B21" s="225">
        <f>Prihodi!D15</f>
        <v>1550</v>
      </c>
      <c r="C21" s="225">
        <f>Prihodi!E15</f>
        <v>1550</v>
      </c>
      <c r="D21" s="225">
        <f>Prihodi!G15</f>
        <v>6540</v>
      </c>
      <c r="E21" s="231">
        <f t="shared" si="0"/>
        <v>421.9354838709678</v>
      </c>
      <c r="F21" s="20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7" ht="15" customHeight="1">
      <c r="A22" s="207" t="s">
        <v>402</v>
      </c>
      <c r="B22" s="225">
        <f>Prihodi!D19</f>
        <v>402150</v>
      </c>
      <c r="C22" s="225">
        <f>Prihodi!E19</f>
        <v>402150</v>
      </c>
      <c r="D22" s="225">
        <f>Prihodi!G19</f>
        <v>274600</v>
      </c>
      <c r="E22" s="233">
        <f t="shared" si="0"/>
        <v>68.282978987939828</v>
      </c>
      <c r="F22" s="20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7" ht="15" customHeight="1">
      <c r="A23" s="207" t="s">
        <v>403</v>
      </c>
      <c r="B23" s="226">
        <f>Prihodi!D27</f>
        <v>2200</v>
      </c>
      <c r="C23" s="226">
        <f>Prihodi!E27</f>
        <v>2200</v>
      </c>
      <c r="D23" s="226">
        <f>Prihodi!G27</f>
        <v>3930</v>
      </c>
      <c r="E23" s="232">
        <f t="shared" si="0"/>
        <v>178.63636363636363</v>
      </c>
      <c r="F23" s="20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7" ht="15" customHeight="1">
      <c r="A24" s="207" t="s">
        <v>404</v>
      </c>
      <c r="B24" s="226">
        <f>Prihodi!D37</f>
        <v>2827910</v>
      </c>
      <c r="C24" s="226">
        <f>Prihodi!E37</f>
        <v>2827910</v>
      </c>
      <c r="D24" s="226">
        <f>Prihodi!G37</f>
        <v>2817450</v>
      </c>
      <c r="E24" s="232">
        <f t="shared" si="0"/>
        <v>99.630115527014652</v>
      </c>
      <c r="F24" s="20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7" ht="15" customHeight="1">
      <c r="A25" s="207" t="s">
        <v>405</v>
      </c>
      <c r="B25" s="226">
        <f>Prihodi!D46</f>
        <v>29886860</v>
      </c>
      <c r="C25" s="226">
        <f>Prihodi!E46</f>
        <v>29886860</v>
      </c>
      <c r="D25" s="226">
        <f>Prihodi!G46</f>
        <v>28953220</v>
      </c>
      <c r="E25" s="232">
        <f t="shared" si="0"/>
        <v>96.876085343190951</v>
      </c>
      <c r="F25" s="20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7" ht="15" customHeight="1">
      <c r="A26" s="207" t="s">
        <v>406</v>
      </c>
      <c r="B26" s="226">
        <f>Prihodi!D51</f>
        <v>220</v>
      </c>
      <c r="C26" s="226">
        <f>Prihodi!E51</f>
        <v>220</v>
      </c>
      <c r="D26" s="226">
        <f>Prihodi!G51</f>
        <v>310</v>
      </c>
      <c r="E26" s="232">
        <f t="shared" si="0"/>
        <v>140.90909090909091</v>
      </c>
      <c r="F26" s="20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7" ht="15" customHeight="1">
      <c r="A27" s="206" t="s">
        <v>407</v>
      </c>
      <c r="B27" s="214">
        <f>Prihodi!D57</f>
        <v>2391380</v>
      </c>
      <c r="C27" s="214">
        <f>Prihodi!E57</f>
        <v>2391380</v>
      </c>
      <c r="D27" s="214">
        <f>Prihodi!G57</f>
        <v>2886330</v>
      </c>
      <c r="E27" s="230">
        <f t="shared" si="0"/>
        <v>120.69725430504563</v>
      </c>
      <c r="F27" s="20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" customHeight="1">
      <c r="A28" s="206" t="s">
        <v>478</v>
      </c>
      <c r="B28" s="214">
        <f>Prihodi!D151</f>
        <v>2828310</v>
      </c>
      <c r="C28" s="214">
        <f>Prihodi!E151</f>
        <v>2843110</v>
      </c>
      <c r="D28" s="214">
        <f>Prihodi!G151</f>
        <v>3112340</v>
      </c>
      <c r="E28" s="230">
        <f t="shared" si="0"/>
        <v>109.46955974267615</v>
      </c>
      <c r="F28" s="20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" customHeight="1">
      <c r="A29" s="206" t="s">
        <v>479</v>
      </c>
      <c r="B29" s="214">
        <f>Prihodi!D179</f>
        <v>210200</v>
      </c>
      <c r="C29" s="214">
        <f>Prihodi!E179</f>
        <v>255762</v>
      </c>
      <c r="D29" s="214">
        <f>Prihodi!G179</f>
        <v>1015200</v>
      </c>
      <c r="E29" s="230">
        <f t="shared" si="0"/>
        <v>396.93152227461468</v>
      </c>
      <c r="F29" s="20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" customHeight="1">
      <c r="A30" s="206" t="s">
        <v>415</v>
      </c>
      <c r="B30" s="214">
        <f>Prihodi!D203</f>
        <v>920</v>
      </c>
      <c r="C30" s="214">
        <f>Prihodi!E203</f>
        <v>920</v>
      </c>
      <c r="D30" s="214">
        <f>Prihodi!G203</f>
        <v>10960</v>
      </c>
      <c r="E30" s="230">
        <f t="shared" si="0"/>
        <v>1191.304347826087</v>
      </c>
      <c r="F30" s="20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" customHeight="1">
      <c r="A31" s="210" t="s">
        <v>568</v>
      </c>
      <c r="B31" s="218">
        <f>SUM(B32:B38)</f>
        <v>40365170</v>
      </c>
      <c r="C31" s="218">
        <f>SUM(C32:C38)</f>
        <v>40379970</v>
      </c>
      <c r="D31" s="218">
        <f>SUM(D32:D38)</f>
        <v>39857370</v>
      </c>
      <c r="E31" s="410">
        <f t="shared" si="0"/>
        <v>98.705793986473992</v>
      </c>
      <c r="F31" s="20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7" s="61" customFormat="1" ht="15" customHeight="1">
      <c r="A32" s="213" t="s">
        <v>569</v>
      </c>
      <c r="B32" s="306">
        <f>Rashodi!E8</f>
        <v>660000</v>
      </c>
      <c r="C32" s="306">
        <f>Rashodi!F8</f>
        <v>660000</v>
      </c>
      <c r="D32" s="306">
        <f>Rashodi!H8</f>
        <v>660000</v>
      </c>
      <c r="E32" s="308">
        <f t="shared" si="0"/>
        <v>100</v>
      </c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7" s="61" customFormat="1" ht="15" customHeight="1">
      <c r="A33" s="213" t="s">
        <v>570</v>
      </c>
      <c r="B33" s="306">
        <f>Rashodi!E14</f>
        <v>20818240</v>
      </c>
      <c r="C33" s="306">
        <f>Rashodi!F14</f>
        <v>20818240</v>
      </c>
      <c r="D33" s="306">
        <f>Rashodi!H14</f>
        <v>20480610</v>
      </c>
      <c r="E33" s="308">
        <f t="shared" si="0"/>
        <v>98.378201039088793</v>
      </c>
      <c r="F33" s="216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7" ht="15" customHeight="1">
      <c r="A34" s="303" t="s">
        <v>571</v>
      </c>
      <c r="B34" s="307">
        <f>Rashodi!E20</f>
        <v>2016960</v>
      </c>
      <c r="C34" s="307">
        <f>Rashodi!F20</f>
        <v>2016960</v>
      </c>
      <c r="D34" s="307">
        <f>Rashodi!H20</f>
        <v>2008110</v>
      </c>
      <c r="E34" s="308">
        <f t="shared" si="0"/>
        <v>99.561220847215608</v>
      </c>
      <c r="F34" s="20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15" customHeight="1">
      <c r="A35" s="303" t="s">
        <v>572</v>
      </c>
      <c r="B35" s="307">
        <f>Rashodi!E23</f>
        <v>4531970</v>
      </c>
      <c r="C35" s="307">
        <f>Rashodi!F23</f>
        <v>4546770</v>
      </c>
      <c r="D35" s="307">
        <f>Rashodi!H23</f>
        <v>4462290</v>
      </c>
      <c r="E35" s="308">
        <f>IF(C35=0,,D35/C35*100)</f>
        <v>98.141977711650256</v>
      </c>
      <c r="F35" s="20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7" ht="15" customHeight="1">
      <c r="A36" s="303" t="s">
        <v>573</v>
      </c>
      <c r="B36" s="307">
        <f>Rashodi!E45</f>
        <v>11566000</v>
      </c>
      <c r="C36" s="307">
        <f>Rashodi!F45</f>
        <v>11566000</v>
      </c>
      <c r="D36" s="307">
        <f>Rashodi!H45</f>
        <v>11585500</v>
      </c>
      <c r="E36" s="308">
        <f t="shared" si="0"/>
        <v>100.16859761369533</v>
      </c>
      <c r="F36" s="20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7" ht="15" customHeight="1">
      <c r="A37" s="303" t="s">
        <v>574</v>
      </c>
      <c r="B37" s="307">
        <f>Rashodi!E86</f>
        <v>700000</v>
      </c>
      <c r="C37" s="307">
        <f>Rashodi!F86</f>
        <v>700000</v>
      </c>
      <c r="D37" s="307">
        <f>Rashodi!H86</f>
        <v>600000</v>
      </c>
      <c r="E37" s="308">
        <f>IF(C37=0,,D37/C37*100)</f>
        <v>85.714285714285708</v>
      </c>
      <c r="F37" s="20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7" ht="15" customHeight="1" thickBot="1">
      <c r="A38" s="304" t="s">
        <v>575</v>
      </c>
      <c r="B38" s="309">
        <f>Rashodi!E89</f>
        <v>72000</v>
      </c>
      <c r="C38" s="309">
        <f>Rashodi!F89</f>
        <v>72000</v>
      </c>
      <c r="D38" s="309">
        <f>Rashodi!H89</f>
        <v>60860</v>
      </c>
      <c r="E38" s="310">
        <f t="shared" si="0"/>
        <v>84.527777777777786</v>
      </c>
      <c r="F38" s="20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7" ht="15" customHeight="1" thickTop="1" thickBot="1">
      <c r="A39" s="219" t="s">
        <v>410</v>
      </c>
      <c r="B39" s="220">
        <f>B18-B31</f>
        <v>2078830</v>
      </c>
      <c r="C39" s="220">
        <f>C18-C31</f>
        <v>2124392</v>
      </c>
      <c r="D39" s="220">
        <f>D18-D31</f>
        <v>2238720</v>
      </c>
      <c r="E39" s="411">
        <f t="shared" si="0"/>
        <v>105.38168097036704</v>
      </c>
      <c r="F39" s="20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7" ht="15" customHeight="1" thickTop="1">
      <c r="A40" s="210" t="s">
        <v>408</v>
      </c>
      <c r="B40" s="218">
        <f>Prihodi!D209</f>
        <v>0</v>
      </c>
      <c r="C40" s="218">
        <f>Prihodi!E209</f>
        <v>0</v>
      </c>
      <c r="D40" s="218">
        <f>Prihodi!G209</f>
        <v>810</v>
      </c>
      <c r="E40" s="410">
        <f t="shared" si="0"/>
        <v>0</v>
      </c>
      <c r="F40" s="20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7" ht="15" customHeight="1">
      <c r="A41" s="210" t="s">
        <v>409</v>
      </c>
      <c r="B41" s="218">
        <f>B42</f>
        <v>1476200</v>
      </c>
      <c r="C41" s="218">
        <f>C42</f>
        <v>1521762</v>
      </c>
      <c r="D41" s="218">
        <f>D42</f>
        <v>1650930</v>
      </c>
      <c r="E41" s="410">
        <f t="shared" si="0"/>
        <v>108.48805529379759</v>
      </c>
      <c r="F41" s="20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7" ht="15" customHeight="1" thickBot="1">
      <c r="A42" s="207" t="s">
        <v>576</v>
      </c>
      <c r="B42" s="225">
        <f>Rashodi!E94</f>
        <v>1476200</v>
      </c>
      <c r="C42" s="225">
        <f>Rashodi!F94</f>
        <v>1521762</v>
      </c>
      <c r="D42" s="225">
        <f>Rashodi!H94</f>
        <v>1650930</v>
      </c>
      <c r="E42" s="233">
        <f>IF(C42=0,,D42/C42*100)</f>
        <v>108.48805529379759</v>
      </c>
      <c r="F42" s="20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5" customHeight="1" thickTop="1" thickBot="1">
      <c r="A43" s="221" t="s">
        <v>411</v>
      </c>
      <c r="B43" s="222">
        <f>B40-B41</f>
        <v>-1476200</v>
      </c>
      <c r="C43" s="222">
        <f>C40-C41</f>
        <v>-1521762</v>
      </c>
      <c r="D43" s="222">
        <f>D40-D41</f>
        <v>-1650120</v>
      </c>
      <c r="E43" s="412">
        <f t="shared" si="0"/>
        <v>108.43482752230638</v>
      </c>
      <c r="F43" s="20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7" ht="24.75" customHeight="1" thickTop="1" thickBot="1">
      <c r="A44" s="219" t="s">
        <v>423</v>
      </c>
      <c r="B44" s="390">
        <f>B39+B43</f>
        <v>602630</v>
      </c>
      <c r="C44" s="390">
        <f>C39+C43</f>
        <v>602630</v>
      </c>
      <c r="D44" s="390">
        <f>D39+D43</f>
        <v>588600</v>
      </c>
      <c r="E44" s="411">
        <f t="shared" si="0"/>
        <v>97.67187162935798</v>
      </c>
      <c r="F44" s="20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7" ht="15" customHeight="1" thickTop="1">
      <c r="A45" s="210" t="s">
        <v>413</v>
      </c>
      <c r="B45" s="218">
        <f>0</f>
        <v>0</v>
      </c>
      <c r="C45" s="218">
        <f>0</f>
        <v>0</v>
      </c>
      <c r="D45" s="218">
        <f>0</f>
        <v>0</v>
      </c>
      <c r="E45" s="410">
        <f t="shared" si="0"/>
        <v>0</v>
      </c>
      <c r="F45" s="20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7" ht="26.25" customHeight="1">
      <c r="A46" s="190" t="s">
        <v>414</v>
      </c>
      <c r="B46" s="391">
        <f>B47</f>
        <v>600500</v>
      </c>
      <c r="C46" s="391">
        <f>C47</f>
        <v>600500</v>
      </c>
      <c r="D46" s="391">
        <f>D47</f>
        <v>585870</v>
      </c>
      <c r="E46" s="410">
        <f t="shared" si="0"/>
        <v>97.563696919233962</v>
      </c>
      <c r="F46" s="20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7" ht="15" customHeight="1" thickBot="1">
      <c r="A47" s="207" t="s">
        <v>417</v>
      </c>
      <c r="B47" s="225">
        <f>Rashodi!E100</f>
        <v>600500</v>
      </c>
      <c r="C47" s="225">
        <f>Rashodi!F100</f>
        <v>600500</v>
      </c>
      <c r="D47" s="225">
        <f>Rashodi!H100</f>
        <v>585870</v>
      </c>
      <c r="E47" s="233">
        <f t="shared" si="0"/>
        <v>97.563696919233962</v>
      </c>
      <c r="F47" s="20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27" ht="15" customHeight="1" thickTop="1" thickBot="1">
      <c r="A48" s="221" t="s">
        <v>418</v>
      </c>
      <c r="B48" s="222">
        <f>B45-B46</f>
        <v>-600500</v>
      </c>
      <c r="C48" s="222">
        <f>C45-C46</f>
        <v>-600500</v>
      </c>
      <c r="D48" s="222">
        <f>D45-D46</f>
        <v>-585870</v>
      </c>
      <c r="E48" s="412">
        <f t="shared" si="0"/>
        <v>97.563696919233962</v>
      </c>
      <c r="F48" s="20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7" ht="15" customHeight="1" thickTop="1" thickBot="1">
      <c r="A49" s="221" t="s">
        <v>419</v>
      </c>
      <c r="B49" s="222">
        <f>B44+B48</f>
        <v>2130</v>
      </c>
      <c r="C49" s="222">
        <f>C44+C48</f>
        <v>2130</v>
      </c>
      <c r="D49" s="222">
        <f>D44+D48</f>
        <v>2730</v>
      </c>
      <c r="E49" s="412">
        <f t="shared" si="0"/>
        <v>128.16901408450704</v>
      </c>
      <c r="F49" s="20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7" ht="15" customHeight="1" thickTop="1" thickBot="1">
      <c r="A50" s="221" t="s">
        <v>420</v>
      </c>
      <c r="B50" s="222">
        <f>B49</f>
        <v>2130</v>
      </c>
      <c r="C50" s="222">
        <f>C49</f>
        <v>2130</v>
      </c>
      <c r="D50" s="222">
        <f>D49</f>
        <v>2730</v>
      </c>
      <c r="E50" s="412">
        <f t="shared" si="0"/>
        <v>128.16901408450704</v>
      </c>
      <c r="F50" s="20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7" ht="9.75" customHeight="1" thickTop="1">
      <c r="A51" s="223"/>
      <c r="B51" s="224"/>
      <c r="C51" s="224"/>
      <c r="D51" s="224"/>
      <c r="E51" s="413"/>
      <c r="F51" s="20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7" ht="15" customHeight="1">
      <c r="A52" s="210" t="s">
        <v>399</v>
      </c>
      <c r="B52" s="218">
        <f>B18+B40+B45</f>
        <v>42444000</v>
      </c>
      <c r="C52" s="218">
        <f>C18+C40+C45</f>
        <v>42504362</v>
      </c>
      <c r="D52" s="218">
        <f>D18+D40+D45</f>
        <v>42096900</v>
      </c>
      <c r="E52" s="410">
        <f t="shared" si="0"/>
        <v>99.041364272212817</v>
      </c>
      <c r="F52" s="205"/>
      <c r="G52" s="350"/>
      <c r="H52" s="350"/>
      <c r="I52" s="350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7" ht="15" customHeight="1">
      <c r="A53" s="210" t="s">
        <v>578</v>
      </c>
      <c r="B53" s="218">
        <f>B31+B41+B46</f>
        <v>42441870</v>
      </c>
      <c r="C53" s="218">
        <f>C31+C41+C46</f>
        <v>42502232</v>
      </c>
      <c r="D53" s="218">
        <f>D31+D41+D46</f>
        <v>42094170</v>
      </c>
      <c r="E53" s="410">
        <f t="shared" si="0"/>
        <v>99.039904539601594</v>
      </c>
      <c r="F53" s="205"/>
      <c r="G53" s="75"/>
      <c r="H53" s="350"/>
      <c r="I53" s="350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7" ht="15" customHeight="1">
      <c r="A54" s="210" t="s">
        <v>577</v>
      </c>
      <c r="B54" s="218">
        <f>B52-B53</f>
        <v>2130</v>
      </c>
      <c r="C54" s="218">
        <f>C52-C53</f>
        <v>2130</v>
      </c>
      <c r="D54" s="218">
        <f>D52-D53</f>
        <v>2730</v>
      </c>
      <c r="E54" s="410">
        <f t="shared" si="0"/>
        <v>128.16901408450704</v>
      </c>
      <c r="G54" s="75"/>
      <c r="H54" s="350"/>
      <c r="I54" s="350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1:27" ht="7.5" customHeight="1">
      <c r="A55" s="216"/>
      <c r="B55" s="312"/>
      <c r="C55" s="312"/>
      <c r="D55" s="312"/>
      <c r="E55" s="31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ht="15" customHeight="1">
      <c r="A56" s="47" t="s">
        <v>221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7" ht="6.75" customHeight="1"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7" ht="12.75" customHeight="1">
      <c r="A58" t="s">
        <v>785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7" ht="25.5" customHeight="1">
      <c r="A59" s="766" t="s">
        <v>786</v>
      </c>
      <c r="B59" s="767"/>
      <c r="C59" s="767"/>
      <c r="D59" s="767"/>
      <c r="E59" s="750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7" ht="15" customHeight="1">
      <c r="A60" s="77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ht="1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ht="1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ht="1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ht="1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ht="1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ht="1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ht="1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ht="1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ht="1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ht="1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1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ht="1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ht="1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ht="1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ht="1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ht="1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ht="1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ht="1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ht="1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ht="1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ht="1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1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1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1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ht="1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ht="1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ht="1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ht="1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ht="1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ht="1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ht="1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ht="1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ht="1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ht="1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ht="1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ht="1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ht="1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ht="1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ht="1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ht="1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ht="1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spans="1:27" ht="1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ht="1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:27" ht="1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spans="1:27" ht="1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 spans="1:27" ht="1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ht="1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 spans="1:27" ht="1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 spans="1:27" ht="1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1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ht="1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ht="1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ht="1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ht="1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ht="1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ht="1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ht="1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ht="1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ht="1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ht="1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1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ht="1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ht="1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ht="1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1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ht="1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1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ht="1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 spans="1:27" ht="1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ht="1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ht="1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ht="1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ht="1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ht="1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ht="1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ht="1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ht="1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ht="1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ht="1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ht="1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1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ht="1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ht="1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ht="1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ht="1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ht="1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ht="1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ht="1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 spans="1:27" ht="1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ht="1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7" ht="1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ht="1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 spans="1:27" ht="1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ht="1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ht="1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ht="1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27" ht="1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 spans="1:27" ht="1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 spans="1:27" ht="1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 spans="1:27" ht="1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 spans="1:27" ht="1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5" customHeight="1"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 spans="1:27" ht="15" customHeight="1"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 spans="1:27" ht="15" customHeight="1"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 spans="1:27" ht="15" customHeight="1"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 spans="1:27" ht="15" customHeight="1"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 spans="1:27" ht="15" customHeight="1"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 spans="1:27" ht="15" customHeight="1"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 spans="1:27" ht="15" customHeight="1"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ht="15" customHeight="1"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</row>
    <row r="188" spans="1:27" ht="15" customHeight="1"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7" ht="15" customHeight="1"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 spans="1:27" ht="15" customHeight="1"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</row>
    <row r="191" spans="1:27" ht="15" customHeight="1"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 spans="1:27" ht="15" customHeight="1"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</row>
    <row r="193" spans="7:27" ht="15" customHeight="1"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 spans="7:27" ht="15" customHeight="1"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 spans="7:27" ht="15" customHeight="1"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7:27" ht="15" customHeight="1"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7:27" ht="15" customHeight="1"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 spans="7:27" ht="15" customHeight="1"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 spans="7:27" ht="15" customHeight="1"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 spans="7:27" ht="15" customHeight="1"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 spans="7:27" ht="15" customHeight="1"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 spans="7:27" ht="15" customHeight="1"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 spans="7:27" ht="15" customHeight="1"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7:27" ht="15" customHeight="1"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 spans="7:27" ht="15" customHeight="1"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7:27" ht="15" customHeight="1"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7:27" ht="15" customHeight="1"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 spans="7:27" ht="15" customHeight="1"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 spans="7:27" ht="15" customHeight="1"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 spans="7:27" ht="15" customHeight="1"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 spans="7:27" ht="15" customHeight="1"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 spans="7:27" ht="15" customHeight="1"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7:27" ht="15" customHeight="1"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7:27" ht="15" customHeight="1"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 spans="7:27" ht="15" customHeight="1"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7:27" ht="15" customHeight="1"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 spans="7:27" ht="15" customHeight="1"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7:27" ht="15" customHeight="1"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 spans="7:27" ht="15" customHeight="1"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 spans="7:27" ht="15" customHeight="1"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7:27" ht="15" customHeight="1"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 spans="7:27" ht="15" customHeight="1"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7:27" ht="15" customHeight="1"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7:27" ht="15" customHeight="1"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 spans="7:27" ht="15" customHeight="1"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7:27" ht="15" customHeight="1"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 spans="7:27" ht="15" customHeight="1"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 spans="7:27" ht="15" customHeight="1"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 spans="7:27" ht="15" customHeight="1"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7:27" ht="15" customHeight="1"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 spans="7:27" ht="15" customHeight="1"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 spans="7:27" ht="15" customHeight="1"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 spans="7:27" ht="15" customHeight="1"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 spans="7:27" ht="15" customHeight="1"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 spans="7:27" ht="15" customHeight="1"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 spans="7:27" ht="15" customHeight="1"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 spans="7:27" ht="15" customHeight="1"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7:27" ht="15" customHeight="1"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 spans="7:27" ht="15" customHeight="1"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7:27" ht="15" customHeight="1"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7:27" ht="15" customHeight="1"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 spans="7:27" ht="15" customHeight="1"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 spans="7:27" ht="15" customHeight="1"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 spans="7:27" ht="15" customHeight="1"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 spans="7:27" ht="15" customHeight="1"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 spans="7:27" ht="15" customHeight="1"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7:27" ht="15" customHeight="1"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 spans="7:27" ht="15" customHeight="1"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 spans="7:27" ht="15" customHeight="1"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 spans="7:27" ht="15" customHeight="1"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 spans="7:27" ht="15" customHeight="1"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 spans="7:27" ht="15" customHeight="1"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 spans="7:27" ht="15" customHeight="1"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 spans="7:27" ht="15" customHeight="1"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7:27" ht="15" customHeight="1"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7:27" ht="15" customHeight="1"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7:27" ht="15" customHeight="1"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7:27" ht="15" customHeight="1"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 spans="7:27" ht="15" customHeight="1"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 spans="7:27" ht="15" customHeight="1"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 spans="7:27" ht="15" customHeight="1"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 spans="7:27" ht="15" customHeight="1"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 spans="7:27" ht="15" customHeight="1"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7:27" ht="15" customHeight="1"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 spans="7:27" ht="15" customHeight="1"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 spans="7:27" ht="15" customHeight="1"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 spans="7:27" ht="15" customHeight="1"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 spans="7:27" ht="15" customHeight="1"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 spans="7:27" ht="15" customHeight="1"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 spans="7:27" ht="15" customHeight="1"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 spans="7:27" ht="15" customHeight="1"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7:27" ht="15" customHeight="1"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 spans="7:27" ht="15" customHeight="1"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7:27" ht="15" customHeight="1"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7:27" ht="15" customHeight="1"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7:27" ht="15" customHeight="1"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 spans="7:27" ht="15" customHeight="1"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 spans="7:27" ht="15" customHeight="1"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 spans="7:27" ht="15" customHeight="1"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 spans="7:27" ht="15" customHeight="1"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7:27" ht="15" customHeight="1"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 spans="7:27" ht="15" customHeight="1"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 spans="7:27" ht="15" customHeight="1"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 spans="7:27" ht="15" customHeight="1"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 spans="7:27" ht="15" customHeight="1"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7:27" ht="15" customHeight="1"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 spans="7:27" ht="15" customHeight="1"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 spans="7:27" ht="15" customHeight="1"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7:27" ht="15" customHeight="1"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 spans="7:27" ht="15" customHeight="1"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7:27" ht="15" customHeight="1"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7:27" ht="15" customHeight="1"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 spans="7:27" ht="15" customHeight="1"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 spans="7:27" ht="15" customHeight="1"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 spans="7:27" ht="15" customHeight="1"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 spans="7:27" ht="15" customHeight="1"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 spans="7:27" ht="15" customHeight="1"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7:27" ht="15" customHeight="1"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 spans="7:27" ht="15" customHeight="1"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 spans="7:27" ht="15" customHeight="1"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 spans="7:27" ht="15" customHeight="1"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 spans="7:27" ht="15" customHeight="1"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 spans="7:27" ht="15" customHeight="1"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 spans="7:27" ht="15" customHeight="1"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7:27" ht="15" customHeight="1"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7:27" ht="15" customHeight="1"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 spans="7:27" ht="15" customHeight="1"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7:27" ht="15" customHeight="1"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7:27" ht="15" customHeight="1"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 spans="7:27" ht="15" customHeight="1"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 spans="7:27" ht="15" customHeight="1"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 spans="7:27" ht="15" customHeight="1"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 spans="7:27" ht="15" customHeight="1"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 spans="7:27" ht="15" customHeight="1"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7:27" ht="15" customHeight="1"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</sheetData>
  <mergeCells count="5">
    <mergeCell ref="A59:E59"/>
    <mergeCell ref="A1:E5"/>
    <mergeCell ref="A7:E7"/>
    <mergeCell ref="A8:E8"/>
    <mergeCell ref="A13:E13"/>
  </mergeCells>
  <phoneticPr fontId="0" type="noConversion"/>
  <pageMargins left="0.71" right="0.31" top="0.52" bottom="0.5" header="0.5" footer="0.5"/>
  <pageSetup paperSize="9" scale="88" orientation="portrait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B2:M59"/>
  <sheetViews>
    <sheetView topLeftCell="A4" zoomScaleNormal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169</v>
      </c>
      <c r="C2" s="784"/>
      <c r="D2" s="784"/>
      <c r="E2" s="784"/>
      <c r="F2" s="784"/>
      <c r="G2" s="784"/>
      <c r="H2" s="784"/>
      <c r="I2" s="784"/>
      <c r="J2" s="784"/>
      <c r="K2" s="128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117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2157050</v>
      </c>
      <c r="H7" s="337">
        <f>SUM(H8:H11)</f>
        <v>2157050</v>
      </c>
      <c r="I7" s="619">
        <v>1565777</v>
      </c>
      <c r="J7" s="337">
        <f>SUM(J8:J11)</f>
        <v>2177270</v>
      </c>
      <c r="K7" s="134">
        <f>IF(H7=0,"",J7/H7*100)</f>
        <v>100.93739134466053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1718040+0+660+7000+51550</f>
        <v>1777250</v>
      </c>
      <c r="H8" s="336">
        <f>1718040+0+660+7000+51550</f>
        <v>1777250</v>
      </c>
      <c r="I8" s="618">
        <v>1295427</v>
      </c>
      <c r="J8" s="336">
        <f>1770800+9*410</f>
        <v>1774490</v>
      </c>
      <c r="K8" s="135">
        <f>IF(H8=0,"",J8/H8*100)</f>
        <v>99.844703896469269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366560+4000+3*1470+840+2590+1400</f>
        <v>379800</v>
      </c>
      <c r="H9" s="336">
        <f>366560+4000+3*1470+840+2590+1400</f>
        <v>379800</v>
      </c>
      <c r="I9" s="618">
        <v>270350</v>
      </c>
      <c r="J9" s="336">
        <f>365700+107*270+9*910</f>
        <v>402780</v>
      </c>
      <c r="K9" s="135">
        <f t="shared" ref="K9:K34" si="0">IF(H9=0,"",J9/H9*100)</f>
        <v>106.05055292259084</v>
      </c>
      <c r="M9" s="80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18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618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190200</v>
      </c>
      <c r="H12" s="337">
        <f>H13</f>
        <v>190200</v>
      </c>
      <c r="I12" s="619">
        <v>141143</v>
      </c>
      <c r="J12" s="337">
        <f>J13</f>
        <v>193450</v>
      </c>
      <c r="K12" s="177">
        <f t="shared" si="0"/>
        <v>101.70872765509988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183910+0+770+5520</f>
        <v>190200</v>
      </c>
      <c r="H13" s="336">
        <f>183910+0+770+5520</f>
        <v>190200</v>
      </c>
      <c r="I13" s="618">
        <v>141143</v>
      </c>
      <c r="J13" s="336">
        <f>192100+9*150</f>
        <v>193450</v>
      </c>
      <c r="K13" s="135">
        <f t="shared" si="0"/>
        <v>101.70872765509988</v>
      </c>
    </row>
    <row r="14" spans="2:13" ht="17.100000000000001" customHeight="1">
      <c r="B14" s="14"/>
      <c r="C14" s="15"/>
      <c r="D14" s="15"/>
      <c r="E14" s="16"/>
      <c r="F14" s="15"/>
      <c r="G14" s="72"/>
      <c r="H14" s="72"/>
      <c r="I14" s="615"/>
      <c r="J14" s="72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222000</v>
      </c>
      <c r="H15" s="43">
        <f>SUM(H16:H25)</f>
        <v>222000</v>
      </c>
      <c r="I15" s="614">
        <v>117658</v>
      </c>
      <c r="J15" s="43">
        <f>SUM(J16:J25)</f>
        <v>208000</v>
      </c>
      <c r="K15" s="177">
        <f t="shared" si="0"/>
        <v>93.693693693693689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12000</v>
      </c>
      <c r="H16" s="39">
        <v>12000</v>
      </c>
      <c r="I16" s="613">
        <v>7690</v>
      </c>
      <c r="J16" s="39">
        <v>11500</v>
      </c>
      <c r="K16" s="135">
        <f t="shared" si="0"/>
        <v>95.833333333333343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77000</v>
      </c>
      <c r="H17" s="39">
        <v>77000</v>
      </c>
      <c r="I17" s="613">
        <v>30837</v>
      </c>
      <c r="J17" s="39">
        <v>77000</v>
      </c>
      <c r="K17" s="135">
        <f t="shared" si="0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39">
        <v>11000</v>
      </c>
      <c r="H18" s="39">
        <v>11000</v>
      </c>
      <c r="I18" s="613">
        <v>5958</v>
      </c>
      <c r="J18" s="39">
        <f>6700+2500</f>
        <v>9200</v>
      </c>
      <c r="K18" s="135">
        <f t="shared" si="0"/>
        <v>83.636363636363626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72">
        <v>22000</v>
      </c>
      <c r="H19" s="72">
        <v>22000</v>
      </c>
      <c r="I19" s="615">
        <v>12290</v>
      </c>
      <c r="J19" s="72">
        <f>13500+6800</f>
        <v>20300</v>
      </c>
      <c r="K19" s="135">
        <f t="shared" si="0"/>
        <v>92.272727272727266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2">
        <v>1500</v>
      </c>
      <c r="H20" s="72">
        <v>1500</v>
      </c>
      <c r="I20" s="615">
        <v>1096</v>
      </c>
      <c r="J20" s="72">
        <v>1500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72">
        <v>0</v>
      </c>
      <c r="H21" s="72">
        <v>0</v>
      </c>
      <c r="I21" s="615">
        <v>0</v>
      </c>
      <c r="J21" s="72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26500</v>
      </c>
      <c r="H22" s="72">
        <v>26500</v>
      </c>
      <c r="I22" s="615">
        <v>7137</v>
      </c>
      <c r="J22" s="72">
        <v>18500</v>
      </c>
      <c r="K22" s="135">
        <f t="shared" si="0"/>
        <v>69.811320754716974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0</v>
      </c>
      <c r="I23" s="615">
        <v>0</v>
      </c>
      <c r="J23" s="72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72000</v>
      </c>
      <c r="H24" s="72">
        <v>72000</v>
      </c>
      <c r="I24" s="615">
        <v>52650</v>
      </c>
      <c r="J24" s="72">
        <v>70000</v>
      </c>
      <c r="K24" s="135">
        <f t="shared" si="0"/>
        <v>97.222222222222214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617">
        <v>0</v>
      </c>
      <c r="J25" s="151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72"/>
      <c r="H26" s="72"/>
      <c r="I26" s="615"/>
      <c r="J26" s="72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SUM(G28:G30)</f>
        <v>7000</v>
      </c>
      <c r="H27" s="96">
        <f>SUM(H28:H30)</f>
        <v>16000</v>
      </c>
      <c r="I27" s="616">
        <v>8101</v>
      </c>
      <c r="J27" s="96">
        <f>SUM(J28:J30)</f>
        <v>23500</v>
      </c>
      <c r="K27" s="177">
        <f t="shared" si="0"/>
        <v>146.875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615">
        <v>0</v>
      </c>
      <c r="J28" s="72">
        <v>7500</v>
      </c>
      <c r="K28" s="135" t="str">
        <f t="shared" si="0"/>
        <v/>
      </c>
      <c r="L28" s="71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2">
        <v>7000</v>
      </c>
      <c r="H29" s="72">
        <v>16000</v>
      </c>
      <c r="I29" s="615">
        <v>8101</v>
      </c>
      <c r="J29" s="72">
        <v>16000</v>
      </c>
      <c r="K29" s="135">
        <f t="shared" si="0"/>
        <v>100</v>
      </c>
    </row>
    <row r="30" spans="2:12" ht="17.100000000000001" customHeight="1">
      <c r="B30" s="14"/>
      <c r="C30" s="15"/>
      <c r="D30" s="15"/>
      <c r="E30" s="16"/>
      <c r="F30" s="26"/>
      <c r="G30" s="72"/>
      <c r="H30" s="72"/>
      <c r="I30" s="615"/>
      <c r="J30" s="72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664</v>
      </c>
      <c r="H31" s="25" t="s">
        <v>664</v>
      </c>
      <c r="I31" s="612" t="s">
        <v>734</v>
      </c>
      <c r="J31" s="658" t="s">
        <v>734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2576250</v>
      </c>
      <c r="H32" s="20">
        <f>H7+H12+H15+H27</f>
        <v>2585250</v>
      </c>
      <c r="I32" s="20">
        <f t="shared" ref="I32" si="1">I7+I12+I15+I27</f>
        <v>1832679</v>
      </c>
      <c r="J32" s="20">
        <f>J7+J12+J15+J27</f>
        <v>2602220</v>
      </c>
      <c r="K32" s="177">
        <f t="shared" si="0"/>
        <v>100.65641620733004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B2:N59"/>
  <sheetViews>
    <sheetView topLeftCell="A7" zoomScaleNormal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170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124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611040</v>
      </c>
      <c r="H7" s="337">
        <f>SUM(H8:H11)</f>
        <v>611040</v>
      </c>
      <c r="I7" s="627">
        <v>433473</v>
      </c>
      <c r="J7" s="337">
        <f>SUM(J8:J11)</f>
        <v>601070</v>
      </c>
      <c r="K7" s="134">
        <f>IF(H7=0,"",J7/H7*100)</f>
        <v>98.36835559046871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482230+0+7000+14470</f>
        <v>503700</v>
      </c>
      <c r="H8" s="339">
        <f>482230+0+7000+14470</f>
        <v>503700</v>
      </c>
      <c r="I8" s="628">
        <v>366940</v>
      </c>
      <c r="J8" s="339">
        <f>500500</f>
        <v>500500</v>
      </c>
      <c r="K8" s="135">
        <f>IF(H8=0,"",J8/H8*100)</f>
        <v>99.364701211038323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100820+0+3*840+2600+1400</f>
        <v>107340</v>
      </c>
      <c r="H9" s="339">
        <f>100820+0+3*840+2600+1400</f>
        <v>107340</v>
      </c>
      <c r="I9" s="628">
        <v>66533</v>
      </c>
      <c r="J9" s="339">
        <f>92200+31*270</f>
        <v>100570</v>
      </c>
      <c r="K9" s="135">
        <f t="shared" ref="K9:K34" si="0">IF(H9=0,"",J9/H9*100)</f>
        <v>93.692938326811998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2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9"/>
      <c r="H11" s="339"/>
      <c r="I11" s="628"/>
      <c r="J11" s="339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53920</v>
      </c>
      <c r="H12" s="337">
        <f>H13</f>
        <v>53920</v>
      </c>
      <c r="I12" s="627">
        <v>41148</v>
      </c>
      <c r="J12" s="337">
        <f>J13</f>
        <v>56100</v>
      </c>
      <c r="K12" s="177">
        <f t="shared" si="0"/>
        <v>104.04302670623144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51600+0+770+1550</f>
        <v>53920</v>
      </c>
      <c r="H13" s="339">
        <f>51600+0+770+1550</f>
        <v>53920</v>
      </c>
      <c r="I13" s="628">
        <v>41148</v>
      </c>
      <c r="J13" s="339">
        <f>56100</f>
        <v>56100</v>
      </c>
      <c r="K13" s="135">
        <f t="shared" si="0"/>
        <v>104.04302670623144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621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54600</v>
      </c>
      <c r="H15" s="43">
        <f>SUM(H16:H25)</f>
        <v>54600</v>
      </c>
      <c r="I15" s="622">
        <v>45064</v>
      </c>
      <c r="J15" s="43">
        <f>SUM(J16:J25)</f>
        <v>61200</v>
      </c>
      <c r="K15" s="177">
        <f t="shared" si="0"/>
        <v>112.08791208791209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3500</v>
      </c>
      <c r="H16" s="40">
        <v>3500</v>
      </c>
      <c r="I16" s="621">
        <v>3107</v>
      </c>
      <c r="J16" s="40">
        <v>3500</v>
      </c>
      <c r="K16" s="135">
        <f t="shared" si="0"/>
        <v>100</v>
      </c>
    </row>
    <row r="17" spans="2:14" ht="17.100000000000001" customHeight="1">
      <c r="B17" s="14"/>
      <c r="C17" s="15"/>
      <c r="D17" s="15"/>
      <c r="E17" s="16">
        <v>613200</v>
      </c>
      <c r="F17" s="15" t="s">
        <v>85</v>
      </c>
      <c r="G17" s="40">
        <v>20500</v>
      </c>
      <c r="H17" s="40">
        <v>20500</v>
      </c>
      <c r="I17" s="621">
        <v>14450</v>
      </c>
      <c r="J17" s="40">
        <v>23700</v>
      </c>
      <c r="K17" s="135">
        <f t="shared" si="0"/>
        <v>115.60975609756096</v>
      </c>
    </row>
    <row r="18" spans="2:14" ht="17.100000000000001" customHeight="1">
      <c r="B18" s="14"/>
      <c r="C18" s="15"/>
      <c r="D18" s="15"/>
      <c r="E18" s="16">
        <v>613300</v>
      </c>
      <c r="F18" s="26" t="s">
        <v>206</v>
      </c>
      <c r="G18" s="40">
        <v>3300</v>
      </c>
      <c r="H18" s="40">
        <v>3300</v>
      </c>
      <c r="I18" s="621">
        <v>2221</v>
      </c>
      <c r="J18" s="40">
        <v>3000</v>
      </c>
      <c r="K18" s="135">
        <f t="shared" si="0"/>
        <v>90.909090909090907</v>
      </c>
    </row>
    <row r="19" spans="2:14" ht="17.100000000000001" customHeight="1">
      <c r="B19" s="14"/>
      <c r="C19" s="15"/>
      <c r="D19" s="15"/>
      <c r="E19" s="16">
        <v>613400</v>
      </c>
      <c r="F19" s="15" t="s">
        <v>165</v>
      </c>
      <c r="G19" s="40">
        <v>9000</v>
      </c>
      <c r="H19" s="40">
        <v>9000</v>
      </c>
      <c r="I19" s="621">
        <v>7432</v>
      </c>
      <c r="J19" s="40">
        <v>9000</v>
      </c>
      <c r="K19" s="135">
        <f t="shared" si="0"/>
        <v>100</v>
      </c>
    </row>
    <row r="20" spans="2:14" ht="17.100000000000001" customHeight="1">
      <c r="B20" s="14"/>
      <c r="C20" s="15"/>
      <c r="D20" s="15"/>
      <c r="E20" s="16">
        <v>613500</v>
      </c>
      <c r="F20" s="15" t="s">
        <v>86</v>
      </c>
      <c r="G20" s="40">
        <v>300</v>
      </c>
      <c r="H20" s="40">
        <v>300</v>
      </c>
      <c r="I20" s="621">
        <v>262</v>
      </c>
      <c r="J20" s="40">
        <v>300</v>
      </c>
      <c r="K20" s="135">
        <f t="shared" si="0"/>
        <v>100</v>
      </c>
    </row>
    <row r="21" spans="2:14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621">
        <v>0</v>
      </c>
      <c r="J21" s="40">
        <v>0</v>
      </c>
      <c r="K21" s="135" t="str">
        <f t="shared" si="0"/>
        <v/>
      </c>
    </row>
    <row r="22" spans="2:14" ht="17.100000000000001" customHeight="1">
      <c r="B22" s="14"/>
      <c r="C22" s="15"/>
      <c r="D22" s="15"/>
      <c r="E22" s="16">
        <v>613700</v>
      </c>
      <c r="F22" s="15" t="s">
        <v>87</v>
      </c>
      <c r="G22" s="105">
        <v>10500</v>
      </c>
      <c r="H22" s="105">
        <v>10500</v>
      </c>
      <c r="I22" s="624">
        <v>10265</v>
      </c>
      <c r="J22" s="105">
        <v>13000</v>
      </c>
      <c r="K22" s="135">
        <f t="shared" si="0"/>
        <v>123.80952380952381</v>
      </c>
    </row>
    <row r="23" spans="2:14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24">
        <v>0</v>
      </c>
      <c r="J23" s="105">
        <v>0</v>
      </c>
      <c r="K23" s="135" t="str">
        <f t="shared" si="0"/>
        <v/>
      </c>
    </row>
    <row r="24" spans="2:14" ht="17.100000000000001" customHeight="1">
      <c r="B24" s="14"/>
      <c r="C24" s="15"/>
      <c r="D24" s="15"/>
      <c r="E24" s="16">
        <v>613900</v>
      </c>
      <c r="F24" s="15" t="s">
        <v>167</v>
      </c>
      <c r="G24" s="105">
        <v>7500</v>
      </c>
      <c r="H24" s="105">
        <v>7500</v>
      </c>
      <c r="I24" s="624">
        <v>7327</v>
      </c>
      <c r="J24" s="105">
        <v>8700</v>
      </c>
      <c r="K24" s="135">
        <f t="shared" si="0"/>
        <v>115.99999999999999</v>
      </c>
    </row>
    <row r="25" spans="2:14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625">
        <v>0</v>
      </c>
      <c r="J25" s="151">
        <v>0</v>
      </c>
      <c r="K25" s="135" t="str">
        <f t="shared" si="0"/>
        <v/>
      </c>
    </row>
    <row r="26" spans="2:14" s="1" customFormat="1" ht="17.100000000000001" customHeight="1">
      <c r="B26" s="17"/>
      <c r="C26" s="12"/>
      <c r="D26" s="12"/>
      <c r="E26" s="9"/>
      <c r="F26" s="12"/>
      <c r="G26" s="105"/>
      <c r="H26" s="105"/>
      <c r="I26" s="624"/>
      <c r="J26" s="105"/>
      <c r="K26" s="135" t="str">
        <f t="shared" si="0"/>
        <v/>
      </c>
    </row>
    <row r="27" spans="2:14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35000</v>
      </c>
      <c r="H27" s="96">
        <f>SUM(H28:H29)</f>
        <v>40000</v>
      </c>
      <c r="I27" s="623">
        <v>39876</v>
      </c>
      <c r="J27" s="96">
        <f>SUM(J28:J29)</f>
        <v>40900</v>
      </c>
      <c r="K27" s="177">
        <f t="shared" si="0"/>
        <v>102.25</v>
      </c>
    </row>
    <row r="28" spans="2:14" ht="17.100000000000001" customHeight="1">
      <c r="B28" s="14"/>
      <c r="C28" s="15"/>
      <c r="D28" s="15"/>
      <c r="E28" s="16">
        <v>821200</v>
      </c>
      <c r="F28" s="15" t="s">
        <v>91</v>
      </c>
      <c r="G28" s="105">
        <v>30000</v>
      </c>
      <c r="H28" s="105">
        <v>31240</v>
      </c>
      <c r="I28" s="624">
        <v>31230</v>
      </c>
      <c r="J28" s="105">
        <f>31240+900</f>
        <v>32140</v>
      </c>
      <c r="K28" s="135">
        <f t="shared" si="0"/>
        <v>102.8809218950064</v>
      </c>
      <c r="N28" s="80"/>
    </row>
    <row r="29" spans="2:14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8760</v>
      </c>
      <c r="I29" s="624">
        <v>8646</v>
      </c>
      <c r="J29" s="105">
        <v>8760</v>
      </c>
      <c r="K29" s="135">
        <f t="shared" si="0"/>
        <v>100</v>
      </c>
    </row>
    <row r="30" spans="2:14" ht="17.100000000000001" customHeight="1">
      <c r="B30" s="14"/>
      <c r="C30" s="15"/>
      <c r="D30" s="15"/>
      <c r="E30" s="16"/>
      <c r="F30" s="15"/>
      <c r="G30" s="40"/>
      <c r="H30" s="40"/>
      <c r="I30" s="621"/>
      <c r="J30" s="40"/>
      <c r="K30" s="135" t="str">
        <f t="shared" si="0"/>
        <v/>
      </c>
    </row>
    <row r="31" spans="2:14" s="1" customFormat="1" ht="17.100000000000001" customHeight="1">
      <c r="B31" s="17"/>
      <c r="C31" s="12"/>
      <c r="D31" s="12"/>
      <c r="E31" s="9"/>
      <c r="F31" s="12" t="s">
        <v>93</v>
      </c>
      <c r="G31" s="25" t="s">
        <v>603</v>
      </c>
      <c r="H31" s="25" t="s">
        <v>603</v>
      </c>
      <c r="I31" s="620" t="s">
        <v>735</v>
      </c>
      <c r="J31" s="658" t="s">
        <v>735</v>
      </c>
      <c r="K31" s="135"/>
    </row>
    <row r="32" spans="2:14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754560</v>
      </c>
      <c r="H32" s="20">
        <f>H7+H12+H15+H27</f>
        <v>759560</v>
      </c>
      <c r="I32" s="20">
        <f t="shared" ref="I32" si="1">I7+I12+I15+I27</f>
        <v>559561</v>
      </c>
      <c r="J32" s="20">
        <f>J7+J12+J15+J27</f>
        <v>759270</v>
      </c>
      <c r="K32" s="177">
        <f t="shared" si="0"/>
        <v>99.961820001053241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>
      <c r="B45" s="71"/>
    </row>
    <row r="46" spans="2:11" ht="17.100000000000001" customHeight="1">
      <c r="B46" s="71"/>
    </row>
    <row r="47" spans="2:11" ht="17.100000000000001" customHeight="1">
      <c r="B47" s="71"/>
    </row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B2:M59"/>
  <sheetViews>
    <sheetView zoomScaleNormal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171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125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805680</v>
      </c>
      <c r="H7" s="337">
        <f>SUM(H8:H10)</f>
        <v>805680</v>
      </c>
      <c r="I7" s="636">
        <v>543576</v>
      </c>
      <c r="J7" s="337">
        <f>SUM(J8:J10)</f>
        <v>767390</v>
      </c>
      <c r="K7" s="134">
        <f>IF(H7=0,"",J7/H7*100)</f>
        <v>95.247492801112102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633490+2000+3290+7000+19010</f>
        <v>664790</v>
      </c>
      <c r="H8" s="339">
        <f>633490+2000+3290+7000+19010</f>
        <v>664790</v>
      </c>
      <c r="I8" s="637">
        <v>461417</v>
      </c>
      <c r="J8" s="339">
        <f>636300+980</f>
        <v>637280</v>
      </c>
      <c r="K8" s="135">
        <f>IF(H8=0,"",J8/H8*100)</f>
        <v>95.861851110877112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132930+0+4*840+3200+1400</f>
        <v>140890</v>
      </c>
      <c r="H9" s="339">
        <f>132930+0+4*840+3200+1400</f>
        <v>140890</v>
      </c>
      <c r="I9" s="637">
        <v>82159</v>
      </c>
      <c r="J9" s="339">
        <f>116900+43*270+1600</f>
        <v>130110</v>
      </c>
      <c r="K9" s="135">
        <f t="shared" ref="K9:K34" si="0">IF(H9=0,"",J9/H9*100)</f>
        <v>92.348640783590028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35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36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72470</v>
      </c>
      <c r="H12" s="337">
        <f>H13</f>
        <v>72470</v>
      </c>
      <c r="I12" s="636">
        <v>51364</v>
      </c>
      <c r="J12" s="337">
        <f>J13</f>
        <v>71090</v>
      </c>
      <c r="K12" s="177">
        <f t="shared" si="0"/>
        <v>98.095763764316274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69030+600+770+2070</f>
        <v>72470</v>
      </c>
      <c r="H13" s="339">
        <f>69030+600+770+2070</f>
        <v>72470</v>
      </c>
      <c r="I13" s="637">
        <v>51364</v>
      </c>
      <c r="J13" s="339">
        <f>70800+290</f>
        <v>71090</v>
      </c>
      <c r="K13" s="135">
        <f t="shared" si="0"/>
        <v>98.095763764316274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629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63550</v>
      </c>
      <c r="H15" s="43">
        <f>SUM(H16:H25)</f>
        <v>63550</v>
      </c>
      <c r="I15" s="632">
        <v>39148</v>
      </c>
      <c r="J15" s="43">
        <f>SUM(J16:J25)</f>
        <v>66300</v>
      </c>
      <c r="K15" s="177">
        <f t="shared" si="0"/>
        <v>104.32730133752951</v>
      </c>
      <c r="M15" s="81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4500</v>
      </c>
      <c r="H16" s="40">
        <v>4500</v>
      </c>
      <c r="I16" s="631">
        <v>3373</v>
      </c>
      <c r="J16" s="40">
        <v>4500</v>
      </c>
      <c r="K16" s="135">
        <f t="shared" si="0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30000</v>
      </c>
      <c r="H17" s="40">
        <v>28000</v>
      </c>
      <c r="I17" s="631">
        <v>13800</v>
      </c>
      <c r="J17" s="40">
        <v>30000</v>
      </c>
      <c r="K17" s="135">
        <f t="shared" si="0"/>
        <v>107.14285714285714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105">
        <v>3050</v>
      </c>
      <c r="H18" s="105">
        <v>3050</v>
      </c>
      <c r="I18" s="634">
        <v>1905</v>
      </c>
      <c r="J18" s="105">
        <v>2600</v>
      </c>
      <c r="K18" s="135">
        <f t="shared" si="0"/>
        <v>85.245901639344254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5">
        <v>9000</v>
      </c>
      <c r="H19" s="105">
        <v>8200</v>
      </c>
      <c r="I19" s="634">
        <v>6902</v>
      </c>
      <c r="J19" s="105">
        <v>8200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5">
        <v>0</v>
      </c>
      <c r="H20" s="105">
        <v>0</v>
      </c>
      <c r="I20" s="634">
        <v>0</v>
      </c>
      <c r="J20" s="105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634">
        <v>0</v>
      </c>
      <c r="J21" s="105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5">
        <v>9000</v>
      </c>
      <c r="H22" s="105">
        <v>7600</v>
      </c>
      <c r="I22" s="634">
        <v>3222</v>
      </c>
      <c r="J22" s="105">
        <v>8000</v>
      </c>
      <c r="K22" s="135">
        <f t="shared" si="0"/>
        <v>105.26315789473684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34">
        <v>0</v>
      </c>
      <c r="J23" s="105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8000</v>
      </c>
      <c r="H24" s="105">
        <v>12200</v>
      </c>
      <c r="I24" s="634">
        <v>9946</v>
      </c>
      <c r="J24" s="105">
        <v>13000</v>
      </c>
      <c r="K24" s="135">
        <f t="shared" si="0"/>
        <v>106.55737704918033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34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5"/>
      <c r="H26" s="105"/>
      <c r="I26" s="634"/>
      <c r="J26" s="105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13500</v>
      </c>
      <c r="H27" s="96">
        <f>SUM(H28:H29)</f>
        <v>13500</v>
      </c>
      <c r="I27" s="633">
        <v>0</v>
      </c>
      <c r="J27" s="96">
        <f>SUM(J28:J29)</f>
        <v>13500</v>
      </c>
      <c r="K27" s="177">
        <f t="shared" si="0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5">
        <v>13500</v>
      </c>
      <c r="H28" s="105">
        <v>13500</v>
      </c>
      <c r="I28" s="634">
        <v>0</v>
      </c>
      <c r="J28" s="105">
        <v>13500</v>
      </c>
      <c r="K28" s="135">
        <f t="shared" si="0"/>
        <v>100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0</v>
      </c>
      <c r="H29" s="105">
        <v>0</v>
      </c>
      <c r="I29" s="634">
        <v>0</v>
      </c>
      <c r="J29" s="105">
        <v>0</v>
      </c>
      <c r="K29" s="135" t="str">
        <f t="shared" si="0"/>
        <v/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631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658</v>
      </c>
      <c r="H31" s="25" t="s">
        <v>658</v>
      </c>
      <c r="I31" s="630" t="s">
        <v>658</v>
      </c>
      <c r="J31" s="658" t="s">
        <v>658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955200</v>
      </c>
      <c r="H32" s="20">
        <f>H7+H12+H15+H27</f>
        <v>955200</v>
      </c>
      <c r="I32" s="20">
        <f t="shared" ref="I32" si="1">I7+I12+I15+I27</f>
        <v>634088</v>
      </c>
      <c r="J32" s="20">
        <f>J7+J12+J15+J27</f>
        <v>918280</v>
      </c>
      <c r="K32" s="177">
        <f t="shared" si="0"/>
        <v>96.13484087102178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B2:M59"/>
  <sheetViews>
    <sheetView zoomScaleNormal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172</v>
      </c>
      <c r="C2" s="784"/>
      <c r="D2" s="784"/>
      <c r="E2" s="784"/>
      <c r="F2" s="784"/>
      <c r="G2" s="784"/>
      <c r="H2" s="392"/>
      <c r="I2" s="392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146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864760</v>
      </c>
      <c r="H7" s="337">
        <f>SUM(H8:H10)</f>
        <v>864760</v>
      </c>
      <c r="I7" s="646">
        <v>622719</v>
      </c>
      <c r="J7" s="337">
        <f>SUM(J8:J10)</f>
        <v>882730</v>
      </c>
      <c r="K7" s="134">
        <f>IF(H7=0,"",J7/H7*100)</f>
        <v>102.07803321152691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650610+2000+230+7000+16600+10600+19520+820</f>
        <v>707380</v>
      </c>
      <c r="H8" s="339">
        <f>650610+2000+230+7000+16600+10600+19520+820</f>
        <v>707380</v>
      </c>
      <c r="I8" s="647">
        <v>517726</v>
      </c>
      <c r="J8" s="339">
        <f>720100+870</f>
        <v>720970</v>
      </c>
      <c r="K8" s="135">
        <f>IF(H8=0,"",J8/H8*100)</f>
        <v>101.92117390935564</v>
      </c>
      <c r="L8" s="71"/>
      <c r="M8" s="80"/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144490+1000+840+1470+2580+1400+3000+2600</f>
        <v>157380</v>
      </c>
      <c r="H9" s="339">
        <f>144490+1000+840+1470+2580+1400+3000+2600</f>
        <v>157380</v>
      </c>
      <c r="I9" s="647">
        <v>104993</v>
      </c>
      <c r="J9" s="339">
        <f>147100+49*270+1430</f>
        <v>161760</v>
      </c>
      <c r="K9" s="135">
        <f t="shared" ref="K9:K34" si="0">IF(H9=0,"",J9/H9*100)</f>
        <v>102.78307281738468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45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46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76420</v>
      </c>
      <c r="H12" s="337">
        <f>H13</f>
        <v>76420</v>
      </c>
      <c r="I12" s="646">
        <v>55347</v>
      </c>
      <c r="J12" s="337">
        <f>J13</f>
        <v>77560</v>
      </c>
      <c r="K12" s="177">
        <f t="shared" si="0"/>
        <v>101.49175608479455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69760+700+770+1830+1170+2100+90</f>
        <v>76420</v>
      </c>
      <c r="H13" s="339">
        <f>69760+700+770+1830+1170+2100+90</f>
        <v>76420</v>
      </c>
      <c r="I13" s="647">
        <v>55347</v>
      </c>
      <c r="J13" s="339">
        <f>77300+260</f>
        <v>77560</v>
      </c>
      <c r="K13" s="135">
        <f t="shared" si="0"/>
        <v>101.49175608479455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638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99600</v>
      </c>
      <c r="H15" s="43">
        <f>SUM(H16:H25)</f>
        <v>99600</v>
      </c>
      <c r="I15" s="640">
        <v>51783</v>
      </c>
      <c r="J15" s="43">
        <f>SUM(J16:J25)</f>
        <v>99550</v>
      </c>
      <c r="K15" s="177">
        <f t="shared" si="0"/>
        <v>99.949799196787154</v>
      </c>
      <c r="M15" s="81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4000</v>
      </c>
      <c r="I16" s="639">
        <v>2839</v>
      </c>
      <c r="J16" s="40">
        <v>4000</v>
      </c>
      <c r="K16" s="135">
        <f t="shared" si="0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55000</v>
      </c>
      <c r="H17" s="40">
        <v>50000</v>
      </c>
      <c r="I17" s="639">
        <v>14370</v>
      </c>
      <c r="J17" s="40">
        <v>49300</v>
      </c>
      <c r="K17" s="135">
        <f t="shared" si="0"/>
        <v>98.6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4500</v>
      </c>
      <c r="H18" s="40">
        <v>4500</v>
      </c>
      <c r="I18" s="639">
        <v>3154</v>
      </c>
      <c r="J18" s="40">
        <v>4500</v>
      </c>
      <c r="K18" s="135">
        <f t="shared" si="0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40">
        <v>12000</v>
      </c>
      <c r="H19" s="40">
        <v>12000</v>
      </c>
      <c r="I19" s="639">
        <v>8615</v>
      </c>
      <c r="J19" s="40">
        <v>12000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5">
        <v>1000</v>
      </c>
      <c r="H20" s="105">
        <v>1000</v>
      </c>
      <c r="I20" s="642">
        <v>962</v>
      </c>
      <c r="J20" s="105">
        <v>1000</v>
      </c>
      <c r="K20" s="135">
        <f t="shared" si="0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642">
        <v>0</v>
      </c>
      <c r="J21" s="105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5">
        <v>12000</v>
      </c>
      <c r="H22" s="105">
        <v>11100</v>
      </c>
      <c r="I22" s="642">
        <v>7041</v>
      </c>
      <c r="J22" s="105">
        <v>11100</v>
      </c>
      <c r="K22" s="135">
        <f t="shared" si="0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">
        <v>2100</v>
      </c>
      <c r="H23" s="105">
        <v>1050</v>
      </c>
      <c r="I23" s="642">
        <v>1050</v>
      </c>
      <c r="J23" s="105">
        <v>1050</v>
      </c>
      <c r="K23" s="135">
        <f t="shared" si="0"/>
        <v>100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9000</v>
      </c>
      <c r="H24" s="105">
        <v>15950</v>
      </c>
      <c r="I24" s="642">
        <v>13752</v>
      </c>
      <c r="J24" s="105">
        <v>16600</v>
      </c>
      <c r="K24" s="135">
        <f t="shared" si="0"/>
        <v>104.07523510971788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51">
        <v>0</v>
      </c>
      <c r="H25" s="151">
        <v>0</v>
      </c>
      <c r="I25" s="644">
        <v>0</v>
      </c>
      <c r="J25" s="151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5"/>
      <c r="H26" s="105"/>
      <c r="I26" s="642"/>
      <c r="J26" s="105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30000</v>
      </c>
      <c r="H27" s="96">
        <f>SUM(H28:H29)</f>
        <v>30000</v>
      </c>
      <c r="I27" s="641">
        <v>24570</v>
      </c>
      <c r="J27" s="96">
        <f>SUM(J28:J29)</f>
        <v>29580</v>
      </c>
      <c r="K27" s="177">
        <f t="shared" si="0"/>
        <v>98.6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5">
        <v>25000</v>
      </c>
      <c r="H28" s="105">
        <v>25000</v>
      </c>
      <c r="I28" s="642">
        <v>24570</v>
      </c>
      <c r="J28" s="105">
        <v>24580</v>
      </c>
      <c r="K28" s="135">
        <f t="shared" si="0"/>
        <v>98.32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5000</v>
      </c>
      <c r="I29" s="642">
        <v>0</v>
      </c>
      <c r="J29" s="714">
        <v>5000</v>
      </c>
      <c r="K29" s="135">
        <f t="shared" si="0"/>
        <v>100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639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118" t="s">
        <v>668</v>
      </c>
      <c r="H31" s="118" t="s">
        <v>668</v>
      </c>
      <c r="I31" s="643" t="s">
        <v>736</v>
      </c>
      <c r="J31" s="715" t="s">
        <v>736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1070780</v>
      </c>
      <c r="H32" s="20">
        <f>H7+H12+H15+H27</f>
        <v>1070780</v>
      </c>
      <c r="I32" s="20">
        <f t="shared" ref="I32" si="1">I7+I12+I15+I27</f>
        <v>754419</v>
      </c>
      <c r="J32" s="20">
        <f>J7+J12+J15+J27</f>
        <v>1089420</v>
      </c>
      <c r="K32" s="177">
        <f t="shared" si="0"/>
        <v>101.74078708978502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B2:M59"/>
  <sheetViews>
    <sheetView topLeftCell="A7" zoomScaleNormal="100" workbookViewId="0">
      <selection activeCell="M31" sqref="M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173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147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447110</v>
      </c>
      <c r="H7" s="337">
        <f>SUM(H8:H10)</f>
        <v>447110</v>
      </c>
      <c r="I7" s="655">
        <v>301366</v>
      </c>
      <c r="J7" s="337">
        <f>SUM(J8:J10)</f>
        <v>410600</v>
      </c>
      <c r="K7" s="134">
        <f>IF(H7=0,"",J7/H7*100)</f>
        <v>91.83422424011988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340340+500+7000+10210</f>
        <v>358050</v>
      </c>
      <c r="H8" s="339">
        <f>340340+500+7000+10210</f>
        <v>358050</v>
      </c>
      <c r="I8" s="656">
        <v>248182</v>
      </c>
      <c r="J8" s="339">
        <f>331600</f>
        <v>331600</v>
      </c>
      <c r="K8" s="135">
        <f>IF(H8=0,"",J8/H8*100)</f>
        <v>92.612763580505515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86820+0+840+1400</f>
        <v>89060</v>
      </c>
      <c r="H9" s="339">
        <f>86820+0+840+1400</f>
        <v>89060</v>
      </c>
      <c r="I9" s="656">
        <v>53184</v>
      </c>
      <c r="J9" s="339">
        <f>73600+20*270</f>
        <v>79000</v>
      </c>
      <c r="K9" s="135">
        <f t="shared" ref="K9:K34" si="0">IF(H9=0,"",J9/H9*100)</f>
        <v>88.7042443296654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54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55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38370</v>
      </c>
      <c r="H12" s="337">
        <f>H13</f>
        <v>38370</v>
      </c>
      <c r="I12" s="655">
        <v>28138</v>
      </c>
      <c r="J12" s="337">
        <f>J13</f>
        <v>37100</v>
      </c>
      <c r="K12" s="177">
        <f t="shared" si="0"/>
        <v>96.690122491529834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36400+100+770+1100</f>
        <v>38370</v>
      </c>
      <c r="H13" s="339">
        <f>36400+100+770+1100</f>
        <v>38370</v>
      </c>
      <c r="I13" s="656">
        <v>28138</v>
      </c>
      <c r="J13" s="339">
        <f>37100</f>
        <v>37100</v>
      </c>
      <c r="K13" s="135">
        <f t="shared" si="0"/>
        <v>96.690122491529834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648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49400</v>
      </c>
      <c r="H15" s="43">
        <f>SUM(H16:H25)</f>
        <v>49400</v>
      </c>
      <c r="I15" s="651">
        <v>27777</v>
      </c>
      <c r="J15" s="43">
        <f>SUM(J16:J25)</f>
        <v>46300</v>
      </c>
      <c r="K15" s="177">
        <f t="shared" si="0"/>
        <v>93.724696356275302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4000</v>
      </c>
      <c r="I16" s="650">
        <v>3152</v>
      </c>
      <c r="J16" s="40">
        <v>4000</v>
      </c>
      <c r="K16" s="135">
        <f t="shared" si="0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18000</v>
      </c>
      <c r="H17" s="40">
        <v>18000</v>
      </c>
      <c r="I17" s="650">
        <v>4501</v>
      </c>
      <c r="J17" s="40">
        <v>16200</v>
      </c>
      <c r="K17" s="135">
        <f t="shared" si="0"/>
        <v>90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2800</v>
      </c>
      <c r="H18" s="40">
        <v>2800</v>
      </c>
      <c r="I18" s="650">
        <v>1714</v>
      </c>
      <c r="J18" s="40">
        <v>2500</v>
      </c>
      <c r="K18" s="135">
        <f t="shared" si="0"/>
        <v>89.285714285714292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40">
        <v>9000</v>
      </c>
      <c r="H19" s="40">
        <v>10500</v>
      </c>
      <c r="I19" s="650">
        <v>9279</v>
      </c>
      <c r="J19" s="40">
        <v>10500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600</v>
      </c>
      <c r="H20" s="40">
        <v>600</v>
      </c>
      <c r="I20" s="650">
        <v>509</v>
      </c>
      <c r="J20" s="40">
        <v>600</v>
      </c>
      <c r="K20" s="135">
        <f t="shared" si="0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650">
        <v>0</v>
      </c>
      <c r="J21" s="40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8000</v>
      </c>
      <c r="H22" s="40">
        <v>6500</v>
      </c>
      <c r="I22" s="650">
        <v>3019</v>
      </c>
      <c r="J22" s="40">
        <v>5500</v>
      </c>
      <c r="K22" s="135">
        <f t="shared" si="0"/>
        <v>84.615384615384613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53">
        <v>0</v>
      </c>
      <c r="J23" s="105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7000</v>
      </c>
      <c r="H24" s="105">
        <v>7000</v>
      </c>
      <c r="I24" s="653">
        <v>5603</v>
      </c>
      <c r="J24" s="105">
        <v>7000</v>
      </c>
      <c r="K24" s="135">
        <f t="shared" si="0"/>
        <v>100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53">
        <v>0</v>
      </c>
      <c r="J25" s="105">
        <v>0</v>
      </c>
      <c r="K25" s="135" t="str">
        <f t="shared" si="0"/>
        <v/>
      </c>
    </row>
    <row r="26" spans="2:11" ht="17.100000000000001" customHeight="1">
      <c r="B26" s="14"/>
      <c r="C26" s="15"/>
      <c r="D26" s="15"/>
      <c r="E26" s="16"/>
      <c r="F26" s="15"/>
      <c r="G26" s="96"/>
      <c r="H26" s="96"/>
      <c r="I26" s="652"/>
      <c r="J26" s="96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2500</v>
      </c>
      <c r="H27" s="96">
        <f>SUM(H28:H29)</f>
        <v>2500</v>
      </c>
      <c r="I27" s="652">
        <v>2500</v>
      </c>
      <c r="J27" s="96">
        <f>SUM(J28:J29)</f>
        <v>3100</v>
      </c>
      <c r="K27" s="177">
        <f t="shared" si="0"/>
        <v>124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5">
        <v>0</v>
      </c>
      <c r="H28" s="105">
        <v>0</v>
      </c>
      <c r="I28" s="653">
        <v>0</v>
      </c>
      <c r="J28" s="105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2500</v>
      </c>
      <c r="H29" s="105">
        <v>2500</v>
      </c>
      <c r="I29" s="653">
        <v>2500</v>
      </c>
      <c r="J29" s="105">
        <v>3100</v>
      </c>
      <c r="K29" s="135">
        <f t="shared" si="0"/>
        <v>124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650"/>
      <c r="J30" s="40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592</v>
      </c>
      <c r="H31" s="25" t="s">
        <v>592</v>
      </c>
      <c r="I31" s="649" t="s">
        <v>737</v>
      </c>
      <c r="J31" s="658" t="s">
        <v>737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537380</v>
      </c>
      <c r="H32" s="20">
        <f>H7+H12+H15+H27</f>
        <v>537380</v>
      </c>
      <c r="I32" s="20">
        <f t="shared" ref="I32" si="1">I7+I12+I15+I27</f>
        <v>359781</v>
      </c>
      <c r="J32" s="20">
        <f>J7+J12+J15+J27</f>
        <v>497100</v>
      </c>
      <c r="K32" s="177">
        <f t="shared" si="0"/>
        <v>92.50437306933641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5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B2:M59"/>
  <sheetViews>
    <sheetView topLeftCell="A7" zoomScaleNormal="100" workbookViewId="0">
      <selection activeCell="M31" sqref="M31:Q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174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143</v>
      </c>
      <c r="C6" s="11" t="s">
        <v>145</v>
      </c>
      <c r="D6" s="11" t="s">
        <v>148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559040</v>
      </c>
      <c r="H7" s="337">
        <f>SUM(H8:H10)</f>
        <v>559040</v>
      </c>
      <c r="I7" s="664">
        <v>393361</v>
      </c>
      <c r="J7" s="337">
        <f>SUM(J8:J10)</f>
        <v>543460</v>
      </c>
      <c r="K7" s="134">
        <f>IF(H7=0,"",J7/H7*100)</f>
        <v>97.213079564968524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437050+5000+3000+13120</f>
        <v>458170</v>
      </c>
      <c r="H8" s="339">
        <f>437050+5000+3000+13120</f>
        <v>458170</v>
      </c>
      <c r="I8" s="665">
        <v>323033</v>
      </c>
      <c r="J8" s="339">
        <f>440100</f>
        <v>440100</v>
      </c>
      <c r="K8" s="135">
        <f>IF(H8=0,"",J8/H8*100)</f>
        <v>96.056049064757616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96610+0+2*840+2580</f>
        <v>100870</v>
      </c>
      <c r="H9" s="339">
        <f>96610+0+2*840+2580</f>
        <v>100870</v>
      </c>
      <c r="I9" s="665">
        <v>70328</v>
      </c>
      <c r="J9" s="339">
        <f>95800+28*270</f>
        <v>103360</v>
      </c>
      <c r="K9" s="135">
        <f t="shared" ref="K9:K34" si="0">IF(H9=0,"",J9/H9*100)</f>
        <v>102.46852384256964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63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64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49360</v>
      </c>
      <c r="H12" s="337">
        <f>H13</f>
        <v>49360</v>
      </c>
      <c r="I12" s="664">
        <v>35561</v>
      </c>
      <c r="J12" s="337">
        <f>J13</f>
        <v>48900</v>
      </c>
      <c r="K12" s="177">
        <f t="shared" si="0"/>
        <v>99.06807131280388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46750+1200+1410</f>
        <v>49360</v>
      </c>
      <c r="H13" s="339">
        <f>46750+1200+1410</f>
        <v>49360</v>
      </c>
      <c r="I13" s="665">
        <v>35561</v>
      </c>
      <c r="J13" s="339">
        <f>48900</f>
        <v>48900</v>
      </c>
      <c r="K13" s="135">
        <f t="shared" si="0"/>
        <v>99.06807131280388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657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64400</v>
      </c>
      <c r="H15" s="43">
        <f>SUM(H16:H25)</f>
        <v>64400</v>
      </c>
      <c r="I15" s="660">
        <v>47132</v>
      </c>
      <c r="J15" s="43">
        <f>SUM(J16:J25)</f>
        <v>64000</v>
      </c>
      <c r="K15" s="177">
        <f t="shared" si="0"/>
        <v>99.378881987577643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3500</v>
      </c>
      <c r="H16" s="40">
        <v>5300</v>
      </c>
      <c r="I16" s="659">
        <v>4401</v>
      </c>
      <c r="J16" s="40">
        <v>6100</v>
      </c>
      <c r="K16" s="135">
        <f t="shared" si="0"/>
        <v>115.09433962264151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30500</v>
      </c>
      <c r="H17" s="40">
        <v>30000</v>
      </c>
      <c r="I17" s="659">
        <v>21491</v>
      </c>
      <c r="J17" s="40">
        <v>29900</v>
      </c>
      <c r="K17" s="135">
        <f t="shared" si="0"/>
        <v>99.666666666666671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40">
        <v>3400</v>
      </c>
      <c r="H18" s="40">
        <v>2700</v>
      </c>
      <c r="I18" s="659">
        <v>1765</v>
      </c>
      <c r="J18" s="40">
        <v>2400</v>
      </c>
      <c r="K18" s="135">
        <f t="shared" si="0"/>
        <v>88.888888888888886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5">
        <v>9000</v>
      </c>
      <c r="H19" s="105">
        <v>8600</v>
      </c>
      <c r="I19" s="662">
        <v>6187</v>
      </c>
      <c r="J19" s="105">
        <v>8600</v>
      </c>
      <c r="K19" s="135">
        <f t="shared" si="0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5">
        <v>1000</v>
      </c>
      <c r="H20" s="105">
        <v>1000</v>
      </c>
      <c r="I20" s="662">
        <v>958</v>
      </c>
      <c r="J20" s="105">
        <v>1000</v>
      </c>
      <c r="K20" s="135">
        <f t="shared" si="0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662">
        <v>0</v>
      </c>
      <c r="J21" s="105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5">
        <v>9000</v>
      </c>
      <c r="H22" s="105">
        <v>8800</v>
      </c>
      <c r="I22" s="662">
        <v>6543</v>
      </c>
      <c r="J22" s="105">
        <v>8500</v>
      </c>
      <c r="K22" s="135">
        <f t="shared" si="0"/>
        <v>96.590909090909093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62">
        <v>0</v>
      </c>
      <c r="J23" s="105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">
        <v>8000</v>
      </c>
      <c r="H24" s="105">
        <v>8000</v>
      </c>
      <c r="I24" s="662">
        <v>5787</v>
      </c>
      <c r="J24" s="105">
        <v>7500</v>
      </c>
      <c r="K24" s="135">
        <f t="shared" si="0"/>
        <v>93.75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62">
        <v>0</v>
      </c>
      <c r="J25" s="105">
        <v>0</v>
      </c>
      <c r="K25" s="135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5"/>
      <c r="H26" s="105"/>
      <c r="I26" s="662"/>
      <c r="J26" s="105"/>
      <c r="K26" s="135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SUM(G28:G30)</f>
        <v>3000</v>
      </c>
      <c r="H27" s="96">
        <f>SUM(H28:H30)</f>
        <v>22992</v>
      </c>
      <c r="I27" s="661">
        <v>10029</v>
      </c>
      <c r="J27" s="96">
        <f>SUM(J28:J30)</f>
        <v>23000</v>
      </c>
      <c r="K27" s="177">
        <f t="shared" si="0"/>
        <v>100.03479471120389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5">
        <v>0</v>
      </c>
      <c r="H28" s="105">
        <v>18642</v>
      </c>
      <c r="I28" s="662">
        <v>5687</v>
      </c>
      <c r="J28" s="105">
        <v>18650</v>
      </c>
      <c r="K28" s="135">
        <f t="shared" si="0"/>
        <v>100.04291385044523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5">
        <v>3000</v>
      </c>
      <c r="H29" s="105">
        <v>4350</v>
      </c>
      <c r="I29" s="662">
        <v>4342</v>
      </c>
      <c r="J29" s="105">
        <v>4350</v>
      </c>
      <c r="K29" s="135">
        <f t="shared" si="0"/>
        <v>100</v>
      </c>
    </row>
    <row r="30" spans="2:11" ht="17.100000000000001" customHeight="1">
      <c r="B30" s="14"/>
      <c r="C30" s="15"/>
      <c r="D30" s="15"/>
      <c r="E30" s="16"/>
      <c r="F30" s="26"/>
      <c r="G30" s="105"/>
      <c r="H30" s="105"/>
      <c r="I30" s="662"/>
      <c r="J30" s="105"/>
      <c r="K30" s="135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604</v>
      </c>
      <c r="H31" s="25" t="s">
        <v>604</v>
      </c>
      <c r="I31" s="658" t="s">
        <v>659</v>
      </c>
      <c r="J31" s="658" t="s">
        <v>659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675800</v>
      </c>
      <c r="H32" s="20">
        <f>H7+H12+H15+H27</f>
        <v>695792</v>
      </c>
      <c r="I32" s="20">
        <f t="shared" ref="I32" si="1">I7+I12+I15+I27</f>
        <v>486083</v>
      </c>
      <c r="J32" s="20">
        <f>J7+J12+J15+J27</f>
        <v>679360</v>
      </c>
      <c r="K32" s="177">
        <f t="shared" si="0"/>
        <v>97.638374686687982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G32+'29'!G32+'28'!G32+'27'!G32+'26'!G32+'25'!G32+'24'!G32</f>
        <v>7819660</v>
      </c>
      <c r="H33" s="20">
        <f>H32+'29'!H32+'28'!H32+'27'!H32+'26'!H32+'25'!H32+'24'!H32</f>
        <v>7858792</v>
      </c>
      <c r="I33" s="20">
        <f>I32+'29'!I32+'28'!I32+'27'!I32+'26'!I32+'25'!I32+'24'!I32</f>
        <v>5493977</v>
      </c>
      <c r="J33" s="20">
        <f>J32+'29'!J32+'28'!J32+'27'!J32+'26'!J32+'25'!J32+'24'!J32</f>
        <v>7759160</v>
      </c>
      <c r="K33" s="177">
        <f>IF(H33=0,"",J33/H33*100)</f>
        <v>98.732222458617045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G33+'23'!G34+'20'!G52</f>
        <v>13262620</v>
      </c>
      <c r="H34" s="20">
        <f>H33+'23'!H34+'20'!H52</f>
        <v>13317982</v>
      </c>
      <c r="I34" s="20">
        <f>I33+'23'!I34+'20'!I52</f>
        <v>9528258</v>
      </c>
      <c r="J34" s="20">
        <f>J33+'23'!J34+'20'!J52</f>
        <v>13294550</v>
      </c>
      <c r="K34" s="177">
        <f t="shared" si="0"/>
        <v>99.824057428520334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2:M59"/>
  <sheetViews>
    <sheetView zoomScaleNormal="100" workbookViewId="0">
      <selection activeCell="U26" sqref="U2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179</v>
      </c>
      <c r="C2" s="784"/>
      <c r="D2" s="784"/>
      <c r="E2" s="784"/>
      <c r="F2" s="784"/>
      <c r="G2" s="784"/>
      <c r="H2" s="392"/>
      <c r="I2" s="392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149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246970</v>
      </c>
      <c r="H7" s="337">
        <f>SUM(H8:H10)</f>
        <v>246970</v>
      </c>
      <c r="I7" s="670">
        <v>170147</v>
      </c>
      <c r="J7" s="337">
        <f>SUM(J8:J10)</f>
        <v>230100</v>
      </c>
      <c r="K7" s="134">
        <f>IF(H7=0,"",J7/H7*100)</f>
        <v>93.169210835324122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176010+1000+16500+5280+500</f>
        <v>199290</v>
      </c>
      <c r="H8" s="339">
        <f>176010+1000+16500+5280+500</f>
        <v>199290</v>
      </c>
      <c r="I8" s="671">
        <v>135345</v>
      </c>
      <c r="J8" s="339">
        <f>180500</f>
        <v>180500</v>
      </c>
      <c r="K8" s="135">
        <f>IF(H8=0,"",J8/H8*100)</f>
        <v>90.571528927693308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42580+1000+4100</f>
        <v>47680</v>
      </c>
      <c r="H9" s="339">
        <f>42580+1000+4100</f>
        <v>47680</v>
      </c>
      <c r="I9" s="671">
        <v>34802</v>
      </c>
      <c r="J9" s="339">
        <f>46900+10*270</f>
        <v>49600</v>
      </c>
      <c r="K9" s="135">
        <f t="shared" ref="K9:K37" si="0">IF(H9=0,"",J9/H9*100)</f>
        <v>104.02684563758389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69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70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21470</v>
      </c>
      <c r="H12" s="337">
        <f>H13</f>
        <v>21470</v>
      </c>
      <c r="I12" s="670">
        <v>14444</v>
      </c>
      <c r="J12" s="337">
        <f>J13</f>
        <v>19700</v>
      </c>
      <c r="K12" s="177">
        <f t="shared" si="0"/>
        <v>91.75593851886353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18840+200+1800+570+60</f>
        <v>21470</v>
      </c>
      <c r="H13" s="339">
        <f>18840+200+1800+570+60</f>
        <v>21470</v>
      </c>
      <c r="I13" s="671">
        <v>14444</v>
      </c>
      <c r="J13" s="339">
        <f>19700</f>
        <v>19700</v>
      </c>
      <c r="K13" s="135">
        <f t="shared" si="0"/>
        <v>91.75593851886353</v>
      </c>
    </row>
    <row r="14" spans="2:13" ht="17.100000000000001" customHeight="1">
      <c r="B14" s="14"/>
      <c r="C14" s="15"/>
      <c r="D14" s="15"/>
      <c r="E14" s="16"/>
      <c r="F14" s="15"/>
      <c r="G14" s="96"/>
      <c r="H14" s="96"/>
      <c r="I14" s="667"/>
      <c r="J14" s="96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6">
        <f>SUM(G16:G25)</f>
        <v>39800</v>
      </c>
      <c r="H15" s="96">
        <f>SUM(H16:H25)</f>
        <v>39800</v>
      </c>
      <c r="I15" s="667">
        <v>28081</v>
      </c>
      <c r="J15" s="96">
        <f>SUM(J16:J25)</f>
        <v>43400</v>
      </c>
      <c r="K15" s="177">
        <f t="shared" si="0"/>
        <v>109.04522613065326</v>
      </c>
      <c r="M15" s="81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5">
        <v>3500</v>
      </c>
      <c r="H16" s="105">
        <v>5000</v>
      </c>
      <c r="I16" s="668">
        <v>3434</v>
      </c>
      <c r="J16" s="105">
        <v>5000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105">
        <v>0</v>
      </c>
      <c r="H17" s="105">
        <v>0</v>
      </c>
      <c r="I17" s="668">
        <v>0</v>
      </c>
      <c r="J17" s="105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105">
        <v>3300</v>
      </c>
      <c r="H18" s="105">
        <v>3300</v>
      </c>
      <c r="I18" s="668">
        <v>2520</v>
      </c>
      <c r="J18" s="105">
        <v>3300</v>
      </c>
      <c r="K18" s="135">
        <f t="shared" si="0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105">
        <v>2500</v>
      </c>
      <c r="H19" s="105">
        <v>2500</v>
      </c>
      <c r="I19" s="668">
        <v>310</v>
      </c>
      <c r="J19" s="105">
        <v>800</v>
      </c>
      <c r="K19" s="135">
        <f t="shared" si="0"/>
        <v>32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0</v>
      </c>
      <c r="H20" s="105">
        <v>0</v>
      </c>
      <c r="I20" s="668">
        <v>0</v>
      </c>
      <c r="J20" s="105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668">
        <v>0</v>
      </c>
      <c r="J21" s="105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6500</v>
      </c>
      <c r="H22" s="105">
        <v>2500</v>
      </c>
      <c r="I22" s="668">
        <v>800</v>
      </c>
      <c r="J22" s="105">
        <v>1300</v>
      </c>
      <c r="K22" s="135">
        <f t="shared" si="0"/>
        <v>52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0</v>
      </c>
      <c r="H23" s="105">
        <v>0</v>
      </c>
      <c r="I23" s="668">
        <v>0</v>
      </c>
      <c r="J23" s="105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24000</v>
      </c>
      <c r="H24" s="105">
        <v>26500</v>
      </c>
      <c r="I24" s="668">
        <v>21017</v>
      </c>
      <c r="J24" s="105">
        <v>33000</v>
      </c>
      <c r="K24" s="135">
        <f t="shared" si="0"/>
        <v>124.52830188679245</v>
      </c>
      <c r="L24" s="95"/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68">
        <v>0</v>
      </c>
      <c r="J25" s="105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96"/>
      <c r="H26" s="96"/>
      <c r="I26" s="667"/>
      <c r="J26" s="96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208</v>
      </c>
      <c r="G27" s="96">
        <f t="shared" ref="G27:J27" si="1">G28</f>
        <v>1100000</v>
      </c>
      <c r="H27" s="96">
        <f t="shared" si="1"/>
        <v>1100000</v>
      </c>
      <c r="I27" s="667">
        <v>715166</v>
      </c>
      <c r="J27" s="96">
        <f t="shared" si="1"/>
        <v>1100000</v>
      </c>
      <c r="K27" s="177">
        <f t="shared" si="0"/>
        <v>100</v>
      </c>
    </row>
    <row r="28" spans="2:12" ht="17.100000000000001" customHeight="1">
      <c r="B28" s="14"/>
      <c r="C28" s="15"/>
      <c r="D28" s="15"/>
      <c r="E28" s="16">
        <v>614200</v>
      </c>
      <c r="F28" s="29" t="s">
        <v>114</v>
      </c>
      <c r="G28" s="105">
        <v>1100000</v>
      </c>
      <c r="H28" s="105">
        <v>1100000</v>
      </c>
      <c r="I28" s="668">
        <v>715166</v>
      </c>
      <c r="J28" s="714">
        <v>1100000</v>
      </c>
      <c r="K28" s="135">
        <f t="shared" si="0"/>
        <v>100</v>
      </c>
    </row>
    <row r="29" spans="2:12" ht="17.100000000000001" customHeight="1">
      <c r="B29" s="14"/>
      <c r="C29" s="15"/>
      <c r="D29" s="15"/>
      <c r="E29" s="16"/>
      <c r="F29" s="15"/>
      <c r="G29" s="105"/>
      <c r="H29" s="105"/>
      <c r="I29" s="668"/>
      <c r="J29" s="105"/>
      <c r="K29" s="135" t="str">
        <f t="shared" si="0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96">
        <f>SUM(G31:G32)</f>
        <v>1000</v>
      </c>
      <c r="H30" s="96">
        <f>SUM(H31:H32)</f>
        <v>1000</v>
      </c>
      <c r="I30" s="667">
        <v>716</v>
      </c>
      <c r="J30" s="96">
        <f>SUM(J31:J32)</f>
        <v>2000</v>
      </c>
      <c r="K30" s="135">
        <f t="shared" si="0"/>
        <v>200</v>
      </c>
    </row>
    <row r="31" spans="2:12" ht="17.100000000000001" customHeight="1">
      <c r="B31" s="14"/>
      <c r="C31" s="15"/>
      <c r="D31" s="15"/>
      <c r="E31" s="16">
        <v>821200</v>
      </c>
      <c r="F31" s="15" t="s">
        <v>91</v>
      </c>
      <c r="G31" s="105">
        <v>0</v>
      </c>
      <c r="H31" s="105">
        <v>0</v>
      </c>
      <c r="I31" s="668">
        <v>0</v>
      </c>
      <c r="J31" s="105">
        <v>0</v>
      </c>
      <c r="K31" s="135" t="str">
        <f t="shared" si="0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92</v>
      </c>
      <c r="G32" s="105">
        <v>1000</v>
      </c>
      <c r="H32" s="105">
        <v>1000</v>
      </c>
      <c r="I32" s="668">
        <v>716</v>
      </c>
      <c r="J32" s="105">
        <v>2000</v>
      </c>
      <c r="K32" s="135">
        <f t="shared" si="0"/>
        <v>200</v>
      </c>
    </row>
    <row r="33" spans="2:11" ht="17.100000000000001" customHeight="1">
      <c r="B33" s="14"/>
      <c r="C33" s="15"/>
      <c r="D33" s="15"/>
      <c r="E33" s="16"/>
      <c r="F33" s="15"/>
      <c r="G33" s="105"/>
      <c r="H33" s="105"/>
      <c r="I33" s="668"/>
      <c r="J33" s="105"/>
      <c r="K33" s="135" t="str">
        <f t="shared" si="0"/>
        <v/>
      </c>
    </row>
    <row r="34" spans="2:11" s="1" customFormat="1" ht="17.100000000000001" customHeight="1">
      <c r="B34" s="17"/>
      <c r="C34" s="12"/>
      <c r="D34" s="12"/>
      <c r="E34" s="9"/>
      <c r="F34" s="12" t="s">
        <v>93</v>
      </c>
      <c r="G34" s="20">
        <v>11</v>
      </c>
      <c r="H34" s="20">
        <v>11</v>
      </c>
      <c r="I34" s="666">
        <v>10</v>
      </c>
      <c r="J34" s="20">
        <v>10</v>
      </c>
      <c r="K34" s="135"/>
    </row>
    <row r="35" spans="2:11" s="1" customFormat="1" ht="17.100000000000001" customHeight="1">
      <c r="B35" s="17"/>
      <c r="C35" s="12"/>
      <c r="D35" s="12"/>
      <c r="E35" s="9"/>
      <c r="F35" s="12" t="s">
        <v>113</v>
      </c>
      <c r="G35" s="20">
        <f>G7+G12+G15+G27+G30</f>
        <v>1409240</v>
      </c>
      <c r="H35" s="20">
        <f>H7+H12+H15+H27+H30</f>
        <v>1409240</v>
      </c>
      <c r="I35" s="20">
        <f t="shared" ref="I35" si="2">I7+I12+I15+I27+I30</f>
        <v>928554</v>
      </c>
      <c r="J35" s="20">
        <f>J7+J12+J15+J27+J30</f>
        <v>1395200</v>
      </c>
      <c r="K35" s="177">
        <f t="shared" si="0"/>
        <v>99.003718316255572</v>
      </c>
    </row>
    <row r="36" spans="2:11" s="1" customFormat="1" ht="17.100000000000001" customHeight="1">
      <c r="B36" s="17"/>
      <c r="C36" s="12"/>
      <c r="D36" s="12"/>
      <c r="E36" s="9"/>
      <c r="F36" s="12" t="s">
        <v>94</v>
      </c>
      <c r="G36" s="20">
        <f>G35</f>
        <v>1409240</v>
      </c>
      <c r="H36" s="20">
        <f>H35</f>
        <v>1409240</v>
      </c>
      <c r="I36" s="20">
        <f t="shared" ref="I36" si="3">I35</f>
        <v>928554</v>
      </c>
      <c r="J36" s="20">
        <f>J35</f>
        <v>1395200</v>
      </c>
      <c r="K36" s="177">
        <f t="shared" si="0"/>
        <v>99.003718316255572</v>
      </c>
    </row>
    <row r="37" spans="2:11" s="1" customFormat="1" ht="17.100000000000001" customHeight="1">
      <c r="B37" s="17"/>
      <c r="C37" s="12"/>
      <c r="D37" s="12"/>
      <c r="E37" s="9"/>
      <c r="F37" s="12" t="s">
        <v>95</v>
      </c>
      <c r="G37" s="20">
        <f>G36</f>
        <v>1409240</v>
      </c>
      <c r="H37" s="20">
        <f>H36</f>
        <v>1409240</v>
      </c>
      <c r="I37" s="20">
        <f t="shared" ref="I37" si="4">I36</f>
        <v>928554</v>
      </c>
      <c r="J37" s="20">
        <f>J36</f>
        <v>1395200</v>
      </c>
      <c r="K37" s="177">
        <f t="shared" si="0"/>
        <v>99.003718316255572</v>
      </c>
    </row>
    <row r="38" spans="2:11" ht="17.100000000000001" customHeight="1" thickBot="1">
      <c r="B38" s="21"/>
      <c r="C38" s="22"/>
      <c r="D38" s="22"/>
      <c r="E38" s="23"/>
      <c r="F38" s="22"/>
      <c r="G38" s="41"/>
      <c r="H38" s="41"/>
      <c r="I38" s="41"/>
      <c r="J38" s="41"/>
      <c r="K38" s="138"/>
    </row>
    <row r="39" spans="2:11" ht="17.100000000000001" customHeight="1">
      <c r="G39" s="84"/>
      <c r="H39" s="84"/>
      <c r="I39" s="84"/>
      <c r="J39" s="84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B2:M59"/>
  <sheetViews>
    <sheetView zoomScaleNormal="100" workbookViewId="0">
      <selection activeCell="P23" sqref="P2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151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150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101960</v>
      </c>
      <c r="H7" s="337">
        <f>SUM(H8:H10)</f>
        <v>101960</v>
      </c>
      <c r="I7" s="677">
        <v>75080</v>
      </c>
      <c r="J7" s="337">
        <f>SUM(J8:J10)</f>
        <v>103790</v>
      </c>
      <c r="K7" s="134">
        <f>IF(H7=0,"",J7/H7*100)</f>
        <v>101.7948214986269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75500+500+3900+2390</f>
        <v>82290</v>
      </c>
      <c r="H8" s="336">
        <f>75500+500+3900+2390</f>
        <v>82290</v>
      </c>
      <c r="I8" s="676">
        <v>61309</v>
      </c>
      <c r="J8" s="336">
        <f>82500+410</f>
        <v>82910</v>
      </c>
      <c r="K8" s="135">
        <f>IF(H8=0,"",J8/H8*100)</f>
        <v>100.75343298092115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17700+500+1470</f>
        <v>19670</v>
      </c>
      <c r="H9" s="336">
        <f>17700+500+1470</f>
        <v>19670</v>
      </c>
      <c r="I9" s="676">
        <v>13771</v>
      </c>
      <c r="J9" s="336">
        <f>18900+4*270+900</f>
        <v>20880</v>
      </c>
      <c r="K9" s="135">
        <f t="shared" ref="K9:K34" si="0">IF(H9=0,"",J9/H9*100)</f>
        <v>106.15149974580579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7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6"/>
      <c r="H11" s="336"/>
      <c r="I11" s="676"/>
      <c r="J11" s="336"/>
      <c r="K11" s="135" t="str">
        <f t="shared" si="0"/>
        <v/>
      </c>
    </row>
    <row r="12" spans="2:13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8800</v>
      </c>
      <c r="H12" s="337">
        <f>H13</f>
        <v>8800</v>
      </c>
      <c r="I12" s="677">
        <v>6671</v>
      </c>
      <c r="J12" s="337">
        <f>J13</f>
        <v>9240</v>
      </c>
      <c r="K12" s="177">
        <f t="shared" si="0"/>
        <v>105</v>
      </c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336">
        <f>8040+100+400+260</f>
        <v>8800</v>
      </c>
      <c r="H13" s="336">
        <f>8040+100+400+260</f>
        <v>8800</v>
      </c>
      <c r="I13" s="676">
        <v>6671</v>
      </c>
      <c r="J13" s="336">
        <f>9100+140</f>
        <v>9240</v>
      </c>
      <c r="K13" s="135">
        <f t="shared" si="0"/>
        <v>105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672"/>
      <c r="J14" s="39"/>
      <c r="K14" s="135" t="str">
        <f t="shared" si="0"/>
        <v/>
      </c>
    </row>
    <row r="15" spans="2:13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18800</v>
      </c>
      <c r="H15" s="43">
        <f>SUM(H16:H25)</f>
        <v>18800</v>
      </c>
      <c r="I15" s="673">
        <v>6312</v>
      </c>
      <c r="J15" s="43">
        <f>SUM(J16:J25)</f>
        <v>15600</v>
      </c>
      <c r="K15" s="177">
        <f t="shared" si="0"/>
        <v>82.978723404255319</v>
      </c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72">
        <v>400</v>
      </c>
      <c r="H16" s="72">
        <v>400</v>
      </c>
      <c r="I16" s="674">
        <v>0</v>
      </c>
      <c r="J16" s="72">
        <v>300</v>
      </c>
      <c r="K16" s="135">
        <f t="shared" si="0"/>
        <v>75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2">
        <v>5500</v>
      </c>
      <c r="H17" s="72">
        <v>5500</v>
      </c>
      <c r="I17" s="674">
        <v>822</v>
      </c>
      <c r="J17" s="72">
        <v>5500</v>
      </c>
      <c r="K17" s="135">
        <f t="shared" si="0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206</v>
      </c>
      <c r="G18" s="72">
        <v>3600</v>
      </c>
      <c r="H18" s="72">
        <v>3600</v>
      </c>
      <c r="I18" s="674">
        <v>2009</v>
      </c>
      <c r="J18" s="72">
        <v>3000</v>
      </c>
      <c r="K18" s="135">
        <f t="shared" si="0"/>
        <v>83.333333333333343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2">
        <v>1500</v>
      </c>
      <c r="H19" s="72">
        <v>1500</v>
      </c>
      <c r="I19" s="674">
        <v>539</v>
      </c>
      <c r="J19" s="72">
        <v>1000</v>
      </c>
      <c r="K19" s="135">
        <f t="shared" si="0"/>
        <v>66.666666666666657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2">
        <v>0</v>
      </c>
      <c r="H20" s="72">
        <v>0</v>
      </c>
      <c r="I20" s="674">
        <v>0</v>
      </c>
      <c r="J20" s="72">
        <v>0</v>
      </c>
      <c r="K20" s="135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207</v>
      </c>
      <c r="G21" s="72">
        <v>0</v>
      </c>
      <c r="H21" s="72">
        <v>0</v>
      </c>
      <c r="I21" s="674">
        <v>0</v>
      </c>
      <c r="J21" s="72">
        <v>0</v>
      </c>
      <c r="K21" s="135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2">
        <v>500</v>
      </c>
      <c r="H22" s="72">
        <v>500</v>
      </c>
      <c r="I22" s="674">
        <v>236</v>
      </c>
      <c r="J22" s="72">
        <v>500</v>
      </c>
      <c r="K22" s="135">
        <f t="shared" si="0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0</v>
      </c>
      <c r="I23" s="674">
        <v>0</v>
      </c>
      <c r="J23" s="72">
        <v>0</v>
      </c>
      <c r="K23" s="135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2">
        <v>7300</v>
      </c>
      <c r="H24" s="72">
        <v>7300</v>
      </c>
      <c r="I24" s="674">
        <v>2706</v>
      </c>
      <c r="J24" s="72">
        <v>5300</v>
      </c>
      <c r="K24" s="135">
        <f t="shared" si="0"/>
        <v>72.602739726027394</v>
      </c>
    </row>
    <row r="25" spans="2:11" ht="17.100000000000001" customHeight="1">
      <c r="B25" s="14"/>
      <c r="C25" s="15"/>
      <c r="D25" s="15"/>
      <c r="E25" s="16">
        <v>613900</v>
      </c>
      <c r="F25" s="311" t="s">
        <v>587</v>
      </c>
      <c r="G25" s="72">
        <v>0</v>
      </c>
      <c r="H25" s="72">
        <v>0</v>
      </c>
      <c r="I25" s="674">
        <v>0</v>
      </c>
      <c r="J25" s="72">
        <v>0</v>
      </c>
      <c r="K25" s="135" t="str">
        <f t="shared" si="0"/>
        <v/>
      </c>
    </row>
    <row r="26" spans="2:11" ht="17.100000000000001" customHeight="1">
      <c r="B26" s="17"/>
      <c r="C26" s="12"/>
      <c r="D26" s="12"/>
      <c r="E26" s="9"/>
      <c r="F26" s="12"/>
      <c r="G26" s="96"/>
      <c r="H26" s="96"/>
      <c r="I26" s="675"/>
      <c r="J26" s="96"/>
      <c r="K26" s="135" t="str">
        <f t="shared" si="0"/>
        <v/>
      </c>
    </row>
    <row r="27" spans="2:1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0</v>
      </c>
      <c r="H27" s="96">
        <f>SUM(H28:H29)</f>
        <v>0</v>
      </c>
      <c r="I27" s="675">
        <v>0</v>
      </c>
      <c r="J27" s="96">
        <f>SUM(J28:J29)</f>
        <v>0</v>
      </c>
      <c r="K27" s="177" t="str">
        <f t="shared" si="0"/>
        <v/>
      </c>
    </row>
    <row r="28" spans="2:11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674">
        <v>0</v>
      </c>
      <c r="J28" s="72">
        <v>0</v>
      </c>
      <c r="K28" s="135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2">
        <v>0</v>
      </c>
      <c r="H29" s="72">
        <v>0</v>
      </c>
      <c r="I29" s="674">
        <v>0</v>
      </c>
      <c r="J29" s="72">
        <v>0</v>
      </c>
      <c r="K29" s="135" t="str">
        <f t="shared" si="0"/>
        <v/>
      </c>
    </row>
    <row r="30" spans="2:11" ht="17.100000000000001" customHeight="1">
      <c r="B30" s="14"/>
      <c r="C30" s="15"/>
      <c r="D30" s="15"/>
      <c r="E30" s="16"/>
      <c r="F30" s="15"/>
      <c r="G30" s="72"/>
      <c r="H30" s="72"/>
      <c r="I30" s="674"/>
      <c r="J30" s="72"/>
      <c r="K30" s="135" t="str">
        <f t="shared" si="0"/>
        <v/>
      </c>
    </row>
    <row r="31" spans="2:11" ht="17.100000000000001" customHeight="1">
      <c r="B31" s="17"/>
      <c r="C31" s="12"/>
      <c r="D31" s="12"/>
      <c r="E31" s="9"/>
      <c r="F31" s="12" t="s">
        <v>93</v>
      </c>
      <c r="G31" s="96">
        <v>4</v>
      </c>
      <c r="H31" s="96">
        <v>4</v>
      </c>
      <c r="I31" s="675">
        <v>4</v>
      </c>
      <c r="J31" s="96">
        <v>4</v>
      </c>
      <c r="K31" s="135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129560</v>
      </c>
      <c r="H32" s="20">
        <f>H7+H12+H15+H27</f>
        <v>129560</v>
      </c>
      <c r="I32" s="20">
        <f t="shared" ref="I32" si="1">I7+I12+I15+I27</f>
        <v>88063</v>
      </c>
      <c r="J32" s="20">
        <f>J7+J12+J15+J27</f>
        <v>128630</v>
      </c>
      <c r="K32" s="177">
        <f t="shared" si="0"/>
        <v>99.282185859833277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129560</v>
      </c>
      <c r="H33" s="20">
        <f>H32</f>
        <v>129560</v>
      </c>
      <c r="I33" s="20">
        <f t="shared" ref="I33" si="2">I32</f>
        <v>88063</v>
      </c>
      <c r="J33" s="20">
        <f>J32</f>
        <v>128630</v>
      </c>
      <c r="K33" s="177">
        <f>IF(H33=0,"",J33/H33*100)</f>
        <v>99.282185859833277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129560</v>
      </c>
      <c r="H34" s="20">
        <f>H33</f>
        <v>129560</v>
      </c>
      <c r="I34" s="20">
        <f t="shared" ref="I34" si="3">I33</f>
        <v>88063</v>
      </c>
      <c r="J34" s="20">
        <f>J33</f>
        <v>128630</v>
      </c>
      <c r="K34" s="177">
        <f t="shared" si="0"/>
        <v>99.282185859833277</v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B2:M60"/>
  <sheetViews>
    <sheetView topLeftCell="A13" zoomScaleNormal="100" workbookViewId="0">
      <selection activeCell="J10" sqref="J1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152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153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221790</v>
      </c>
      <c r="H7" s="337">
        <f>SUM(H8:H11)</f>
        <v>221790</v>
      </c>
      <c r="I7" s="685">
        <v>168060</v>
      </c>
      <c r="J7" s="337">
        <f>SUM(J8:J11)</f>
        <v>230540</v>
      </c>
      <c r="K7" s="134">
        <f>IF(H7=0,"",J7/H7*100)</f>
        <v>103.94517336218946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161970+1000+10900+4860+330</f>
        <v>179060</v>
      </c>
      <c r="H8" s="336">
        <f>161970+1000+10900+4860+330</f>
        <v>179060</v>
      </c>
      <c r="I8" s="684">
        <v>135998</v>
      </c>
      <c r="J8" s="336">
        <f>183700</f>
        <v>183700</v>
      </c>
      <c r="K8" s="135">
        <f>IF(H8=0,"",J8/H8*100)</f>
        <v>102.59131017536021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38130+1000+3600</f>
        <v>42730</v>
      </c>
      <c r="H9" s="336">
        <f>38130+1000+3600</f>
        <v>42730</v>
      </c>
      <c r="I9" s="684">
        <v>32062</v>
      </c>
      <c r="J9" s="336">
        <f>43600+12*270</f>
        <v>46840</v>
      </c>
      <c r="K9" s="135">
        <f t="shared" ref="K9:K38" si="0">IF(H9=0,"",J9/H9*100)</f>
        <v>109.61853498712848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84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26"/>
      <c r="G11" s="336"/>
      <c r="H11" s="336"/>
      <c r="I11" s="684"/>
      <c r="J11" s="336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19350</v>
      </c>
      <c r="H12" s="337">
        <f>H13</f>
        <v>19350</v>
      </c>
      <c r="I12" s="685">
        <v>14537</v>
      </c>
      <c r="J12" s="337">
        <f>J13</f>
        <v>19800</v>
      </c>
      <c r="K12" s="177">
        <f t="shared" si="0"/>
        <v>102.32558139534885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17380+200+1200+530+40</f>
        <v>19350</v>
      </c>
      <c r="H13" s="336">
        <f>17380+200+1200+530+40</f>
        <v>19350</v>
      </c>
      <c r="I13" s="684">
        <v>14537</v>
      </c>
      <c r="J13" s="336">
        <f>19800</f>
        <v>19800</v>
      </c>
      <c r="K13" s="135">
        <f t="shared" si="0"/>
        <v>102.32558139534885</v>
      </c>
    </row>
    <row r="14" spans="2:13" ht="17.100000000000001" customHeight="1">
      <c r="B14" s="14"/>
      <c r="C14" s="15"/>
      <c r="D14" s="15"/>
      <c r="E14" s="16"/>
      <c r="F14" s="15"/>
      <c r="G14" s="43"/>
      <c r="H14" s="43"/>
      <c r="I14" s="680"/>
      <c r="J14" s="43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54100</v>
      </c>
      <c r="H15" s="43">
        <f>SUM(H16:H25)</f>
        <v>54100</v>
      </c>
      <c r="I15" s="680">
        <v>29471</v>
      </c>
      <c r="J15" s="43">
        <f>SUM(J16:J25)</f>
        <v>46000</v>
      </c>
      <c r="K15" s="177">
        <f t="shared" si="0"/>
        <v>85.027726432532347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1500</v>
      </c>
      <c r="H16" s="39">
        <v>1500</v>
      </c>
      <c r="I16" s="679">
        <v>1047</v>
      </c>
      <c r="J16" s="39">
        <v>1500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8500</v>
      </c>
      <c r="H17" s="39">
        <v>8500</v>
      </c>
      <c r="I17" s="679">
        <v>6102</v>
      </c>
      <c r="J17" s="39">
        <v>8500</v>
      </c>
      <c r="K17" s="135">
        <f t="shared" si="0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72">
        <v>3500</v>
      </c>
      <c r="H18" s="72">
        <v>3500</v>
      </c>
      <c r="I18" s="681">
        <v>3334</v>
      </c>
      <c r="J18" s="72">
        <v>4200</v>
      </c>
      <c r="K18" s="135">
        <f t="shared" si="0"/>
        <v>120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72">
        <v>1200</v>
      </c>
      <c r="H19" s="72">
        <v>1200</v>
      </c>
      <c r="I19" s="681">
        <v>504</v>
      </c>
      <c r="J19" s="72">
        <v>1000</v>
      </c>
      <c r="K19" s="135">
        <f t="shared" si="0"/>
        <v>83.333333333333343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2">
        <v>1000</v>
      </c>
      <c r="H20" s="72">
        <v>1000</v>
      </c>
      <c r="I20" s="681">
        <v>591</v>
      </c>
      <c r="J20" s="72">
        <v>1000</v>
      </c>
      <c r="K20" s="135">
        <f t="shared" si="0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72">
        <v>0</v>
      </c>
      <c r="H21" s="72">
        <v>0</v>
      </c>
      <c r="I21" s="681">
        <v>0</v>
      </c>
      <c r="J21" s="72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3000</v>
      </c>
      <c r="H22" s="72">
        <v>3000</v>
      </c>
      <c r="I22" s="681">
        <v>1916</v>
      </c>
      <c r="J22" s="72">
        <v>3000</v>
      </c>
      <c r="K22" s="135">
        <f t="shared" si="0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400</v>
      </c>
      <c r="H23" s="72">
        <v>400</v>
      </c>
      <c r="I23" s="681">
        <v>0</v>
      </c>
      <c r="J23" s="72">
        <v>400</v>
      </c>
      <c r="K23" s="135">
        <f t="shared" si="0"/>
        <v>100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35000</v>
      </c>
      <c r="H24" s="72">
        <v>35000</v>
      </c>
      <c r="I24" s="681">
        <v>15977</v>
      </c>
      <c r="J24" s="72">
        <v>26400</v>
      </c>
      <c r="K24" s="135">
        <f t="shared" si="0"/>
        <v>75.428571428571431</v>
      </c>
      <c r="L24" s="71"/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72">
        <v>0</v>
      </c>
      <c r="H25" s="72">
        <v>0</v>
      </c>
      <c r="I25" s="681">
        <v>0</v>
      </c>
      <c r="J25" s="72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96"/>
      <c r="H26" s="96"/>
      <c r="I26" s="682"/>
      <c r="J26" s="96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208</v>
      </c>
      <c r="G27" s="96">
        <f t="shared" ref="G27:H27" si="1">G28+G29</f>
        <v>180000</v>
      </c>
      <c r="H27" s="96">
        <f t="shared" si="1"/>
        <v>30000</v>
      </c>
      <c r="I27" s="682">
        <v>3861</v>
      </c>
      <c r="J27" s="96">
        <f t="shared" ref="J27" si="2">J28+J29</f>
        <v>30000</v>
      </c>
      <c r="K27" s="177">
        <f t="shared" si="0"/>
        <v>100</v>
      </c>
    </row>
    <row r="28" spans="2:12" ht="17.100000000000001" customHeight="1">
      <c r="B28" s="14"/>
      <c r="C28" s="15"/>
      <c r="D28" s="15"/>
      <c r="E28" s="16">
        <v>614200</v>
      </c>
      <c r="F28" s="26" t="s">
        <v>115</v>
      </c>
      <c r="G28" s="72">
        <v>30000</v>
      </c>
      <c r="H28" s="72">
        <v>30000</v>
      </c>
      <c r="I28" s="681">
        <v>3861</v>
      </c>
      <c r="J28" s="72">
        <v>30000</v>
      </c>
      <c r="K28" s="135">
        <f t="shared" si="0"/>
        <v>100</v>
      </c>
    </row>
    <row r="29" spans="2:12" ht="27.75" customHeight="1">
      <c r="B29" s="14"/>
      <c r="C29" s="15"/>
      <c r="D29" s="15"/>
      <c r="E29" s="16">
        <v>614300</v>
      </c>
      <c r="F29" s="398" t="s">
        <v>671</v>
      </c>
      <c r="G29" s="72">
        <v>150000</v>
      </c>
      <c r="H29" s="72">
        <v>0</v>
      </c>
      <c r="I29" s="681">
        <v>0</v>
      </c>
      <c r="J29" s="72">
        <v>0</v>
      </c>
      <c r="K29" s="135" t="str">
        <f t="shared" si="0"/>
        <v/>
      </c>
    </row>
    <row r="30" spans="2:12" ht="17.100000000000001" customHeight="1">
      <c r="B30" s="14"/>
      <c r="C30" s="15"/>
      <c r="D30" s="15"/>
      <c r="E30" s="9"/>
      <c r="F30" s="12"/>
      <c r="G30" s="72"/>
      <c r="H30" s="72"/>
      <c r="I30" s="681"/>
      <c r="J30" s="72"/>
      <c r="K30" s="135" t="str">
        <f t="shared" si="0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90</v>
      </c>
      <c r="G31" s="96">
        <f>SUM(G32:G34)</f>
        <v>2000</v>
      </c>
      <c r="H31" s="96">
        <f>SUM(H32:H34)</f>
        <v>2000</v>
      </c>
      <c r="I31" s="682">
        <v>0</v>
      </c>
      <c r="J31" s="96">
        <f>SUM(J32:J34)</f>
        <v>1500</v>
      </c>
      <c r="K31" s="177">
        <f t="shared" si="0"/>
        <v>75</v>
      </c>
    </row>
    <row r="32" spans="2:12" ht="17.100000000000001" customHeight="1">
      <c r="B32" s="14"/>
      <c r="C32" s="15"/>
      <c r="D32" s="15"/>
      <c r="E32" s="16">
        <v>821200</v>
      </c>
      <c r="F32" s="15" t="s">
        <v>91</v>
      </c>
      <c r="G32" s="105">
        <v>0</v>
      </c>
      <c r="H32" s="105">
        <v>0</v>
      </c>
      <c r="I32" s="683">
        <v>0</v>
      </c>
      <c r="J32" s="105">
        <v>0</v>
      </c>
      <c r="K32" s="135" t="str">
        <f t="shared" si="0"/>
        <v/>
      </c>
    </row>
    <row r="33" spans="2:11" s="1" customFormat="1" ht="17.100000000000001" customHeight="1">
      <c r="B33" s="14"/>
      <c r="C33" s="15"/>
      <c r="D33" s="15"/>
      <c r="E33" s="16">
        <v>821300</v>
      </c>
      <c r="F33" s="15" t="s">
        <v>92</v>
      </c>
      <c r="G33" s="72">
        <v>2000</v>
      </c>
      <c r="H33" s="72">
        <v>2000</v>
      </c>
      <c r="I33" s="681">
        <v>0</v>
      </c>
      <c r="J33" s="72">
        <v>1500</v>
      </c>
      <c r="K33" s="135">
        <f t="shared" si="0"/>
        <v>75</v>
      </c>
    </row>
    <row r="34" spans="2:11" ht="17.100000000000001" customHeight="1">
      <c r="B34" s="14"/>
      <c r="C34" s="15"/>
      <c r="D34" s="15"/>
      <c r="E34" s="16"/>
      <c r="F34" s="26"/>
      <c r="G34" s="72"/>
      <c r="H34" s="72"/>
      <c r="I34" s="681"/>
      <c r="J34" s="72"/>
      <c r="K34" s="135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20">
        <v>12</v>
      </c>
      <c r="H35" s="20">
        <v>12</v>
      </c>
      <c r="I35" s="678">
        <v>12</v>
      </c>
      <c r="J35" s="20">
        <v>12</v>
      </c>
      <c r="K35" s="135"/>
    </row>
    <row r="36" spans="2:11" ht="17.100000000000001" customHeight="1">
      <c r="B36" s="17"/>
      <c r="C36" s="12"/>
      <c r="D36" s="12"/>
      <c r="E36" s="9"/>
      <c r="F36" s="12" t="s">
        <v>113</v>
      </c>
      <c r="G36" s="20">
        <f>G7+G12+G15+G27+G31</f>
        <v>477240</v>
      </c>
      <c r="H36" s="20">
        <f>H7+H12+H15+H27+H31</f>
        <v>327240</v>
      </c>
      <c r="I36" s="20">
        <f t="shared" ref="I36" si="3">I7+I12+I15+I27+I31</f>
        <v>215929</v>
      </c>
      <c r="J36" s="20">
        <f>J7+J12+J15+J27+J31</f>
        <v>327840</v>
      </c>
      <c r="K36" s="177">
        <f t="shared" si="0"/>
        <v>100.18335166850019</v>
      </c>
    </row>
    <row r="37" spans="2:11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477240</v>
      </c>
      <c r="H37" s="20">
        <f>H36</f>
        <v>327240</v>
      </c>
      <c r="I37" s="20">
        <f t="shared" ref="I37" si="4">I36</f>
        <v>215929</v>
      </c>
      <c r="J37" s="20">
        <f>J36</f>
        <v>327840</v>
      </c>
      <c r="K37" s="177">
        <f t="shared" si="0"/>
        <v>100.18335166850019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477240</v>
      </c>
      <c r="H38" s="20">
        <f>H37</f>
        <v>327240</v>
      </c>
      <c r="I38" s="20">
        <f t="shared" ref="I38" si="5">I37</f>
        <v>215929</v>
      </c>
      <c r="J38" s="20">
        <f>J37</f>
        <v>327840</v>
      </c>
      <c r="K38" s="177">
        <f t="shared" si="0"/>
        <v>100.18335166850019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153"/>
      <c r="H39" s="153"/>
      <c r="I39" s="153"/>
      <c r="J39" s="153"/>
      <c r="K39" s="152"/>
    </row>
    <row r="40" spans="2:11" s="1" customFormat="1" ht="17.100000000000001" customHeight="1">
      <c r="B40" s="13"/>
      <c r="C40" s="13"/>
      <c r="D40" s="13"/>
      <c r="E40" s="24"/>
      <c r="F40" s="13"/>
      <c r="G40" s="78"/>
      <c r="H40" s="78"/>
      <c r="I40" s="78"/>
      <c r="J40" s="78"/>
      <c r="K40" s="130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>
      <c r="B43" s="71"/>
    </row>
    <row r="44" spans="2:11" ht="17.100000000000001" customHeight="1">
      <c r="B44" s="71"/>
    </row>
    <row r="45" spans="2:11" ht="17.100000000000001" customHeight="1">
      <c r="B45" s="71"/>
    </row>
    <row r="46" spans="2:11" ht="17.100000000000001" customHeight="1">
      <c r="B46" s="71"/>
    </row>
    <row r="47" spans="2:11" ht="17.100000000000001" customHeight="1">
      <c r="B47" s="71"/>
    </row>
    <row r="48" spans="2:11" ht="17.100000000000001" customHeight="1">
      <c r="B48" s="71"/>
    </row>
    <row r="49" spans="2:2" ht="17.100000000000001" customHeight="1">
      <c r="B49" s="71"/>
    </row>
    <row r="50" spans="2:2" ht="17.100000000000001" customHeight="1">
      <c r="B50" s="71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  <row r="60" spans="2:2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B2:M59"/>
  <sheetViews>
    <sheetView zoomScaleNormal="100" workbookViewId="0">
      <selection activeCell="J10" sqref="J1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154</v>
      </c>
      <c r="C2" s="784"/>
      <c r="D2" s="784"/>
      <c r="E2" s="784"/>
      <c r="F2" s="784"/>
      <c r="G2" s="784"/>
      <c r="H2" s="392"/>
      <c r="I2" s="392"/>
      <c r="J2" s="250"/>
      <c r="K2" s="251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155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506240</v>
      </c>
      <c r="H7" s="337">
        <f>SUM(H8:H10)</f>
        <v>506240</v>
      </c>
      <c r="I7" s="692">
        <v>376813</v>
      </c>
      <c r="J7" s="337">
        <f>SUM(J8:J10)</f>
        <v>507120</v>
      </c>
      <c r="K7" s="134">
        <f>IF(H7=0,"",J7/H7*100)</f>
        <v>100.17383059418459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421870+2500+7200</f>
        <v>431570</v>
      </c>
      <c r="H8" s="339">
        <f>421870+2500+7200</f>
        <v>431570</v>
      </c>
      <c r="I8" s="693">
        <v>321133</v>
      </c>
      <c r="J8" s="339">
        <f>430200</f>
        <v>430200</v>
      </c>
      <c r="K8" s="135">
        <f>IF(H8=0,"",J8/H8*100)</f>
        <v>99.682554394420379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69230+2500+2*1470</f>
        <v>74670</v>
      </c>
      <c r="H9" s="339">
        <f>69230+2500+2*1470</f>
        <v>74670</v>
      </c>
      <c r="I9" s="693">
        <v>55680</v>
      </c>
      <c r="J9" s="339">
        <f>72600+16*270</f>
        <v>76920</v>
      </c>
      <c r="K9" s="135">
        <f t="shared" ref="K9:K34" si="0">IF(H9=0,"",J9/H9*100)</f>
        <v>103.0132583366814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691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692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46050</v>
      </c>
      <c r="H12" s="337">
        <f>H13</f>
        <v>46050</v>
      </c>
      <c r="I12" s="692">
        <v>34547</v>
      </c>
      <c r="J12" s="337">
        <f>J13</f>
        <v>46250</v>
      </c>
      <c r="K12" s="177">
        <f t="shared" si="0"/>
        <v>100.43431053203039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44670+600+780</f>
        <v>46050</v>
      </c>
      <c r="H13" s="339">
        <f>44670+600+780</f>
        <v>46050</v>
      </c>
      <c r="I13" s="693">
        <v>34547</v>
      </c>
      <c r="J13" s="339">
        <f>46250</f>
        <v>46250</v>
      </c>
      <c r="K13" s="135">
        <f t="shared" si="0"/>
        <v>100.43431053203039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686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122000</v>
      </c>
      <c r="H15" s="43">
        <f>SUM(H16:H25)</f>
        <v>122000</v>
      </c>
      <c r="I15" s="688">
        <v>66673</v>
      </c>
      <c r="J15" s="43">
        <f>SUM(J16:J25)</f>
        <v>108100</v>
      </c>
      <c r="K15" s="177">
        <f t="shared" si="0"/>
        <v>88.606557377049171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4000</v>
      </c>
      <c r="I16" s="687">
        <v>2874</v>
      </c>
      <c r="J16" s="40">
        <v>4000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31000</v>
      </c>
      <c r="H17" s="40">
        <v>31000</v>
      </c>
      <c r="I17" s="687">
        <v>10261</v>
      </c>
      <c r="J17" s="40">
        <v>24000</v>
      </c>
      <c r="K17" s="135">
        <f t="shared" si="0"/>
        <v>77.41935483870968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40">
        <v>17000</v>
      </c>
      <c r="H18" s="40">
        <v>17000</v>
      </c>
      <c r="I18" s="687">
        <v>8724</v>
      </c>
      <c r="J18" s="40">
        <v>13000</v>
      </c>
      <c r="K18" s="135">
        <f t="shared" si="0"/>
        <v>76.470588235294116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40">
        <v>7000</v>
      </c>
      <c r="H19" s="40">
        <v>7000</v>
      </c>
      <c r="I19" s="687">
        <v>4188</v>
      </c>
      <c r="J19" s="40">
        <v>6000</v>
      </c>
      <c r="K19" s="135">
        <f t="shared" si="0"/>
        <v>85.714285714285708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5000</v>
      </c>
      <c r="H20" s="105">
        <v>5000</v>
      </c>
      <c r="I20" s="690">
        <v>2786</v>
      </c>
      <c r="J20" s="105">
        <v>4500</v>
      </c>
      <c r="K20" s="135">
        <f t="shared" si="0"/>
        <v>90</v>
      </c>
      <c r="L20" s="71"/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687">
        <v>0</v>
      </c>
      <c r="J21" s="40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7000</v>
      </c>
      <c r="H22" s="105">
        <v>7000</v>
      </c>
      <c r="I22" s="690">
        <v>5276</v>
      </c>
      <c r="J22" s="105">
        <v>8000</v>
      </c>
      <c r="K22" s="135">
        <f t="shared" si="0"/>
        <v>114.28571428571428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1000</v>
      </c>
      <c r="H23" s="105">
        <v>1000</v>
      </c>
      <c r="I23" s="690">
        <v>0</v>
      </c>
      <c r="J23" s="105">
        <v>1600</v>
      </c>
      <c r="K23" s="135">
        <f t="shared" si="0"/>
        <v>160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50000</v>
      </c>
      <c r="H24" s="105">
        <v>50000</v>
      </c>
      <c r="I24" s="690">
        <v>32564</v>
      </c>
      <c r="J24" s="105">
        <v>47000</v>
      </c>
      <c r="K24" s="135">
        <f t="shared" si="0"/>
        <v>94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690">
        <v>0</v>
      </c>
      <c r="J25" s="105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5"/>
      <c r="H26" s="105"/>
      <c r="I26" s="690"/>
      <c r="J26" s="105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35000</v>
      </c>
      <c r="H27" s="96">
        <f>SUM(H28:H29)</f>
        <v>35000</v>
      </c>
      <c r="I27" s="689">
        <v>1580</v>
      </c>
      <c r="J27" s="96">
        <f>SUM(J28:J29)</f>
        <v>36080</v>
      </c>
      <c r="K27" s="416">
        <f t="shared" si="0"/>
        <v>103.08571428571429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5">
        <v>30000</v>
      </c>
      <c r="H28" s="105">
        <v>30000</v>
      </c>
      <c r="I28" s="690">
        <v>0</v>
      </c>
      <c r="J28" s="105">
        <v>33700</v>
      </c>
      <c r="K28" s="135">
        <f t="shared" si="0"/>
        <v>112.33333333333333</v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5">
        <v>5000</v>
      </c>
      <c r="H29" s="105">
        <v>5000</v>
      </c>
      <c r="I29" s="690">
        <v>1580</v>
      </c>
      <c r="J29" s="105">
        <v>2380</v>
      </c>
      <c r="K29" s="135">
        <f t="shared" si="0"/>
        <v>47.599999999999994</v>
      </c>
    </row>
    <row r="30" spans="2:12" ht="17.100000000000001" customHeight="1">
      <c r="B30" s="14"/>
      <c r="C30" s="15"/>
      <c r="D30" s="15"/>
      <c r="E30" s="16"/>
      <c r="F30" s="15"/>
      <c r="G30" s="40"/>
      <c r="H30" s="40"/>
      <c r="I30" s="687"/>
      <c r="J30" s="4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0">
        <v>16</v>
      </c>
      <c r="H31" s="20">
        <v>16</v>
      </c>
      <c r="I31" s="686">
        <v>16</v>
      </c>
      <c r="J31" s="20">
        <v>16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709290</v>
      </c>
      <c r="H32" s="20">
        <f>H7+H12+H15+H27</f>
        <v>709290</v>
      </c>
      <c r="I32" s="20">
        <f t="shared" ref="I32" si="1">I7+I12+I15+I27</f>
        <v>479613</v>
      </c>
      <c r="J32" s="20">
        <f>J7+J12+J15+J27</f>
        <v>697550</v>
      </c>
      <c r="K32" s="177">
        <f t="shared" si="0"/>
        <v>98.344823696936373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709290</v>
      </c>
      <c r="H33" s="20">
        <f>H32</f>
        <v>709290</v>
      </c>
      <c r="I33" s="20">
        <f t="shared" ref="I33" si="2">I32</f>
        <v>479613</v>
      </c>
      <c r="J33" s="20">
        <f>J32</f>
        <v>697550</v>
      </c>
      <c r="K33" s="177">
        <f>IF(H33=0,"",J33/H33*100)</f>
        <v>98.344823696936373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709290</v>
      </c>
      <c r="H34" s="20">
        <f>H33</f>
        <v>709290</v>
      </c>
      <c r="I34" s="20">
        <f t="shared" ref="I34" si="3">I33</f>
        <v>479613</v>
      </c>
      <c r="J34" s="20">
        <f>J33</f>
        <v>697550</v>
      </c>
      <c r="K34" s="177">
        <f t="shared" si="0"/>
        <v>98.344823696936373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/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>
      <c r="B40" s="71"/>
    </row>
    <row r="41" spans="2:11" ht="17.100000000000001" customHeight="1">
      <c r="B41" s="71"/>
    </row>
    <row r="42" spans="2:11" ht="17.100000000000001" customHeight="1">
      <c r="B42" s="71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B2:M59"/>
  <sheetViews>
    <sheetView zoomScaleNormal="100" workbookViewId="0">
      <selection activeCell="J24" sqref="J2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s="100" customFormat="1" ht="15" customHeight="1">
      <c r="B2" s="784" t="s">
        <v>229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156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67890</v>
      </c>
      <c r="H7" s="337">
        <f>SUM(H8:H10)</f>
        <v>67890</v>
      </c>
      <c r="I7" s="701">
        <v>49507</v>
      </c>
      <c r="J7" s="337">
        <f>SUM(J8:J10)</f>
        <v>67940</v>
      </c>
      <c r="K7" s="134">
        <f>IF(H7=0,"",J7/H7*100)</f>
        <v>100.07364854912358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56140+500+1690</f>
        <v>58330</v>
      </c>
      <c r="H8" s="336">
        <f>56140+500+1690</f>
        <v>58330</v>
      </c>
      <c r="I8" s="700">
        <v>42767</v>
      </c>
      <c r="J8" s="336">
        <f>58030</f>
        <v>58030</v>
      </c>
      <c r="K8" s="135">
        <f>IF(H8=0,"",J8/H8*100)</f>
        <v>99.485684896279793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6">
        <f>9060+500</f>
        <v>9560</v>
      </c>
      <c r="H9" s="336">
        <f>9060+500</f>
        <v>9560</v>
      </c>
      <c r="I9" s="700">
        <v>6740</v>
      </c>
      <c r="J9" s="336">
        <f>9100+3*270</f>
        <v>9910</v>
      </c>
      <c r="K9" s="135">
        <f t="shared" ref="K9:K34" si="0">IF(H9=0,"",J9/H9*100)</f>
        <v>103.66108786610879</v>
      </c>
    </row>
    <row r="10" spans="2:13" ht="17.100000000000001" customHeight="1">
      <c r="B10" s="14"/>
      <c r="C10" s="15"/>
      <c r="D10" s="15"/>
      <c r="E10" s="16">
        <v>611200</v>
      </c>
      <c r="F10" s="26" t="s">
        <v>676</v>
      </c>
      <c r="G10" s="336">
        <v>0</v>
      </c>
      <c r="H10" s="336">
        <v>0</v>
      </c>
      <c r="I10" s="700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701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6270</v>
      </c>
      <c r="H12" s="337">
        <f>H13</f>
        <v>6270</v>
      </c>
      <c r="I12" s="701">
        <v>4552</v>
      </c>
      <c r="J12" s="337">
        <f>J13</f>
        <v>6220</v>
      </c>
      <c r="K12" s="177">
        <f t="shared" si="0"/>
        <v>99.202551834130787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6">
        <f>5990+100+180</f>
        <v>6270</v>
      </c>
      <c r="H13" s="336">
        <f>5990+100+180</f>
        <v>6270</v>
      </c>
      <c r="I13" s="700">
        <v>4552</v>
      </c>
      <c r="J13" s="336">
        <f>6220</f>
        <v>6220</v>
      </c>
      <c r="K13" s="135">
        <f t="shared" si="0"/>
        <v>99.202551834130787</v>
      </c>
    </row>
    <row r="14" spans="2:13" ht="17.100000000000001" customHeight="1">
      <c r="B14" s="14"/>
      <c r="C14" s="15"/>
      <c r="D14" s="15"/>
      <c r="E14" s="16"/>
      <c r="F14" s="15"/>
      <c r="G14" s="43"/>
      <c r="H14" s="43"/>
      <c r="I14" s="696"/>
      <c r="J14" s="43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8200</v>
      </c>
      <c r="H15" s="43">
        <f>SUM(H16:H25)</f>
        <v>8200</v>
      </c>
      <c r="I15" s="696">
        <v>3629</v>
      </c>
      <c r="J15" s="43">
        <f>SUM(J16:J25)</f>
        <v>6400</v>
      </c>
      <c r="K15" s="177">
        <f t="shared" si="0"/>
        <v>78.048780487804876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1000</v>
      </c>
      <c r="H16" s="39">
        <v>1000</v>
      </c>
      <c r="I16" s="695">
        <v>0</v>
      </c>
      <c r="J16" s="39">
        <v>200</v>
      </c>
      <c r="K16" s="135">
        <f t="shared" si="0"/>
        <v>20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695">
        <v>0</v>
      </c>
      <c r="J17" s="39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72">
        <v>4000</v>
      </c>
      <c r="H18" s="72">
        <v>4000</v>
      </c>
      <c r="I18" s="697">
        <v>2333</v>
      </c>
      <c r="J18" s="72">
        <v>3500</v>
      </c>
      <c r="K18" s="135">
        <f t="shared" si="0"/>
        <v>87.5</v>
      </c>
      <c r="L18" s="71"/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39">
        <v>1200</v>
      </c>
      <c r="H19" s="39">
        <v>1200</v>
      </c>
      <c r="I19" s="695">
        <v>643</v>
      </c>
      <c r="J19" s="39">
        <v>1200</v>
      </c>
      <c r="K19" s="135">
        <f t="shared" si="0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695">
        <v>0</v>
      </c>
      <c r="J20" s="39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695">
        <v>0</v>
      </c>
      <c r="J21" s="39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2">
        <v>500</v>
      </c>
      <c r="H22" s="72">
        <v>500</v>
      </c>
      <c r="I22" s="697">
        <v>207</v>
      </c>
      <c r="J22" s="72">
        <v>500</v>
      </c>
      <c r="K22" s="135">
        <f t="shared" si="0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72">
        <v>0</v>
      </c>
      <c r="H23" s="72">
        <v>0</v>
      </c>
      <c r="I23" s="697">
        <v>0</v>
      </c>
      <c r="J23" s="72">
        <v>0</v>
      </c>
      <c r="K23" s="135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1500</v>
      </c>
      <c r="H24" s="72">
        <v>1500</v>
      </c>
      <c r="I24" s="697">
        <v>446</v>
      </c>
      <c r="J24" s="72">
        <v>1000</v>
      </c>
      <c r="K24" s="135">
        <f t="shared" si="0"/>
        <v>66.666666666666657</v>
      </c>
    </row>
    <row r="25" spans="2:12" ht="17.100000000000001" customHeight="1">
      <c r="B25" s="14"/>
      <c r="C25" s="15"/>
      <c r="D25" s="15"/>
      <c r="E25" s="16">
        <v>613900</v>
      </c>
      <c r="F25" s="26" t="s">
        <v>677</v>
      </c>
      <c r="G25" s="105">
        <v>0</v>
      </c>
      <c r="H25" s="105">
        <v>0</v>
      </c>
      <c r="I25" s="699">
        <v>0</v>
      </c>
      <c r="J25" s="105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96"/>
      <c r="H26" s="96"/>
      <c r="I26" s="698"/>
      <c r="J26" s="96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G28+G29</f>
        <v>500</v>
      </c>
      <c r="H27" s="96">
        <f>H28+H29</f>
        <v>500</v>
      </c>
      <c r="I27" s="698">
        <v>0</v>
      </c>
      <c r="J27" s="96">
        <f>J28+J29</f>
        <v>500</v>
      </c>
      <c r="K27" s="177">
        <f t="shared" si="0"/>
        <v>100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2">
        <v>0</v>
      </c>
      <c r="H28" s="72">
        <v>0</v>
      </c>
      <c r="I28" s="697">
        <v>0</v>
      </c>
      <c r="J28" s="72">
        <v>0</v>
      </c>
      <c r="K28" s="135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2">
        <v>500</v>
      </c>
      <c r="H29" s="72">
        <v>500</v>
      </c>
      <c r="I29" s="697">
        <v>0</v>
      </c>
      <c r="J29" s="72">
        <v>500</v>
      </c>
      <c r="K29" s="135">
        <f t="shared" si="0"/>
        <v>100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694"/>
      <c r="J30" s="2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0">
        <v>3</v>
      </c>
      <c r="H31" s="20">
        <v>3</v>
      </c>
      <c r="I31" s="694">
        <v>3</v>
      </c>
      <c r="J31" s="20">
        <v>3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82860</v>
      </c>
      <c r="H32" s="20">
        <f>H7+H12+H15+H27</f>
        <v>82860</v>
      </c>
      <c r="I32" s="20">
        <f t="shared" ref="I32" si="1">I7+I12+I15+I27</f>
        <v>57688</v>
      </c>
      <c r="J32" s="20">
        <f>J7+J12+J15+J27</f>
        <v>81060</v>
      </c>
      <c r="K32" s="177">
        <f t="shared" si="0"/>
        <v>97.827661115133964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82860</v>
      </c>
      <c r="H33" s="20">
        <f>H32</f>
        <v>82860</v>
      </c>
      <c r="I33" s="20">
        <f t="shared" ref="I33" si="2">I32</f>
        <v>57688</v>
      </c>
      <c r="J33" s="20">
        <f>J32</f>
        <v>81060</v>
      </c>
      <c r="K33" s="177">
        <f>IF(H33=0,"",J33/H33*100)</f>
        <v>97.827661115133964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82860</v>
      </c>
      <c r="H34" s="20">
        <f>H33</f>
        <v>82860</v>
      </c>
      <c r="I34" s="20">
        <f t="shared" ref="I34" si="3">I33</f>
        <v>57688</v>
      </c>
      <c r="J34" s="20">
        <f>J33</f>
        <v>81060</v>
      </c>
      <c r="K34" s="177">
        <f t="shared" si="0"/>
        <v>97.827661115133964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B2:M59"/>
  <sheetViews>
    <sheetView zoomScaleNormal="100" workbookViewId="0">
      <selection activeCell="O12" sqref="O1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158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157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460210</v>
      </c>
      <c r="H7" s="337">
        <f>SUM(H8:H10)</f>
        <v>460210</v>
      </c>
      <c r="I7" s="708">
        <v>336445</v>
      </c>
      <c r="J7" s="337">
        <f>SUM(J8:J10)</f>
        <v>454610</v>
      </c>
      <c r="K7" s="134">
        <f>IF(H7=0,"",J7/H7*100)</f>
        <v>98.783164207644333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390480+2500+5820</f>
        <v>398800</v>
      </c>
      <c r="H8" s="339">
        <f>390480+2500+5820</f>
        <v>398800</v>
      </c>
      <c r="I8" s="709">
        <v>294329</v>
      </c>
      <c r="J8" s="339">
        <f>395100</f>
        <v>395100</v>
      </c>
      <c r="K8" s="135">
        <f>IF(H8=0,"",J8/H8*100)</f>
        <v>99.072216649949851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58910+2500</f>
        <v>61410</v>
      </c>
      <c r="H9" s="339">
        <f>58910+2500</f>
        <v>61410</v>
      </c>
      <c r="I9" s="709">
        <v>42116</v>
      </c>
      <c r="J9" s="339">
        <f>56000+13*270</f>
        <v>59510</v>
      </c>
      <c r="K9" s="135">
        <f t="shared" ref="K9:K34" si="0">IF(H9=0,"",J9/H9*100)</f>
        <v>96.906041361341806</v>
      </c>
    </row>
    <row r="10" spans="2:13" ht="17.100000000000001" customHeight="1">
      <c r="B10" s="14"/>
      <c r="C10" s="15"/>
      <c r="D10" s="15"/>
      <c r="E10" s="16">
        <v>611200</v>
      </c>
      <c r="F10" s="26" t="s">
        <v>678</v>
      </c>
      <c r="G10" s="336">
        <v>0</v>
      </c>
      <c r="H10" s="336">
        <v>0</v>
      </c>
      <c r="I10" s="707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708"/>
      <c r="J11" s="337"/>
      <c r="K11" s="135" t="str">
        <f t="shared" si="0"/>
        <v/>
      </c>
      <c r="M11" s="71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42830</v>
      </c>
      <c r="H12" s="337">
        <f>H13</f>
        <v>42830</v>
      </c>
      <c r="I12" s="708">
        <v>31592</v>
      </c>
      <c r="J12" s="337">
        <f>J13</f>
        <v>42700</v>
      </c>
      <c r="K12" s="177">
        <f t="shared" si="0"/>
        <v>99.696474433808078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41500+700+630</f>
        <v>42830</v>
      </c>
      <c r="H13" s="339">
        <f>41500+700+630</f>
        <v>42830</v>
      </c>
      <c r="I13" s="709">
        <v>31592</v>
      </c>
      <c r="J13" s="339">
        <f>42700</f>
        <v>42700</v>
      </c>
      <c r="K13" s="135">
        <f t="shared" si="0"/>
        <v>99.696474433808078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702"/>
      <c r="J14" s="2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87000</v>
      </c>
      <c r="H15" s="43">
        <f>SUM(H16:H25)</f>
        <v>87000</v>
      </c>
      <c r="I15" s="704">
        <v>63913</v>
      </c>
      <c r="J15" s="43">
        <f>SUM(J16:J25)</f>
        <v>88800</v>
      </c>
      <c r="K15" s="177">
        <f t="shared" si="0"/>
        <v>102.06896551724138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3000</v>
      </c>
      <c r="H16" s="40">
        <v>3000</v>
      </c>
      <c r="I16" s="703">
        <v>1384</v>
      </c>
      <c r="J16" s="40">
        <v>2500</v>
      </c>
      <c r="K16" s="135">
        <f t="shared" si="0"/>
        <v>83.333333333333343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4500</v>
      </c>
      <c r="H17" s="40">
        <v>4500</v>
      </c>
      <c r="I17" s="703">
        <v>3015</v>
      </c>
      <c r="J17" s="40">
        <v>4500</v>
      </c>
      <c r="K17" s="135">
        <f t="shared" si="0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105">
        <v>14000</v>
      </c>
      <c r="H18" s="105">
        <v>14000</v>
      </c>
      <c r="I18" s="706">
        <v>7911</v>
      </c>
      <c r="J18" s="105">
        <v>11500</v>
      </c>
      <c r="K18" s="135">
        <f t="shared" si="0"/>
        <v>82.142857142857139</v>
      </c>
      <c r="L18" s="71"/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40">
        <v>9000</v>
      </c>
      <c r="H19" s="40">
        <v>9000</v>
      </c>
      <c r="I19" s="703">
        <v>6934</v>
      </c>
      <c r="J19" s="40">
        <v>9500</v>
      </c>
      <c r="K19" s="135">
        <f t="shared" si="0"/>
        <v>105.55555555555556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5">
        <v>2500</v>
      </c>
      <c r="H20" s="105">
        <v>2500</v>
      </c>
      <c r="I20" s="706">
        <v>1251</v>
      </c>
      <c r="J20" s="105">
        <v>2000</v>
      </c>
      <c r="K20" s="135">
        <f t="shared" si="0"/>
        <v>80</v>
      </c>
      <c r="L20" s="71"/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40">
        <v>0</v>
      </c>
      <c r="H21" s="40">
        <v>0</v>
      </c>
      <c r="I21" s="703">
        <v>0</v>
      </c>
      <c r="J21" s="40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5">
        <v>3000</v>
      </c>
      <c r="H22" s="105">
        <v>3000</v>
      </c>
      <c r="I22" s="706">
        <v>2172</v>
      </c>
      <c r="J22" s="105">
        <v>3000</v>
      </c>
      <c r="K22" s="135">
        <f t="shared" si="0"/>
        <v>100</v>
      </c>
      <c r="L22" s="71"/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05">
        <v>1000</v>
      </c>
      <c r="H23" s="105">
        <v>1000</v>
      </c>
      <c r="I23" s="706">
        <v>293</v>
      </c>
      <c r="J23" s="105">
        <v>800</v>
      </c>
      <c r="K23" s="135">
        <f t="shared" si="0"/>
        <v>80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05">
        <v>50000</v>
      </c>
      <c r="H24" s="105">
        <v>50000</v>
      </c>
      <c r="I24" s="706">
        <v>40953</v>
      </c>
      <c r="J24" s="105">
        <v>55000</v>
      </c>
      <c r="K24" s="135">
        <f t="shared" si="0"/>
        <v>110.00000000000001</v>
      </c>
    </row>
    <row r="25" spans="2:12" ht="17.100000000000001" customHeight="1">
      <c r="B25" s="14"/>
      <c r="C25" s="15"/>
      <c r="D25" s="15"/>
      <c r="E25" s="16">
        <v>613900</v>
      </c>
      <c r="F25" s="26" t="s">
        <v>679</v>
      </c>
      <c r="G25" s="105">
        <v>0</v>
      </c>
      <c r="H25" s="105">
        <v>0</v>
      </c>
      <c r="I25" s="706">
        <v>0</v>
      </c>
      <c r="J25" s="105">
        <v>0</v>
      </c>
      <c r="K25" s="135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5"/>
      <c r="H26" s="105"/>
      <c r="I26" s="706"/>
      <c r="J26" s="105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G28+G29</f>
        <v>3000</v>
      </c>
      <c r="H27" s="96">
        <f>H28+H29</f>
        <v>3000</v>
      </c>
      <c r="I27" s="705">
        <v>0</v>
      </c>
      <c r="J27" s="96">
        <f>J28+J29</f>
        <v>1000</v>
      </c>
      <c r="K27" s="177">
        <f t="shared" si="0"/>
        <v>33.333333333333329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5">
        <v>0</v>
      </c>
      <c r="H28" s="105">
        <v>0</v>
      </c>
      <c r="I28" s="706">
        <v>0</v>
      </c>
      <c r="J28" s="105">
        <v>0</v>
      </c>
      <c r="K28" s="135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5">
        <v>3000</v>
      </c>
      <c r="H29" s="105">
        <v>3000</v>
      </c>
      <c r="I29" s="706">
        <v>0</v>
      </c>
      <c r="J29" s="105">
        <v>1000</v>
      </c>
      <c r="K29" s="135">
        <f t="shared" si="0"/>
        <v>33.333333333333329</v>
      </c>
    </row>
    <row r="30" spans="2:12" ht="17.100000000000001" customHeight="1">
      <c r="B30" s="14"/>
      <c r="C30" s="15"/>
      <c r="D30" s="15"/>
      <c r="E30" s="16"/>
      <c r="F30" s="15"/>
      <c r="G30" s="40"/>
      <c r="H30" s="40"/>
      <c r="I30" s="703"/>
      <c r="J30" s="40"/>
      <c r="K30" s="135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6">
        <v>13</v>
      </c>
      <c r="H31" s="96">
        <v>13</v>
      </c>
      <c r="I31" s="705">
        <v>13</v>
      </c>
      <c r="J31" s="96">
        <v>13</v>
      </c>
      <c r="K31" s="135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593040</v>
      </c>
      <c r="H32" s="20">
        <f>H7+H12+H15+H27</f>
        <v>593040</v>
      </c>
      <c r="I32" s="20">
        <f t="shared" ref="I32" si="1">I7+I12+I15+I27</f>
        <v>431950</v>
      </c>
      <c r="J32" s="20">
        <f>J7+J12+J15+J27</f>
        <v>587110</v>
      </c>
      <c r="K32" s="177">
        <f t="shared" si="0"/>
        <v>99.000067449075942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593040</v>
      </c>
      <c r="H33" s="20">
        <f>H32</f>
        <v>593040</v>
      </c>
      <c r="I33" s="20">
        <f t="shared" ref="I33" si="2">I32</f>
        <v>431950</v>
      </c>
      <c r="J33" s="20">
        <f>J32</f>
        <v>587110</v>
      </c>
      <c r="K33" s="177">
        <f>IF(H33=0,"",J33/H33*100)</f>
        <v>99.000067449075942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593040</v>
      </c>
      <c r="H34" s="20">
        <f>H33</f>
        <v>593040</v>
      </c>
      <c r="I34" s="20">
        <f t="shared" ref="I34" si="3">I33</f>
        <v>431950</v>
      </c>
      <c r="J34" s="20">
        <f>J33</f>
        <v>587110</v>
      </c>
      <c r="K34" s="177">
        <f t="shared" si="0"/>
        <v>99.000067449075942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>
      <c r="B38" s="71"/>
    </row>
    <row r="39" spans="2:11" ht="17.100000000000001" customHeight="1">
      <c r="B39" s="71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B2:M59"/>
  <sheetViews>
    <sheetView zoomScaleNormal="100" workbookViewId="0">
      <selection activeCell="P13" sqref="P1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80" customWidth="1"/>
    <col min="9" max="9" width="11.28515625" style="80" customWidth="1"/>
    <col min="10" max="10" width="12.5703125" style="80" customWidth="1"/>
    <col min="11" max="11" width="7.7109375" style="124" customWidth="1"/>
    <col min="12" max="16384" width="9.140625" style="13"/>
  </cols>
  <sheetData>
    <row r="2" spans="2:13" ht="15" customHeight="1">
      <c r="B2" s="784" t="s">
        <v>182</v>
      </c>
      <c r="C2" s="784"/>
      <c r="D2" s="784"/>
      <c r="E2" s="784"/>
      <c r="F2" s="784"/>
      <c r="G2" s="784"/>
      <c r="H2" s="394"/>
      <c r="I2" s="39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 t="s">
        <v>181</v>
      </c>
      <c r="C6" s="11" t="s">
        <v>81</v>
      </c>
      <c r="D6" s="11" t="s">
        <v>82</v>
      </c>
      <c r="E6" s="9"/>
      <c r="F6" s="9"/>
      <c r="G6" s="147"/>
      <c r="H6" s="147"/>
      <c r="I6" s="147"/>
      <c r="J6" s="147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376990</v>
      </c>
      <c r="H7" s="337">
        <f>SUM(H8:H10)</f>
        <v>376990</v>
      </c>
      <c r="I7" s="717">
        <v>252160</v>
      </c>
      <c r="J7" s="337">
        <f>SUM(J8:J10)</f>
        <v>367980</v>
      </c>
      <c r="K7" s="134">
        <f>IF(H7=0,"",J7/H7*100)</f>
        <v>97.610016180800557</v>
      </c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9">
        <f>262650+1500+21000+2*13400+7880+1440</f>
        <v>321270</v>
      </c>
      <c r="H8" s="339">
        <f>262650+1500+21000+2*13400+7880+1440</f>
        <v>321270</v>
      </c>
      <c r="I8" s="718">
        <v>215596</v>
      </c>
      <c r="J8" s="339">
        <f>297000+9200</f>
        <v>306200</v>
      </c>
      <c r="K8" s="135">
        <f>IF(H8=0,"",J8/H8*100)</f>
        <v>95.309241448003235</v>
      </c>
    </row>
    <row r="9" spans="2:13" ht="17.100000000000001" customHeight="1">
      <c r="B9" s="14"/>
      <c r="C9" s="15"/>
      <c r="D9" s="15"/>
      <c r="E9" s="16">
        <v>611200</v>
      </c>
      <c r="F9" s="15" t="s">
        <v>205</v>
      </c>
      <c r="G9" s="339">
        <f>45750+1500+1470+3000+2*2000</f>
        <v>55720</v>
      </c>
      <c r="H9" s="339">
        <f>45750+1500+1470+3000+2*2000</f>
        <v>55720</v>
      </c>
      <c r="I9" s="718">
        <v>36564</v>
      </c>
      <c r="J9" s="339">
        <f>57100+14*270+900</f>
        <v>61780</v>
      </c>
      <c r="K9" s="135">
        <f t="shared" ref="K9:K34" si="0">IF(H9=0,"",J9/H9*100)</f>
        <v>110.87580760947596</v>
      </c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716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15"/>
      <c r="G11" s="337"/>
      <c r="H11" s="337"/>
      <c r="I11" s="717"/>
      <c r="J11" s="337"/>
      <c r="K11" s="135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35290</v>
      </c>
      <c r="H12" s="337">
        <f>H13</f>
        <v>35290</v>
      </c>
      <c r="I12" s="717">
        <v>23036</v>
      </c>
      <c r="J12" s="337">
        <f>J13</f>
        <v>33900</v>
      </c>
      <c r="K12" s="177">
        <f t="shared" si="0"/>
        <v>96.061207140833091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39">
        <f>28710+300+2310+2*1470+870+160</f>
        <v>35290</v>
      </c>
      <c r="H13" s="339">
        <f>28710+300+2310+2*1470+870+160</f>
        <v>35290</v>
      </c>
      <c r="I13" s="718">
        <v>23036</v>
      </c>
      <c r="J13" s="339">
        <f>32600+1300</f>
        <v>33900</v>
      </c>
      <c r="K13" s="135">
        <f t="shared" si="0"/>
        <v>96.061207140833091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711"/>
      <c r="J14" s="40"/>
      <c r="K14" s="135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29700</v>
      </c>
      <c r="H15" s="43">
        <f>SUM(H16:H25)</f>
        <v>29700</v>
      </c>
      <c r="I15" s="712">
        <v>16605</v>
      </c>
      <c r="J15" s="43">
        <f>SUM(J16:J25)</f>
        <v>28890</v>
      </c>
      <c r="K15" s="177">
        <f t="shared" si="0"/>
        <v>97.27272727272728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2500</v>
      </c>
      <c r="H16" s="40">
        <v>2500</v>
      </c>
      <c r="I16" s="711">
        <v>845</v>
      </c>
      <c r="J16" s="40">
        <v>2000</v>
      </c>
      <c r="K16" s="135">
        <f t="shared" si="0"/>
        <v>80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40">
        <v>7000</v>
      </c>
      <c r="H17" s="40">
        <v>7000</v>
      </c>
      <c r="I17" s="711">
        <v>3233</v>
      </c>
      <c r="J17" s="40">
        <v>6000</v>
      </c>
      <c r="K17" s="135">
        <f t="shared" si="0"/>
        <v>85.714285714285708</v>
      </c>
    </row>
    <row r="18" spans="2:13" ht="17.100000000000001" customHeight="1">
      <c r="B18" s="14"/>
      <c r="C18" s="15"/>
      <c r="D18" s="15"/>
      <c r="E18" s="16">
        <v>613300</v>
      </c>
      <c r="F18" s="26" t="s">
        <v>206</v>
      </c>
      <c r="G18" s="40">
        <v>5500</v>
      </c>
      <c r="H18" s="40">
        <v>5500</v>
      </c>
      <c r="I18" s="711">
        <v>4778</v>
      </c>
      <c r="J18" s="40">
        <v>7500</v>
      </c>
      <c r="K18" s="135">
        <f t="shared" si="0"/>
        <v>136.36363636363635</v>
      </c>
    </row>
    <row r="19" spans="2:13" ht="17.100000000000001" customHeight="1">
      <c r="B19" s="14"/>
      <c r="C19" s="15"/>
      <c r="D19" s="15"/>
      <c r="E19" s="16">
        <v>613400</v>
      </c>
      <c r="F19" s="15" t="s">
        <v>165</v>
      </c>
      <c r="G19" s="40">
        <v>1500</v>
      </c>
      <c r="H19" s="40">
        <v>1500</v>
      </c>
      <c r="I19" s="711">
        <v>393</v>
      </c>
      <c r="J19" s="40">
        <v>800</v>
      </c>
      <c r="K19" s="135">
        <f t="shared" si="0"/>
        <v>53.333333333333336</v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40">
        <v>5500</v>
      </c>
      <c r="H20" s="40">
        <v>5500</v>
      </c>
      <c r="I20" s="711">
        <v>3290</v>
      </c>
      <c r="J20" s="40">
        <v>5500</v>
      </c>
      <c r="K20" s="135">
        <f t="shared" si="0"/>
        <v>100</v>
      </c>
    </row>
    <row r="21" spans="2:13" ht="17.100000000000001" customHeight="1">
      <c r="B21" s="14"/>
      <c r="C21" s="15"/>
      <c r="D21" s="15"/>
      <c r="E21" s="16">
        <v>613600</v>
      </c>
      <c r="F21" s="26" t="s">
        <v>207</v>
      </c>
      <c r="G21" s="105">
        <v>0</v>
      </c>
      <c r="H21" s="105">
        <v>0</v>
      </c>
      <c r="I21" s="714">
        <v>0</v>
      </c>
      <c r="J21" s="105">
        <v>0</v>
      </c>
      <c r="K21" s="135" t="str">
        <f t="shared" si="0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105">
        <v>4000</v>
      </c>
      <c r="H22" s="105">
        <v>4000</v>
      </c>
      <c r="I22" s="714">
        <v>1549</v>
      </c>
      <c r="J22" s="105">
        <v>3500</v>
      </c>
      <c r="K22" s="135">
        <f t="shared" si="0"/>
        <v>87.5</v>
      </c>
      <c r="L22" s="71"/>
      <c r="M22" s="80"/>
    </row>
    <row r="23" spans="2:13" ht="17.100000000000001" customHeight="1">
      <c r="B23" s="14"/>
      <c r="C23" s="15"/>
      <c r="D23" s="15"/>
      <c r="E23" s="16">
        <v>613800</v>
      </c>
      <c r="F23" s="15" t="s">
        <v>166</v>
      </c>
      <c r="G23" s="105">
        <v>1200</v>
      </c>
      <c r="H23" s="105">
        <v>1200</v>
      </c>
      <c r="I23" s="714">
        <v>888</v>
      </c>
      <c r="J23" s="105">
        <v>890</v>
      </c>
      <c r="K23" s="135">
        <f t="shared" si="0"/>
        <v>74.166666666666671</v>
      </c>
    </row>
    <row r="24" spans="2:13" ht="17.100000000000001" customHeight="1">
      <c r="B24" s="14"/>
      <c r="C24" s="15"/>
      <c r="D24" s="15"/>
      <c r="E24" s="16">
        <v>613900</v>
      </c>
      <c r="F24" s="15" t="s">
        <v>167</v>
      </c>
      <c r="G24" s="105">
        <v>2500</v>
      </c>
      <c r="H24" s="105">
        <v>2500</v>
      </c>
      <c r="I24" s="714">
        <v>1629</v>
      </c>
      <c r="J24" s="105">
        <v>2700</v>
      </c>
      <c r="K24" s="135">
        <f t="shared" si="0"/>
        <v>108</v>
      </c>
      <c r="L24" s="71"/>
    </row>
    <row r="25" spans="2:13" ht="17.100000000000001" customHeight="1">
      <c r="B25" s="14"/>
      <c r="C25" s="15"/>
      <c r="D25" s="15"/>
      <c r="E25" s="16">
        <v>613900</v>
      </c>
      <c r="F25" s="311" t="s">
        <v>587</v>
      </c>
      <c r="G25" s="105">
        <v>0</v>
      </c>
      <c r="H25" s="105">
        <v>0</v>
      </c>
      <c r="I25" s="714">
        <v>0</v>
      </c>
      <c r="J25" s="105">
        <v>0</v>
      </c>
      <c r="K25" s="135" t="str">
        <f t="shared" si="0"/>
        <v/>
      </c>
    </row>
    <row r="26" spans="2:13" s="1" customFormat="1" ht="17.100000000000001" customHeight="1">
      <c r="B26" s="17"/>
      <c r="C26" s="12"/>
      <c r="D26" s="12"/>
      <c r="E26" s="9"/>
      <c r="F26" s="12"/>
      <c r="G26" s="105"/>
      <c r="H26" s="105"/>
      <c r="I26" s="714"/>
      <c r="J26" s="105"/>
      <c r="K26" s="135" t="str">
        <f t="shared" si="0"/>
        <v/>
      </c>
    </row>
    <row r="27" spans="2:13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">
        <f>SUM(G28:G29)</f>
        <v>2000</v>
      </c>
      <c r="H27" s="96">
        <f>SUM(H28:H29)</f>
        <v>2000</v>
      </c>
      <c r="I27" s="713">
        <v>734</v>
      </c>
      <c r="J27" s="96">
        <f>SUM(J28:J29)</f>
        <v>2000</v>
      </c>
      <c r="K27" s="177">
        <f t="shared" si="0"/>
        <v>100</v>
      </c>
    </row>
    <row r="28" spans="2:13" ht="17.100000000000001" customHeight="1">
      <c r="B28" s="14"/>
      <c r="C28" s="15"/>
      <c r="D28" s="15"/>
      <c r="E28" s="16">
        <v>821200</v>
      </c>
      <c r="F28" s="15" t="s">
        <v>91</v>
      </c>
      <c r="G28" s="105">
        <v>0</v>
      </c>
      <c r="H28" s="105">
        <v>0</v>
      </c>
      <c r="I28" s="714">
        <v>0</v>
      </c>
      <c r="J28" s="105">
        <v>0</v>
      </c>
      <c r="K28" s="135" t="str">
        <f t="shared" si="0"/>
        <v/>
      </c>
    </row>
    <row r="29" spans="2:13" ht="17.100000000000001" customHeight="1">
      <c r="B29" s="14"/>
      <c r="C29" s="15"/>
      <c r="D29" s="15"/>
      <c r="E29" s="16">
        <v>821300</v>
      </c>
      <c r="F29" s="15" t="s">
        <v>92</v>
      </c>
      <c r="G29" s="105">
        <v>2000</v>
      </c>
      <c r="H29" s="105">
        <v>2000</v>
      </c>
      <c r="I29" s="714">
        <v>734</v>
      </c>
      <c r="J29" s="105">
        <v>2000</v>
      </c>
      <c r="K29" s="135">
        <f t="shared" si="0"/>
        <v>100</v>
      </c>
    </row>
    <row r="30" spans="2:13" ht="17.100000000000001" customHeight="1">
      <c r="B30" s="14"/>
      <c r="C30" s="15"/>
      <c r="D30" s="15"/>
      <c r="E30" s="16"/>
      <c r="F30" s="15"/>
      <c r="G30" s="105"/>
      <c r="H30" s="105"/>
      <c r="I30" s="714"/>
      <c r="J30" s="105"/>
      <c r="K30" s="135" t="str">
        <f t="shared" si="0"/>
        <v/>
      </c>
    </row>
    <row r="31" spans="2:13" s="1" customFormat="1" ht="17.100000000000001" customHeight="1">
      <c r="B31" s="17"/>
      <c r="C31" s="12"/>
      <c r="D31" s="12"/>
      <c r="E31" s="9"/>
      <c r="F31" s="12" t="s">
        <v>93</v>
      </c>
      <c r="G31" s="20">
        <v>14</v>
      </c>
      <c r="H31" s="20">
        <v>14</v>
      </c>
      <c r="I31" s="710">
        <v>13</v>
      </c>
      <c r="J31" s="20">
        <v>14</v>
      </c>
      <c r="K31" s="135"/>
    </row>
    <row r="32" spans="2:13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443980</v>
      </c>
      <c r="H32" s="20">
        <f>H7+H12+H15+H27</f>
        <v>443980</v>
      </c>
      <c r="I32" s="20">
        <f t="shared" ref="I32" si="1">I7+I12+I15+I27</f>
        <v>292535</v>
      </c>
      <c r="J32" s="20">
        <f>J7+J12+J15+J27</f>
        <v>432770</v>
      </c>
      <c r="K32" s="177">
        <f t="shared" si="0"/>
        <v>97.475111491508628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443980</v>
      </c>
      <c r="H33" s="20">
        <f>H32</f>
        <v>443980</v>
      </c>
      <c r="I33" s="20">
        <f t="shared" ref="I33" si="2">I32</f>
        <v>292535</v>
      </c>
      <c r="J33" s="20">
        <f>J32</f>
        <v>432770</v>
      </c>
      <c r="K33" s="177">
        <f>IF(H33=0,"",J33/H33*100)</f>
        <v>97.475111491508628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443980</v>
      </c>
      <c r="H34" s="20">
        <f>H33</f>
        <v>443980</v>
      </c>
      <c r="I34" s="20">
        <f t="shared" ref="I34" si="3">I33</f>
        <v>292535</v>
      </c>
      <c r="J34" s="20">
        <f>J33</f>
        <v>432770</v>
      </c>
      <c r="K34" s="177">
        <f t="shared" si="0"/>
        <v>97.475111491508628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44"/>
  <sheetViews>
    <sheetView topLeftCell="A13" zoomScaleNormal="100" workbookViewId="0">
      <selection activeCell="N42" sqref="N42"/>
    </sheetView>
  </sheetViews>
  <sheetFormatPr defaultRowHeight="12.75"/>
  <cols>
    <col min="1" max="1" width="11.85546875" style="49" customWidth="1"/>
    <col min="2" max="2" width="82.28515625" customWidth="1"/>
    <col min="3" max="11" width="10.7109375" customWidth="1"/>
    <col min="12" max="12" width="11.42578125" style="61" customWidth="1"/>
  </cols>
  <sheetData>
    <row r="2" spans="1:12" ht="15.75">
      <c r="A2" s="765" t="s">
        <v>790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</row>
    <row r="4" spans="1:12" s="61" customFormat="1" ht="51">
      <c r="A4" s="243" t="s">
        <v>432</v>
      </c>
      <c r="B4" s="244" t="s">
        <v>450</v>
      </c>
      <c r="C4" s="243" t="s">
        <v>443</v>
      </c>
      <c r="D4" s="243" t="s">
        <v>444</v>
      </c>
      <c r="E4" s="243" t="s">
        <v>451</v>
      </c>
      <c r="F4" s="243" t="s">
        <v>452</v>
      </c>
      <c r="G4" s="243" t="s">
        <v>445</v>
      </c>
      <c r="H4" s="243" t="s">
        <v>446</v>
      </c>
      <c r="I4" s="243" t="s">
        <v>447</v>
      </c>
      <c r="J4" s="243" t="s">
        <v>453</v>
      </c>
      <c r="K4" s="243" t="s">
        <v>448</v>
      </c>
      <c r="L4" s="243" t="s">
        <v>449</v>
      </c>
    </row>
    <row r="5" spans="1:12" ht="15.95" customHeight="1">
      <c r="A5" s="237">
        <v>10010001</v>
      </c>
      <c r="B5" s="29" t="s">
        <v>239</v>
      </c>
      <c r="C5" s="235">
        <f>'1'!J8</f>
        <v>360000</v>
      </c>
      <c r="D5" s="235">
        <f>'1'!J9+'1'!J10</f>
        <v>80230</v>
      </c>
      <c r="E5" s="235">
        <f>'1'!J12</f>
        <v>38250</v>
      </c>
      <c r="F5" s="235">
        <f>'1'!J15</f>
        <v>278400</v>
      </c>
      <c r="G5" s="235">
        <v>0</v>
      </c>
      <c r="H5" s="235">
        <v>0</v>
      </c>
      <c r="I5" s="29">
        <v>0</v>
      </c>
      <c r="J5" s="235">
        <f>'1'!J27</f>
        <v>10000</v>
      </c>
      <c r="K5" s="29">
        <v>0</v>
      </c>
      <c r="L5" s="236">
        <f>SUM(C5:K5)</f>
        <v>766880</v>
      </c>
    </row>
    <row r="6" spans="1:12" ht="15.95" customHeight="1">
      <c r="A6" s="237">
        <v>11010001</v>
      </c>
      <c r="B6" s="29" t="s">
        <v>240</v>
      </c>
      <c r="C6" s="235">
        <f>'3'!J13</f>
        <v>124300</v>
      </c>
      <c r="D6" s="235">
        <f>'3'!J14+'3'!J15</f>
        <v>133510</v>
      </c>
      <c r="E6" s="235">
        <f>'3'!J17</f>
        <v>13500</v>
      </c>
      <c r="F6" s="235">
        <f>'3'!J20</f>
        <v>386930</v>
      </c>
      <c r="G6" s="235">
        <f>'3'!J33</f>
        <v>911000</v>
      </c>
      <c r="H6" s="235">
        <f>'3'!J46</f>
        <v>600000</v>
      </c>
      <c r="I6" s="29">
        <v>0</v>
      </c>
      <c r="J6" s="235">
        <f>'3'!J49</f>
        <v>145000</v>
      </c>
      <c r="K6" s="29">
        <v>0</v>
      </c>
      <c r="L6" s="236">
        <f t="shared" ref="L6:L40" si="0">SUM(C6:K6)</f>
        <v>2314240</v>
      </c>
    </row>
    <row r="7" spans="1:12" ht="15.95" customHeight="1">
      <c r="A7" s="237">
        <v>11010002</v>
      </c>
      <c r="B7" s="29" t="s">
        <v>241</v>
      </c>
      <c r="C7" s="235">
        <f>'4'!J8</f>
        <v>19600</v>
      </c>
      <c r="D7" s="235">
        <f>'4'!J9+'4'!J10</f>
        <v>4770</v>
      </c>
      <c r="E7" s="235">
        <f>'4'!J12</f>
        <v>2160</v>
      </c>
      <c r="F7" s="235">
        <f>'4'!J15</f>
        <v>4350</v>
      </c>
      <c r="G7" s="235">
        <f>'4'!J27</f>
        <v>20000</v>
      </c>
      <c r="H7" s="29">
        <v>0</v>
      </c>
      <c r="I7" s="29">
        <v>0</v>
      </c>
      <c r="J7" s="235">
        <f>'4'!J30</f>
        <v>0</v>
      </c>
      <c r="K7" s="29">
        <v>0</v>
      </c>
      <c r="L7" s="236">
        <f t="shared" si="0"/>
        <v>50880</v>
      </c>
    </row>
    <row r="8" spans="1:12" ht="15.95" customHeight="1">
      <c r="A8" s="237">
        <v>11010003</v>
      </c>
      <c r="B8" s="29" t="s">
        <v>242</v>
      </c>
      <c r="C8" s="235">
        <f>'5'!J8</f>
        <v>29600</v>
      </c>
      <c r="D8" s="235">
        <f>'5'!J9+'5'!J10</f>
        <v>2870</v>
      </c>
      <c r="E8" s="235">
        <f>'5'!J12</f>
        <v>3200</v>
      </c>
      <c r="F8" s="235">
        <f>'5'!J15</f>
        <v>2150</v>
      </c>
      <c r="G8" s="29">
        <v>0</v>
      </c>
      <c r="H8" s="29">
        <v>0</v>
      </c>
      <c r="I8" s="29">
        <v>0</v>
      </c>
      <c r="J8" s="235">
        <f>'5'!J27</f>
        <v>0</v>
      </c>
      <c r="K8" s="29">
        <v>0</v>
      </c>
      <c r="L8" s="236">
        <f t="shared" si="0"/>
        <v>37820</v>
      </c>
    </row>
    <row r="9" spans="1:12" ht="15.95" customHeight="1">
      <c r="A9" s="237">
        <v>11010004</v>
      </c>
      <c r="B9" s="29" t="s">
        <v>243</v>
      </c>
      <c r="C9" s="235">
        <f>'6'!J8</f>
        <v>63900</v>
      </c>
      <c r="D9" s="235">
        <f>'6'!J9+'6'!J10</f>
        <v>11510</v>
      </c>
      <c r="E9" s="235">
        <f>'6'!J12</f>
        <v>6860</v>
      </c>
      <c r="F9" s="235">
        <f>'6'!J15</f>
        <v>6000</v>
      </c>
      <c r="G9" s="29">
        <v>0</v>
      </c>
      <c r="H9" s="29">
        <v>0</v>
      </c>
      <c r="I9" s="29">
        <v>0</v>
      </c>
      <c r="J9" s="235">
        <f>'6'!J27</f>
        <v>1500</v>
      </c>
      <c r="K9" s="29">
        <v>0</v>
      </c>
      <c r="L9" s="236">
        <f t="shared" si="0"/>
        <v>89770</v>
      </c>
    </row>
    <row r="10" spans="1:12" ht="15.95" customHeight="1">
      <c r="A10" s="237">
        <v>11010005</v>
      </c>
      <c r="B10" s="369" t="s">
        <v>673</v>
      </c>
      <c r="C10" s="235">
        <f>'7'!J8</f>
        <v>113200</v>
      </c>
      <c r="D10" s="235">
        <f>'7'!J9+'7'!J10</f>
        <v>32410</v>
      </c>
      <c r="E10" s="235">
        <f>'7'!J12</f>
        <v>12250</v>
      </c>
      <c r="F10" s="235">
        <f>'7'!J15</f>
        <v>11200</v>
      </c>
      <c r="G10" s="29">
        <v>0</v>
      </c>
      <c r="H10" s="29">
        <v>0</v>
      </c>
      <c r="I10" s="29">
        <v>0</v>
      </c>
      <c r="J10" s="235">
        <f>'7'!J27</f>
        <v>4840</v>
      </c>
      <c r="K10" s="29">
        <v>0</v>
      </c>
      <c r="L10" s="236">
        <f t="shared" si="0"/>
        <v>173900</v>
      </c>
    </row>
    <row r="11" spans="1:12" ht="15.95" customHeight="1">
      <c r="A11" s="237">
        <v>12010001</v>
      </c>
      <c r="B11" s="29" t="s">
        <v>244</v>
      </c>
      <c r="C11" s="235">
        <f>'8'!J8</f>
        <v>207800</v>
      </c>
      <c r="D11" s="235">
        <f>'8'!J9+'8'!J10</f>
        <v>59120</v>
      </c>
      <c r="E11" s="235">
        <f>'8'!J12</f>
        <v>22720</v>
      </c>
      <c r="F11" s="235">
        <f>'8'!J15</f>
        <v>419620</v>
      </c>
      <c r="G11" s="29">
        <v>0</v>
      </c>
      <c r="H11" s="29">
        <v>0</v>
      </c>
      <c r="I11" s="29">
        <v>0</v>
      </c>
      <c r="J11" s="235">
        <f>'8'!J27</f>
        <v>12500</v>
      </c>
      <c r="K11" s="29">
        <v>0</v>
      </c>
      <c r="L11" s="236">
        <f t="shared" si="0"/>
        <v>721760</v>
      </c>
    </row>
    <row r="12" spans="1:12" ht="15.95" customHeight="1">
      <c r="A12" s="237">
        <v>13010001</v>
      </c>
      <c r="B12" s="29" t="s">
        <v>431</v>
      </c>
      <c r="C12" s="235">
        <f>'9'!J8</f>
        <v>3866700</v>
      </c>
      <c r="D12" s="235">
        <f>'9'!J9+'9'!J10</f>
        <v>840410</v>
      </c>
      <c r="E12" s="235">
        <f>'9'!J12</f>
        <v>604570</v>
      </c>
      <c r="F12" s="235">
        <f>'9'!J15</f>
        <v>772500</v>
      </c>
      <c r="G12" s="29">
        <v>0</v>
      </c>
      <c r="H12" s="29">
        <v>0</v>
      </c>
      <c r="I12" s="29">
        <v>0</v>
      </c>
      <c r="J12" s="235">
        <f>'9'!J27</f>
        <v>80000</v>
      </c>
      <c r="K12" s="29">
        <v>0</v>
      </c>
      <c r="L12" s="236">
        <f t="shared" si="0"/>
        <v>6164180</v>
      </c>
    </row>
    <row r="13" spans="1:12" ht="15.95" customHeight="1">
      <c r="A13" s="237">
        <v>14010001</v>
      </c>
      <c r="B13" s="29" t="s">
        <v>246</v>
      </c>
      <c r="C13" s="235">
        <f>'10'!J8</f>
        <v>71160</v>
      </c>
      <c r="D13" s="235">
        <f>'10'!J9+'10'!J10</f>
        <v>11610</v>
      </c>
      <c r="E13" s="235">
        <f>'10'!J12</f>
        <v>7390</v>
      </c>
      <c r="F13" s="235">
        <f>'10'!J15</f>
        <v>79400</v>
      </c>
      <c r="G13" s="29">
        <v>0</v>
      </c>
      <c r="H13" s="29">
        <v>0</v>
      </c>
      <c r="I13" s="29">
        <v>0</v>
      </c>
      <c r="J13" s="235">
        <f>'10'!J27</f>
        <v>990</v>
      </c>
      <c r="K13" s="29">
        <v>0</v>
      </c>
      <c r="L13" s="236">
        <f t="shared" si="0"/>
        <v>170550</v>
      </c>
    </row>
    <row r="14" spans="1:12" ht="15.95" customHeight="1">
      <c r="A14" s="237">
        <v>14020003</v>
      </c>
      <c r="B14" s="29" t="s">
        <v>247</v>
      </c>
      <c r="C14" s="235">
        <f>'11'!J8</f>
        <v>958910</v>
      </c>
      <c r="D14" s="235">
        <f>'11'!J9+'11'!J10</f>
        <v>191370</v>
      </c>
      <c r="E14" s="235">
        <f>'11'!J12</f>
        <v>103920</v>
      </c>
      <c r="F14" s="235">
        <f>'11'!J15</f>
        <v>315900</v>
      </c>
      <c r="G14" s="29">
        <v>0</v>
      </c>
      <c r="H14" s="29">
        <v>0</v>
      </c>
      <c r="I14" s="29">
        <v>0</v>
      </c>
      <c r="J14" s="235">
        <f>'11'!J28</f>
        <v>8000</v>
      </c>
      <c r="K14" s="29">
        <v>0</v>
      </c>
      <c r="L14" s="236">
        <f t="shared" si="0"/>
        <v>1578100</v>
      </c>
    </row>
    <row r="15" spans="1:12" ht="15.95" customHeight="1">
      <c r="A15" s="237">
        <v>14050001</v>
      </c>
      <c r="B15" s="29" t="s">
        <v>248</v>
      </c>
      <c r="C15" s="235">
        <f>'12'!J8</f>
        <v>28540</v>
      </c>
      <c r="D15" s="235">
        <f>'12'!J9+'12'!J10</f>
        <v>5470</v>
      </c>
      <c r="E15" s="235">
        <f>'12'!J12</f>
        <v>3120</v>
      </c>
      <c r="F15" s="235">
        <f>'12'!J15</f>
        <v>3800</v>
      </c>
      <c r="G15" s="29">
        <v>0</v>
      </c>
      <c r="H15" s="29">
        <v>0</v>
      </c>
      <c r="I15" s="29">
        <v>0</v>
      </c>
      <c r="J15" s="235">
        <f>'12'!J27</f>
        <v>0</v>
      </c>
      <c r="K15" s="29">
        <v>0</v>
      </c>
      <c r="L15" s="236">
        <f t="shared" si="0"/>
        <v>40930</v>
      </c>
    </row>
    <row r="16" spans="1:12" ht="15.95" customHeight="1">
      <c r="A16" s="237">
        <v>14050002</v>
      </c>
      <c r="B16" s="29" t="s">
        <v>249</v>
      </c>
      <c r="C16" s="235">
        <f>'13'!J8</f>
        <v>18330</v>
      </c>
      <c r="D16" s="235">
        <f>'13'!J9+'13'!J10</f>
        <v>5800</v>
      </c>
      <c r="E16" s="235">
        <f>'13'!J12</f>
        <v>2220</v>
      </c>
      <c r="F16" s="235">
        <f>'13'!J15</f>
        <v>2000</v>
      </c>
      <c r="G16" s="29">
        <v>0</v>
      </c>
      <c r="H16" s="29">
        <v>0</v>
      </c>
      <c r="I16" s="29">
        <v>0</v>
      </c>
      <c r="J16" s="235">
        <f>'13'!J27</f>
        <v>1000</v>
      </c>
      <c r="K16" s="29">
        <v>0</v>
      </c>
      <c r="L16" s="236">
        <f t="shared" si="0"/>
        <v>29350</v>
      </c>
    </row>
    <row r="17" spans="1:12" ht="15.95" customHeight="1">
      <c r="A17" s="237">
        <v>14060001</v>
      </c>
      <c r="B17" s="29" t="s">
        <v>250</v>
      </c>
      <c r="C17" s="235">
        <f>'14'!J8</f>
        <v>61800</v>
      </c>
      <c r="D17" s="235">
        <f>'14'!J9+'14'!J10</f>
        <v>8650</v>
      </c>
      <c r="E17" s="235">
        <f>'14'!J12</f>
        <v>6590</v>
      </c>
      <c r="F17" s="235">
        <f>'14'!J15</f>
        <v>4600</v>
      </c>
      <c r="G17" s="29">
        <v>0</v>
      </c>
      <c r="H17" s="29">
        <v>0</v>
      </c>
      <c r="I17" s="29">
        <v>0</v>
      </c>
      <c r="J17" s="235">
        <f>'14'!J27</f>
        <v>760</v>
      </c>
      <c r="K17" s="29">
        <v>0</v>
      </c>
      <c r="L17" s="236">
        <f t="shared" si="0"/>
        <v>82400</v>
      </c>
    </row>
    <row r="18" spans="1:12" ht="15.95" customHeight="1">
      <c r="A18" s="237">
        <v>15010001</v>
      </c>
      <c r="B18" s="29" t="s">
        <v>251</v>
      </c>
      <c r="C18" s="235">
        <f>'15'!J8</f>
        <v>147400</v>
      </c>
      <c r="D18" s="235">
        <f>'15'!J9+'15'!J10</f>
        <v>30590</v>
      </c>
      <c r="E18" s="235">
        <f>'15'!J12</f>
        <v>16200</v>
      </c>
      <c r="F18" s="235">
        <f>'15'!J15</f>
        <v>83450</v>
      </c>
      <c r="G18" s="235">
        <f>'15'!J28</f>
        <v>1150000</v>
      </c>
      <c r="H18" s="29">
        <v>0</v>
      </c>
      <c r="I18" s="29">
        <v>0</v>
      </c>
      <c r="J18" s="235">
        <f>'15'!J31</f>
        <v>1000</v>
      </c>
      <c r="K18" s="29">
        <v>0</v>
      </c>
      <c r="L18" s="236">
        <f t="shared" si="0"/>
        <v>1428640</v>
      </c>
    </row>
    <row r="19" spans="1:12" ht="15.95" customHeight="1">
      <c r="A19" s="237">
        <v>16010001</v>
      </c>
      <c r="B19" s="29" t="s">
        <v>252</v>
      </c>
      <c r="C19" s="235">
        <f>'16'!J11</f>
        <v>298100</v>
      </c>
      <c r="D19" s="235">
        <f>'16'!J12+'16'!J13</f>
        <v>70550</v>
      </c>
      <c r="E19" s="235">
        <f>'16'!J15</f>
        <v>32800</v>
      </c>
      <c r="F19" s="235">
        <f>'16'!J18</f>
        <v>111360</v>
      </c>
      <c r="G19" s="235">
        <f>'16'!J31</f>
        <v>587500</v>
      </c>
      <c r="H19" s="29">
        <v>0</v>
      </c>
      <c r="I19" s="235">
        <f>'16'!J36</f>
        <v>55420</v>
      </c>
      <c r="J19" s="235">
        <f>'16'!J40</f>
        <v>3000</v>
      </c>
      <c r="K19" s="235">
        <f>'16'!J44</f>
        <v>516710</v>
      </c>
      <c r="L19" s="236">
        <f t="shared" si="0"/>
        <v>1675440</v>
      </c>
    </row>
    <row r="20" spans="1:12" ht="15.95" customHeight="1">
      <c r="A20" s="237">
        <v>17010001</v>
      </c>
      <c r="B20" s="29" t="s">
        <v>253</v>
      </c>
      <c r="C20" s="235">
        <f>'17'!J8</f>
        <v>180000</v>
      </c>
      <c r="D20" s="235">
        <f>'17'!J9+'17'!J10</f>
        <v>33630</v>
      </c>
      <c r="E20" s="235">
        <f>'17'!J12</f>
        <v>20400</v>
      </c>
      <c r="F20" s="235">
        <f>'17'!J15</f>
        <v>80360</v>
      </c>
      <c r="G20" s="235">
        <f>'17'!J27</f>
        <v>4080000</v>
      </c>
      <c r="H20" s="235">
        <v>0</v>
      </c>
      <c r="I20" s="29">
        <v>0</v>
      </c>
      <c r="J20" s="235">
        <f>'17'!J31</f>
        <v>1500</v>
      </c>
      <c r="K20" s="29">
        <v>0</v>
      </c>
      <c r="L20" s="236">
        <f t="shared" si="0"/>
        <v>4395890</v>
      </c>
    </row>
    <row r="21" spans="1:12" ht="15.95" customHeight="1">
      <c r="A21" s="237">
        <v>18010001</v>
      </c>
      <c r="B21" s="29" t="s">
        <v>254</v>
      </c>
      <c r="C21" s="235">
        <f>'18'!J8</f>
        <v>194020</v>
      </c>
      <c r="D21" s="235">
        <f>'18'!J9+'18'!J10</f>
        <v>42330</v>
      </c>
      <c r="E21" s="235">
        <f>'18'!J12</f>
        <v>20920</v>
      </c>
      <c r="F21" s="235">
        <f>'18'!J15</f>
        <v>216600</v>
      </c>
      <c r="G21" s="235">
        <f>'18'!J28</f>
        <v>180000</v>
      </c>
      <c r="H21" s="29">
        <v>0</v>
      </c>
      <c r="I21" s="29">
        <v>0</v>
      </c>
      <c r="J21" s="235">
        <f>'18'!J32</f>
        <v>1109000</v>
      </c>
      <c r="K21" s="29">
        <v>0</v>
      </c>
      <c r="L21" s="236">
        <f t="shared" si="0"/>
        <v>1762870</v>
      </c>
    </row>
    <row r="22" spans="1:12" ht="15.95" customHeight="1">
      <c r="A22" s="237">
        <v>19010001</v>
      </c>
      <c r="B22" s="29" t="s">
        <v>255</v>
      </c>
      <c r="C22" s="235">
        <f>'19'!J8</f>
        <v>458100</v>
      </c>
      <c r="D22" s="235">
        <f>'19'!J9+'19'!J10</f>
        <v>95810</v>
      </c>
      <c r="E22" s="235">
        <f>'19'!J12</f>
        <v>49130</v>
      </c>
      <c r="F22" s="235">
        <f>'19'!J15</f>
        <v>94820</v>
      </c>
      <c r="G22" s="235">
        <f>'19'!J27</f>
        <v>2300000</v>
      </c>
      <c r="H22" s="29">
        <v>0</v>
      </c>
      <c r="I22" s="29">
        <v>0</v>
      </c>
      <c r="J22" s="235">
        <f>'19'!J33</f>
        <v>8000</v>
      </c>
      <c r="K22" s="29">
        <v>0</v>
      </c>
      <c r="L22" s="236">
        <f t="shared" si="0"/>
        <v>3005860</v>
      </c>
    </row>
    <row r="23" spans="1:12" ht="15.95" customHeight="1">
      <c r="A23" s="237">
        <v>20010001</v>
      </c>
      <c r="B23" s="29" t="s">
        <v>256</v>
      </c>
      <c r="C23" s="235">
        <f>'20'!J8</f>
        <v>236500</v>
      </c>
      <c r="D23" s="235">
        <f>'20'!J9+'20'!J10</f>
        <v>39700</v>
      </c>
      <c r="E23" s="235">
        <f>'20'!J12</f>
        <v>25200</v>
      </c>
      <c r="F23" s="235">
        <f>'20'!J15</f>
        <v>108400</v>
      </c>
      <c r="G23" s="235">
        <f>'20'!J29</f>
        <v>1227000</v>
      </c>
      <c r="H23" s="235">
        <f>'20'!J38</f>
        <v>0</v>
      </c>
      <c r="I23" s="235">
        <f>'20'!J41</f>
        <v>5440</v>
      </c>
      <c r="J23" s="235">
        <f>'20'!J44</f>
        <v>990</v>
      </c>
      <c r="K23" s="235">
        <f>'20'!J48</f>
        <v>69160</v>
      </c>
      <c r="L23" s="236">
        <f t="shared" si="0"/>
        <v>1712390</v>
      </c>
    </row>
    <row r="24" spans="1:12" ht="15.95" customHeight="1">
      <c r="A24" s="237">
        <v>20020002</v>
      </c>
      <c r="B24" s="29" t="s">
        <v>433</v>
      </c>
      <c r="C24" s="235">
        <f>'21'!J8</f>
        <v>885300</v>
      </c>
      <c r="D24" s="235">
        <f>'21'!J9+'21'!J10</f>
        <v>210280</v>
      </c>
      <c r="E24" s="235">
        <f>'21'!J12</f>
        <v>96900</v>
      </c>
      <c r="F24" s="235">
        <f>'21'!J15</f>
        <v>151500</v>
      </c>
      <c r="G24" s="29">
        <v>0</v>
      </c>
      <c r="H24" s="29">
        <v>0</v>
      </c>
      <c r="I24" s="29">
        <v>0</v>
      </c>
      <c r="J24" s="235">
        <f>'21'!J27</f>
        <v>50250</v>
      </c>
      <c r="K24" s="29">
        <v>0</v>
      </c>
      <c r="L24" s="236">
        <f t="shared" si="0"/>
        <v>1394230</v>
      </c>
    </row>
    <row r="25" spans="1:12" ht="15.95" customHeight="1">
      <c r="A25" s="237">
        <v>20020003</v>
      </c>
      <c r="B25" s="29" t="s">
        <v>434</v>
      </c>
      <c r="C25" s="235">
        <f>'22'!J8</f>
        <v>808400</v>
      </c>
      <c r="D25" s="235">
        <f>'22'!J9+'22'!J10</f>
        <v>203480</v>
      </c>
      <c r="E25" s="235">
        <f>'22'!J12</f>
        <v>88500</v>
      </c>
      <c r="F25" s="235">
        <f>'22'!J15</f>
        <v>217850</v>
      </c>
      <c r="G25" s="29">
        <v>0</v>
      </c>
      <c r="H25" s="29">
        <v>0</v>
      </c>
      <c r="I25" s="29">
        <v>0</v>
      </c>
      <c r="J25" s="235">
        <f>'22'!J27</f>
        <v>5000</v>
      </c>
      <c r="K25" s="29">
        <v>0</v>
      </c>
      <c r="L25" s="236">
        <f t="shared" si="0"/>
        <v>1323230</v>
      </c>
    </row>
    <row r="26" spans="1:12" ht="15.95" customHeight="1">
      <c r="A26" s="237">
        <v>20020004</v>
      </c>
      <c r="B26" s="29" t="s">
        <v>435</v>
      </c>
      <c r="C26" s="235">
        <f>'23'!J8</f>
        <v>704500</v>
      </c>
      <c r="D26" s="235">
        <f>'23'!J9+'23'!J10</f>
        <v>162680</v>
      </c>
      <c r="E26" s="235">
        <f>'23'!J12</f>
        <v>76400</v>
      </c>
      <c r="F26" s="235">
        <f>'23'!J15</f>
        <v>141160</v>
      </c>
      <c r="G26" s="29">
        <v>0</v>
      </c>
      <c r="H26" s="29">
        <v>0</v>
      </c>
      <c r="I26" s="29">
        <v>0</v>
      </c>
      <c r="J26" s="235">
        <f>'23'!J28</f>
        <v>20800</v>
      </c>
      <c r="K26" s="29">
        <v>0</v>
      </c>
      <c r="L26" s="236">
        <f t="shared" si="0"/>
        <v>1105540</v>
      </c>
    </row>
    <row r="27" spans="1:12" ht="15.95" customHeight="1">
      <c r="A27" s="237">
        <v>20030001</v>
      </c>
      <c r="B27" s="29" t="s">
        <v>436</v>
      </c>
      <c r="C27" s="235">
        <f>'24'!J8</f>
        <v>842600</v>
      </c>
      <c r="D27" s="235">
        <f>'24'!J9+'24'!J10</f>
        <v>180470</v>
      </c>
      <c r="E27" s="235">
        <f>'24'!J12</f>
        <v>92900</v>
      </c>
      <c r="F27" s="235">
        <f>'24'!J15</f>
        <v>87400</v>
      </c>
      <c r="G27" s="29">
        <v>0</v>
      </c>
      <c r="H27" s="29">
        <v>0</v>
      </c>
      <c r="I27" s="29">
        <v>0</v>
      </c>
      <c r="J27" s="235">
        <f>'24'!J27</f>
        <v>10140</v>
      </c>
      <c r="K27" s="29">
        <v>0</v>
      </c>
      <c r="L27" s="236">
        <f t="shared" si="0"/>
        <v>1213510</v>
      </c>
    </row>
    <row r="28" spans="1:12" ht="15.95" customHeight="1">
      <c r="A28" s="237">
        <v>20030002</v>
      </c>
      <c r="B28" s="29" t="s">
        <v>437</v>
      </c>
      <c r="C28" s="235">
        <f>'25'!J8</f>
        <v>1774490</v>
      </c>
      <c r="D28" s="235">
        <f>'25'!J9+'25'!J10</f>
        <v>402780</v>
      </c>
      <c r="E28" s="235">
        <f>'25'!J12</f>
        <v>193450</v>
      </c>
      <c r="F28" s="235">
        <f>'25'!J15</f>
        <v>208000</v>
      </c>
      <c r="G28" s="29">
        <v>0</v>
      </c>
      <c r="H28" s="29">
        <v>0</v>
      </c>
      <c r="I28" s="29">
        <v>0</v>
      </c>
      <c r="J28" s="235">
        <f>'25'!J27</f>
        <v>23500</v>
      </c>
      <c r="K28" s="29">
        <v>0</v>
      </c>
      <c r="L28" s="236">
        <f t="shared" si="0"/>
        <v>2602220</v>
      </c>
    </row>
    <row r="29" spans="1:12" ht="15.95" customHeight="1">
      <c r="A29" s="237">
        <v>20030003</v>
      </c>
      <c r="B29" s="29" t="s">
        <v>438</v>
      </c>
      <c r="C29" s="235">
        <f>'26'!J8</f>
        <v>500500</v>
      </c>
      <c r="D29" s="235">
        <f>'26'!J9+'26'!J10</f>
        <v>100570</v>
      </c>
      <c r="E29" s="235">
        <f>'26'!J12</f>
        <v>56100</v>
      </c>
      <c r="F29" s="235">
        <f>'26'!J15</f>
        <v>61200</v>
      </c>
      <c r="G29" s="29">
        <v>0</v>
      </c>
      <c r="H29" s="29">
        <v>0</v>
      </c>
      <c r="I29" s="29">
        <v>0</v>
      </c>
      <c r="J29" s="235">
        <f>'26'!J27</f>
        <v>40900</v>
      </c>
      <c r="K29" s="29">
        <v>0</v>
      </c>
      <c r="L29" s="236">
        <f t="shared" si="0"/>
        <v>759270</v>
      </c>
    </row>
    <row r="30" spans="1:12" ht="15.95" customHeight="1">
      <c r="A30" s="237">
        <v>20030004</v>
      </c>
      <c r="B30" s="29" t="s">
        <v>439</v>
      </c>
      <c r="C30" s="235">
        <f>'27'!J8</f>
        <v>637280</v>
      </c>
      <c r="D30" s="235">
        <f>'27'!J9+'27'!J10</f>
        <v>130110</v>
      </c>
      <c r="E30" s="235">
        <f>'27'!J12</f>
        <v>71090</v>
      </c>
      <c r="F30" s="235">
        <f>'27'!J15</f>
        <v>66300</v>
      </c>
      <c r="G30" s="29">
        <v>0</v>
      </c>
      <c r="H30" s="29">
        <v>0</v>
      </c>
      <c r="I30" s="29">
        <v>0</v>
      </c>
      <c r="J30" s="235">
        <f>'27'!J27</f>
        <v>13500</v>
      </c>
      <c r="K30" s="29">
        <v>0</v>
      </c>
      <c r="L30" s="236">
        <f t="shared" si="0"/>
        <v>918280</v>
      </c>
    </row>
    <row r="31" spans="1:12" ht="15.95" customHeight="1">
      <c r="A31" s="237">
        <v>20030005</v>
      </c>
      <c r="B31" s="29" t="s">
        <v>440</v>
      </c>
      <c r="C31" s="235">
        <f>'28'!J8</f>
        <v>720970</v>
      </c>
      <c r="D31" s="235">
        <f>'28'!J9+'28'!J10</f>
        <v>161760</v>
      </c>
      <c r="E31" s="235">
        <f>'28'!J12</f>
        <v>77560</v>
      </c>
      <c r="F31" s="235">
        <f>'28'!J15</f>
        <v>99550</v>
      </c>
      <c r="G31" s="29">
        <v>0</v>
      </c>
      <c r="H31" s="29">
        <v>0</v>
      </c>
      <c r="I31" s="29">
        <v>0</v>
      </c>
      <c r="J31" s="235">
        <f>'28'!J27</f>
        <v>29580</v>
      </c>
      <c r="K31" s="29">
        <v>0</v>
      </c>
      <c r="L31" s="236">
        <f t="shared" si="0"/>
        <v>1089420</v>
      </c>
    </row>
    <row r="32" spans="1:12" ht="15.95" customHeight="1">
      <c r="A32" s="237">
        <v>20030006</v>
      </c>
      <c r="B32" s="29" t="s">
        <v>441</v>
      </c>
      <c r="C32" s="235">
        <f>'29'!J8</f>
        <v>331600</v>
      </c>
      <c r="D32" s="235">
        <f>'29'!J9+'29'!J10</f>
        <v>79000</v>
      </c>
      <c r="E32" s="235">
        <f>'29'!J12</f>
        <v>37100</v>
      </c>
      <c r="F32" s="235">
        <f>'29'!J15</f>
        <v>46300</v>
      </c>
      <c r="G32" s="29">
        <v>0</v>
      </c>
      <c r="H32" s="29">
        <v>0</v>
      </c>
      <c r="I32" s="29">
        <v>0</v>
      </c>
      <c r="J32" s="235">
        <f>'29'!J27</f>
        <v>3100</v>
      </c>
      <c r="K32" s="29">
        <v>0</v>
      </c>
      <c r="L32" s="236">
        <f t="shared" si="0"/>
        <v>497100</v>
      </c>
    </row>
    <row r="33" spans="1:12" ht="15.95" customHeight="1">
      <c r="A33" s="237">
        <v>20030007</v>
      </c>
      <c r="B33" s="29" t="s">
        <v>442</v>
      </c>
      <c r="C33" s="235">
        <f>'30'!J8</f>
        <v>440100</v>
      </c>
      <c r="D33" s="235">
        <f>'30'!J9+'30'!J10</f>
        <v>103360</v>
      </c>
      <c r="E33" s="235">
        <f>'30'!J12</f>
        <v>48900</v>
      </c>
      <c r="F33" s="235">
        <f>'30'!J15</f>
        <v>64000</v>
      </c>
      <c r="G33" s="29">
        <v>0</v>
      </c>
      <c r="H33" s="29">
        <v>0</v>
      </c>
      <c r="I33" s="29">
        <v>0</v>
      </c>
      <c r="J33" s="235">
        <f>'30'!J27</f>
        <v>23000</v>
      </c>
      <c r="K33" s="29">
        <v>0</v>
      </c>
      <c r="L33" s="236">
        <f t="shared" si="0"/>
        <v>679360</v>
      </c>
    </row>
    <row r="34" spans="1:12" ht="15.95" customHeight="1">
      <c r="A34" s="237">
        <v>21010001</v>
      </c>
      <c r="B34" s="29" t="s">
        <v>266</v>
      </c>
      <c r="C34" s="235">
        <f>'31'!J8</f>
        <v>180500</v>
      </c>
      <c r="D34" s="235">
        <f>'31'!J9+'31'!J10</f>
        <v>49600</v>
      </c>
      <c r="E34" s="235">
        <f>'31'!J12</f>
        <v>19700</v>
      </c>
      <c r="F34" s="235">
        <f>'31'!J15</f>
        <v>43400</v>
      </c>
      <c r="G34" s="235">
        <f>'31'!J27</f>
        <v>1100000</v>
      </c>
      <c r="H34" s="29">
        <v>0</v>
      </c>
      <c r="I34" s="29">
        <v>0</v>
      </c>
      <c r="J34" s="235">
        <f>'31'!J30</f>
        <v>2000</v>
      </c>
      <c r="K34" s="29">
        <v>0</v>
      </c>
      <c r="L34" s="236">
        <f t="shared" si="0"/>
        <v>1395200</v>
      </c>
    </row>
    <row r="35" spans="1:12" ht="15.95" customHeight="1">
      <c r="A35" s="237">
        <v>22010001</v>
      </c>
      <c r="B35" s="29" t="s">
        <v>267</v>
      </c>
      <c r="C35" s="235">
        <f>'32'!J8</f>
        <v>82910</v>
      </c>
      <c r="D35" s="235">
        <f>'32'!J9+'32'!J10</f>
        <v>20880</v>
      </c>
      <c r="E35" s="235">
        <f>'32'!J12</f>
        <v>9240</v>
      </c>
      <c r="F35" s="235">
        <f>'32'!J15</f>
        <v>15600</v>
      </c>
      <c r="G35" s="29">
        <v>0</v>
      </c>
      <c r="H35" s="29">
        <v>0</v>
      </c>
      <c r="I35" s="29">
        <v>0</v>
      </c>
      <c r="J35" s="235">
        <f>'32'!J27</f>
        <v>0</v>
      </c>
      <c r="K35" s="29">
        <v>0</v>
      </c>
      <c r="L35" s="236">
        <f t="shared" si="0"/>
        <v>128630</v>
      </c>
    </row>
    <row r="36" spans="1:12" ht="15.95" customHeight="1">
      <c r="A36" s="237">
        <v>23010001</v>
      </c>
      <c r="B36" s="29" t="s">
        <v>268</v>
      </c>
      <c r="C36" s="235">
        <f>'33'!J8</f>
        <v>183700</v>
      </c>
      <c r="D36" s="235">
        <f>'33'!J9+'33'!J10</f>
        <v>46840</v>
      </c>
      <c r="E36" s="235">
        <f>'33'!J12</f>
        <v>19800</v>
      </c>
      <c r="F36" s="235">
        <f>'33'!J15</f>
        <v>46000</v>
      </c>
      <c r="G36" s="235">
        <f>'33'!J27</f>
        <v>30000</v>
      </c>
      <c r="H36" s="29">
        <v>0</v>
      </c>
      <c r="I36" s="29">
        <v>0</v>
      </c>
      <c r="J36" s="235">
        <f>'33'!J31</f>
        <v>1500</v>
      </c>
      <c r="K36" s="29">
        <v>0</v>
      </c>
      <c r="L36" s="236">
        <f t="shared" si="0"/>
        <v>327840</v>
      </c>
    </row>
    <row r="37" spans="1:12" ht="15.95" customHeight="1">
      <c r="A37" s="237">
        <v>24010001</v>
      </c>
      <c r="B37" s="29" t="s">
        <v>269</v>
      </c>
      <c r="C37" s="235">
        <f>'34'!J8</f>
        <v>430200</v>
      </c>
      <c r="D37" s="235">
        <f>'34'!J9+'34'!J10</f>
        <v>76920</v>
      </c>
      <c r="E37" s="235">
        <f>'34'!J12</f>
        <v>46250</v>
      </c>
      <c r="F37" s="235">
        <f>'34'!J15</f>
        <v>108100</v>
      </c>
      <c r="G37" s="29">
        <v>0</v>
      </c>
      <c r="H37" s="29">
        <v>0</v>
      </c>
      <c r="I37" s="29">
        <v>0</v>
      </c>
      <c r="J37" s="235">
        <f>'34'!J27</f>
        <v>36080</v>
      </c>
      <c r="K37" s="29">
        <v>0</v>
      </c>
      <c r="L37" s="236">
        <f t="shared" si="0"/>
        <v>697550</v>
      </c>
    </row>
    <row r="38" spans="1:12" ht="15.95" customHeight="1">
      <c r="A38" s="237">
        <v>26010001</v>
      </c>
      <c r="B38" s="29" t="s">
        <v>270</v>
      </c>
      <c r="C38" s="235">
        <f>'35'!J8</f>
        <v>58030</v>
      </c>
      <c r="D38" s="235">
        <f>'35'!J9+'35'!J10</f>
        <v>9910</v>
      </c>
      <c r="E38" s="235">
        <f>'35'!J12</f>
        <v>6220</v>
      </c>
      <c r="F38" s="235">
        <f>'35'!J15</f>
        <v>6400</v>
      </c>
      <c r="G38" s="235">
        <v>0</v>
      </c>
      <c r="H38" s="29">
        <v>0</v>
      </c>
      <c r="I38" s="29">
        <v>0</v>
      </c>
      <c r="J38" s="235">
        <f>'35'!J27</f>
        <v>500</v>
      </c>
      <c r="K38" s="29">
        <v>0</v>
      </c>
      <c r="L38" s="236">
        <f t="shared" si="0"/>
        <v>81060</v>
      </c>
    </row>
    <row r="39" spans="1:12" ht="15.95" customHeight="1">
      <c r="A39" s="237">
        <v>27010001</v>
      </c>
      <c r="B39" s="29" t="s">
        <v>271</v>
      </c>
      <c r="C39" s="235">
        <f>'36'!J8</f>
        <v>395100</v>
      </c>
      <c r="D39" s="235">
        <f>'36'!J9+'36'!J10</f>
        <v>59510</v>
      </c>
      <c r="E39" s="235">
        <f>'36'!J12</f>
        <v>42700</v>
      </c>
      <c r="F39" s="235">
        <f>'36'!J15</f>
        <v>88800</v>
      </c>
      <c r="G39" s="29">
        <v>0</v>
      </c>
      <c r="H39" s="29">
        <v>0</v>
      </c>
      <c r="I39" s="29">
        <v>0</v>
      </c>
      <c r="J39" s="235">
        <f>'36'!J27</f>
        <v>1000</v>
      </c>
      <c r="K39" s="29">
        <v>0</v>
      </c>
      <c r="L39" s="236">
        <f t="shared" si="0"/>
        <v>587110</v>
      </c>
    </row>
    <row r="40" spans="1:12" ht="15.95" customHeight="1">
      <c r="A40" s="237">
        <v>28010001</v>
      </c>
      <c r="B40" s="29" t="s">
        <v>272</v>
      </c>
      <c r="C40" s="235">
        <f>'37'!J8</f>
        <v>306200</v>
      </c>
      <c r="D40" s="235">
        <f>'37'!J9+'37'!J10</f>
        <v>61780</v>
      </c>
      <c r="E40" s="235">
        <f>'37'!J12</f>
        <v>33900</v>
      </c>
      <c r="F40" s="235">
        <f>'37'!J15</f>
        <v>28890</v>
      </c>
      <c r="G40" s="235">
        <v>0</v>
      </c>
      <c r="H40" s="29">
        <v>0</v>
      </c>
      <c r="I40" s="29">
        <v>0</v>
      </c>
      <c r="J40" s="235">
        <f>'37'!J27</f>
        <v>2000</v>
      </c>
      <c r="K40" s="29">
        <v>0</v>
      </c>
      <c r="L40" s="236">
        <f t="shared" si="0"/>
        <v>432770</v>
      </c>
    </row>
    <row r="41" spans="1:12" s="61" customFormat="1" ht="15.95" customHeight="1">
      <c r="A41" s="116"/>
      <c r="B41" s="241" t="s">
        <v>454</v>
      </c>
      <c r="C41" s="242">
        <f>SUM(C5:C40)</f>
        <v>16720340</v>
      </c>
      <c r="D41" s="242">
        <f t="shared" ref="D41:K41" si="1">SUM(D5:D40)</f>
        <v>3760270</v>
      </c>
      <c r="E41" s="242">
        <f t="shared" si="1"/>
        <v>2008110</v>
      </c>
      <c r="F41" s="242">
        <f t="shared" si="1"/>
        <v>4462290</v>
      </c>
      <c r="G41" s="242">
        <f t="shared" si="1"/>
        <v>11585500</v>
      </c>
      <c r="H41" s="242">
        <f t="shared" si="1"/>
        <v>600000</v>
      </c>
      <c r="I41" s="242">
        <f t="shared" si="1"/>
        <v>60860</v>
      </c>
      <c r="J41" s="242">
        <f t="shared" si="1"/>
        <v>1650930</v>
      </c>
      <c r="K41" s="242">
        <f t="shared" si="1"/>
        <v>585870</v>
      </c>
      <c r="L41" s="242">
        <f>SUM(L5:L40)</f>
        <v>41434170</v>
      </c>
    </row>
    <row r="42" spans="1:12" ht="18" customHeight="1">
      <c r="B42" t="s">
        <v>455</v>
      </c>
      <c r="L42" s="157">
        <f>Rashodi!H8</f>
        <v>660000</v>
      </c>
    </row>
    <row r="43" spans="1:12" ht="18" customHeight="1">
      <c r="B43" t="s">
        <v>476</v>
      </c>
      <c r="L43" s="157">
        <f>Uvod!D50</f>
        <v>2730</v>
      </c>
    </row>
    <row r="44" spans="1:12" ht="18" customHeight="1">
      <c r="A44" s="238"/>
      <c r="B44" s="240" t="s">
        <v>454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45">
        <f>L41+L42+L43</f>
        <v>42096900</v>
      </c>
    </row>
  </sheetData>
  <mergeCells count="1">
    <mergeCell ref="A2:L2"/>
  </mergeCells>
  <phoneticPr fontId="0" type="noConversion"/>
  <pageMargins left="0.31" right="0.32" top="0.34" bottom="0.53" header="0.34" footer="0.5"/>
  <pageSetup paperSize="9" scale="71" orientation="landscape" r:id="rId1"/>
  <headerFooter alignWithMargins="0">
    <oddFooter>&amp;R45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H119"/>
  <sheetViews>
    <sheetView zoomScaleNormal="100" zoomScaleSheetLayoutView="100" workbookViewId="0">
      <selection activeCell="J17" sqref="J17"/>
    </sheetView>
  </sheetViews>
  <sheetFormatPr defaultRowHeight="12.75"/>
  <cols>
    <col min="1" max="1" width="5.28515625" customWidth="1"/>
    <col min="2" max="2" width="8" customWidth="1"/>
    <col min="3" max="3" width="59.140625" customWidth="1"/>
    <col min="4" max="4" width="16.140625" customWidth="1"/>
    <col min="5" max="5" width="14.42578125" customWidth="1"/>
    <col min="6" max="6" width="8.85546875" customWidth="1"/>
  </cols>
  <sheetData>
    <row r="2" spans="1:8" ht="31.5" customHeight="1">
      <c r="A2" s="787" t="s">
        <v>791</v>
      </c>
      <c r="B2" s="788"/>
      <c r="C2" s="788"/>
      <c r="D2" s="788"/>
      <c r="E2" s="788"/>
      <c r="F2" s="788"/>
    </row>
    <row r="3" spans="1:8" ht="6.75" customHeight="1">
      <c r="A3" s="255"/>
      <c r="B3" s="257"/>
      <c r="C3" s="256"/>
      <c r="D3" s="256"/>
      <c r="E3" s="256"/>
    </row>
    <row r="4" spans="1:8">
      <c r="A4" s="258"/>
      <c r="B4" s="258"/>
      <c r="C4" s="259"/>
      <c r="D4" s="260"/>
      <c r="E4" s="260"/>
    </row>
    <row r="5" spans="1:8" ht="66" customHeight="1">
      <c r="A5" s="261" t="s">
        <v>274</v>
      </c>
      <c r="B5" s="262" t="s">
        <v>480</v>
      </c>
      <c r="C5" s="262" t="s">
        <v>481</v>
      </c>
      <c r="D5" s="263" t="s">
        <v>792</v>
      </c>
      <c r="E5" s="263" t="s">
        <v>789</v>
      </c>
      <c r="F5" s="263" t="s">
        <v>55</v>
      </c>
    </row>
    <row r="6" spans="1:8">
      <c r="A6" s="264"/>
      <c r="B6" s="265">
        <v>1</v>
      </c>
      <c r="C6" s="265">
        <v>2</v>
      </c>
      <c r="D6" s="266">
        <v>3</v>
      </c>
      <c r="E6" s="266">
        <v>4</v>
      </c>
      <c r="F6" s="417">
        <v>5</v>
      </c>
    </row>
    <row r="7" spans="1:8" ht="25.5">
      <c r="A7" s="264">
        <v>1</v>
      </c>
      <c r="B7" s="267"/>
      <c r="C7" s="267" t="s">
        <v>54</v>
      </c>
      <c r="D7" s="270">
        <f>D8+D17+D23+D30+D40+D47+D54+D61+D68+D77</f>
        <v>42502232</v>
      </c>
      <c r="E7" s="270">
        <f>E8+E17+E23+E30+E40+E47+E54+E61+E68+E77</f>
        <v>42094170</v>
      </c>
      <c r="F7" s="276">
        <f>IF(D7=0,"",E7/D7*100)</f>
        <v>99.039904539601594</v>
      </c>
      <c r="H7" s="92"/>
    </row>
    <row r="8" spans="1:8">
      <c r="A8" s="264">
        <v>2</v>
      </c>
      <c r="B8" s="268" t="s">
        <v>81</v>
      </c>
      <c r="C8" s="269" t="s">
        <v>58</v>
      </c>
      <c r="D8" s="270">
        <f>SUM(D9:D16)</f>
        <v>6853040</v>
      </c>
      <c r="E8" s="270">
        <f>SUM(E9:E16)</f>
        <v>6490690</v>
      </c>
      <c r="F8" s="273">
        <f>IF(D8=0,"",E8/D8*100)</f>
        <v>94.712565518368478</v>
      </c>
    </row>
    <row r="9" spans="1:8" ht="14.1" customHeight="1">
      <c r="A9" s="264">
        <v>3</v>
      </c>
      <c r="B9" s="271" t="s">
        <v>482</v>
      </c>
      <c r="C9" s="272" t="s">
        <v>59</v>
      </c>
      <c r="D9" s="225">
        <f>'1'!H32+'3'!H55+'4'!H35+'5'!H32+'6'!H32+'7'!H32+'16'!H49</f>
        <v>6139260</v>
      </c>
      <c r="E9" s="225">
        <f>'1'!J32+'3'!J55+'4'!J35+'5'!J32+'6'!J32+'7'!J32+'16'!J49</f>
        <v>5768930</v>
      </c>
      <c r="F9" s="274">
        <f>IF(D9=0,"",E9/D9*100)</f>
        <v>93.967839772220103</v>
      </c>
    </row>
    <row r="10" spans="1:8" ht="14.1" customHeight="1">
      <c r="A10" s="264">
        <v>4</v>
      </c>
      <c r="B10" s="271" t="s">
        <v>483</v>
      </c>
      <c r="C10" s="272" t="s">
        <v>484</v>
      </c>
      <c r="D10" s="225">
        <v>0</v>
      </c>
      <c r="E10" s="225">
        <v>0</v>
      </c>
      <c r="F10" s="274" t="str">
        <f t="shared" ref="F10:F73" si="0">IF(D10=0,"",E10/D10*100)</f>
        <v/>
      </c>
    </row>
    <row r="11" spans="1:8" ht="14.1" customHeight="1">
      <c r="A11" s="264">
        <v>5</v>
      </c>
      <c r="B11" s="271" t="s">
        <v>485</v>
      </c>
      <c r="C11" s="272" t="s">
        <v>486</v>
      </c>
      <c r="D11" s="225">
        <f>'8'!H32</f>
        <v>713780</v>
      </c>
      <c r="E11" s="225">
        <f>'8'!J32</f>
        <v>721760</v>
      </c>
      <c r="F11" s="274">
        <f t="shared" si="0"/>
        <v>101.11799153800891</v>
      </c>
    </row>
    <row r="12" spans="1:8" ht="14.1" customHeight="1">
      <c r="A12" s="264">
        <v>6</v>
      </c>
      <c r="B12" s="271" t="s">
        <v>487</v>
      </c>
      <c r="C12" s="272" t="s">
        <v>488</v>
      </c>
      <c r="D12" s="225">
        <v>0</v>
      </c>
      <c r="E12" s="225">
        <v>0</v>
      </c>
      <c r="F12" s="274" t="str">
        <f t="shared" si="0"/>
        <v/>
      </c>
    </row>
    <row r="13" spans="1:8" ht="14.1" customHeight="1">
      <c r="A13" s="264">
        <v>7</v>
      </c>
      <c r="B13" s="271" t="s">
        <v>489</v>
      </c>
      <c r="C13" s="272" t="s">
        <v>490</v>
      </c>
      <c r="D13" s="225">
        <v>0</v>
      </c>
      <c r="E13" s="225">
        <v>0</v>
      </c>
      <c r="F13" s="274" t="str">
        <f t="shared" si="0"/>
        <v/>
      </c>
    </row>
    <row r="14" spans="1:8" ht="14.1" customHeight="1">
      <c r="A14" s="264">
        <v>8</v>
      </c>
      <c r="B14" s="271" t="s">
        <v>491</v>
      </c>
      <c r="C14" s="272" t="s">
        <v>492</v>
      </c>
      <c r="D14" s="225">
        <v>0</v>
      </c>
      <c r="E14" s="225">
        <v>0</v>
      </c>
      <c r="F14" s="274" t="str">
        <f t="shared" si="0"/>
        <v/>
      </c>
    </row>
    <row r="15" spans="1:8" ht="14.1" customHeight="1">
      <c r="A15" s="264">
        <v>9</v>
      </c>
      <c r="B15" s="271" t="s">
        <v>493</v>
      </c>
      <c r="C15" s="272" t="s">
        <v>494</v>
      </c>
      <c r="D15" s="225">
        <v>0</v>
      </c>
      <c r="E15" s="225">
        <v>0</v>
      </c>
      <c r="F15" s="274" t="str">
        <f t="shared" si="0"/>
        <v/>
      </c>
    </row>
    <row r="16" spans="1:8" ht="14.1" customHeight="1">
      <c r="A16" s="264">
        <v>10</v>
      </c>
      <c r="B16" s="271" t="s">
        <v>495</v>
      </c>
      <c r="C16" s="272" t="s">
        <v>60</v>
      </c>
      <c r="D16" s="225">
        <v>0</v>
      </c>
      <c r="E16" s="225">
        <v>0</v>
      </c>
      <c r="F16" s="274" t="str">
        <f t="shared" si="0"/>
        <v/>
      </c>
    </row>
    <row r="17" spans="1:6" ht="14.1" customHeight="1">
      <c r="A17" s="264">
        <v>11</v>
      </c>
      <c r="B17" s="268" t="s">
        <v>132</v>
      </c>
      <c r="C17" s="269" t="s">
        <v>61</v>
      </c>
      <c r="D17" s="270">
        <f>SUM(D18:D22)</f>
        <v>0</v>
      </c>
      <c r="E17" s="270">
        <f>SUM(E18:E22)</f>
        <v>0</v>
      </c>
      <c r="F17" s="273" t="str">
        <f t="shared" si="0"/>
        <v/>
      </c>
    </row>
    <row r="18" spans="1:6" ht="14.1" customHeight="1">
      <c r="A18" s="264">
        <v>12</v>
      </c>
      <c r="B18" s="271" t="s">
        <v>496</v>
      </c>
      <c r="C18" s="272" t="s">
        <v>62</v>
      </c>
      <c r="D18" s="225">
        <v>0</v>
      </c>
      <c r="E18" s="225">
        <v>0</v>
      </c>
      <c r="F18" s="274" t="str">
        <f t="shared" si="0"/>
        <v/>
      </c>
    </row>
    <row r="19" spans="1:6" ht="14.1" customHeight="1">
      <c r="A19" s="264">
        <v>13</v>
      </c>
      <c r="B19" s="271" t="s">
        <v>497</v>
      </c>
      <c r="C19" s="272" t="s">
        <v>63</v>
      </c>
      <c r="D19" s="225">
        <v>0</v>
      </c>
      <c r="E19" s="225">
        <v>0</v>
      </c>
      <c r="F19" s="274" t="str">
        <f t="shared" si="0"/>
        <v/>
      </c>
    </row>
    <row r="20" spans="1:6" ht="14.1" customHeight="1">
      <c r="A20" s="264">
        <v>14</v>
      </c>
      <c r="B20" s="271" t="s">
        <v>498</v>
      </c>
      <c r="C20" s="272" t="s">
        <v>64</v>
      </c>
      <c r="D20" s="225">
        <v>0</v>
      </c>
      <c r="E20" s="225">
        <v>0</v>
      </c>
      <c r="F20" s="274" t="str">
        <f t="shared" si="0"/>
        <v/>
      </c>
    </row>
    <row r="21" spans="1:6" ht="14.1" customHeight="1">
      <c r="A21" s="264">
        <v>15</v>
      </c>
      <c r="B21" s="271" t="s">
        <v>499</v>
      </c>
      <c r="C21" s="272" t="s">
        <v>65</v>
      </c>
      <c r="D21" s="225">
        <v>0</v>
      </c>
      <c r="E21" s="225">
        <v>0</v>
      </c>
      <c r="F21" s="274" t="str">
        <f t="shared" si="0"/>
        <v/>
      </c>
    </row>
    <row r="22" spans="1:6" ht="14.1" customHeight="1">
      <c r="A22" s="264">
        <v>16</v>
      </c>
      <c r="B22" s="271" t="s">
        <v>500</v>
      </c>
      <c r="C22" s="272" t="s">
        <v>66</v>
      </c>
      <c r="D22" s="225">
        <v>0</v>
      </c>
      <c r="E22" s="225">
        <v>0</v>
      </c>
      <c r="F22" s="274" t="str">
        <f t="shared" si="0"/>
        <v/>
      </c>
    </row>
    <row r="23" spans="1:6" ht="14.1" customHeight="1">
      <c r="A23" s="264">
        <v>17</v>
      </c>
      <c r="B23" s="268" t="s">
        <v>145</v>
      </c>
      <c r="C23" s="269" t="s">
        <v>680</v>
      </c>
      <c r="D23" s="270">
        <f>SUM(D24:D29)</f>
        <v>9851500</v>
      </c>
      <c r="E23" s="270">
        <f>SUM(E24:E29)</f>
        <v>9759070</v>
      </c>
      <c r="F23" s="273">
        <f t="shared" si="0"/>
        <v>99.061767243566962</v>
      </c>
    </row>
    <row r="24" spans="1:6" ht="14.1" customHeight="1">
      <c r="A24" s="264">
        <v>18</v>
      </c>
      <c r="B24" s="271" t="s">
        <v>501</v>
      </c>
      <c r="C24" s="272" t="s">
        <v>502</v>
      </c>
      <c r="D24" s="225">
        <f>'9'!H32</f>
        <v>6190850</v>
      </c>
      <c r="E24" s="225">
        <f>'9'!J32</f>
        <v>6164180</v>
      </c>
      <c r="F24" s="274">
        <f t="shared" si="0"/>
        <v>99.569202936591907</v>
      </c>
    </row>
    <row r="25" spans="1:6" ht="14.1" customHeight="1">
      <c r="A25" s="264">
        <v>19</v>
      </c>
      <c r="B25" s="271" t="s">
        <v>503</v>
      </c>
      <c r="C25" s="272" t="s">
        <v>681</v>
      </c>
      <c r="D25" s="225">
        <f>'33'!H36</f>
        <v>327240</v>
      </c>
      <c r="E25" s="225">
        <f>'33'!J36</f>
        <v>327840</v>
      </c>
      <c r="F25" s="274">
        <f t="shared" si="0"/>
        <v>100.18335166850019</v>
      </c>
    </row>
    <row r="26" spans="1:6" ht="14.1" customHeight="1">
      <c r="A26" s="264">
        <v>20</v>
      </c>
      <c r="B26" s="271" t="s">
        <v>504</v>
      </c>
      <c r="C26" s="272" t="s">
        <v>505</v>
      </c>
      <c r="D26" s="225">
        <f>'11'!H33+'12'!H32+'13'!H32+'14'!H32+'34'!H32+'35'!H32+'36'!H32</f>
        <v>3144040</v>
      </c>
      <c r="E26" s="225">
        <f>'11'!J33+'12'!J32+'13'!J32+'14'!J32+'34'!J32+'35'!J32+'36'!J32</f>
        <v>3096500</v>
      </c>
      <c r="F26" s="274">
        <f t="shared" si="0"/>
        <v>98.48793272350224</v>
      </c>
    </row>
    <row r="27" spans="1:6" ht="14.1" customHeight="1">
      <c r="A27" s="264">
        <v>21</v>
      </c>
      <c r="B27" s="271" t="s">
        <v>506</v>
      </c>
      <c r="C27" s="272" t="s">
        <v>507</v>
      </c>
      <c r="D27" s="225">
        <v>0</v>
      </c>
      <c r="E27" s="225">
        <v>0</v>
      </c>
      <c r="F27" s="274" t="str">
        <f t="shared" si="0"/>
        <v/>
      </c>
    </row>
    <row r="28" spans="1:6" ht="14.1" customHeight="1">
      <c r="A28" s="264">
        <v>22</v>
      </c>
      <c r="B28" s="271" t="s">
        <v>508</v>
      </c>
      <c r="C28" s="272" t="s">
        <v>509</v>
      </c>
      <c r="D28" s="225">
        <v>0</v>
      </c>
      <c r="E28" s="225">
        <v>0</v>
      </c>
      <c r="F28" s="274" t="str">
        <f t="shared" si="0"/>
        <v/>
      </c>
    </row>
    <row r="29" spans="1:6" ht="14.1" customHeight="1">
      <c r="A29" s="264">
        <v>23</v>
      </c>
      <c r="B29" s="271" t="s">
        <v>510</v>
      </c>
      <c r="C29" s="272" t="s">
        <v>511</v>
      </c>
      <c r="D29" s="225">
        <f>'10'!H32</f>
        <v>189370</v>
      </c>
      <c r="E29" s="225">
        <f>'10'!J32</f>
        <v>170550</v>
      </c>
      <c r="F29" s="274">
        <f t="shared" si="0"/>
        <v>90.061783809473511</v>
      </c>
    </row>
    <row r="30" spans="1:6" ht="14.1" customHeight="1">
      <c r="A30" s="264">
        <v>24</v>
      </c>
      <c r="B30" s="268" t="s">
        <v>512</v>
      </c>
      <c r="C30" s="269" t="s">
        <v>513</v>
      </c>
      <c r="D30" s="270">
        <f>SUM(D31:D39)</f>
        <v>6648090</v>
      </c>
      <c r="E30" s="270">
        <f>SUM(E31:E39)</f>
        <v>6758770</v>
      </c>
      <c r="F30" s="273">
        <f t="shared" si="0"/>
        <v>101.66483907407992</v>
      </c>
    </row>
    <row r="31" spans="1:6" ht="14.1" customHeight="1">
      <c r="A31" s="264">
        <v>25</v>
      </c>
      <c r="B31" s="271" t="s">
        <v>514</v>
      </c>
      <c r="C31" s="272" t="s">
        <v>515</v>
      </c>
      <c r="D31" s="225">
        <v>0</v>
      </c>
      <c r="E31" s="225">
        <v>0</v>
      </c>
      <c r="F31" s="274" t="str">
        <f t="shared" si="0"/>
        <v/>
      </c>
    </row>
    <row r="32" spans="1:6" ht="14.1" customHeight="1">
      <c r="A32" s="264">
        <v>26</v>
      </c>
      <c r="B32" s="271" t="s">
        <v>516</v>
      </c>
      <c r="C32" s="272" t="s">
        <v>517</v>
      </c>
      <c r="D32" s="225">
        <f>'19'!H38</f>
        <v>2851300</v>
      </c>
      <c r="E32" s="225">
        <f>'19'!J38</f>
        <v>3005860</v>
      </c>
      <c r="F32" s="274">
        <f t="shared" si="0"/>
        <v>105.42068530144144</v>
      </c>
    </row>
    <row r="33" spans="1:6" ht="14.1" customHeight="1">
      <c r="A33" s="264">
        <v>27</v>
      </c>
      <c r="B33" s="271" t="s">
        <v>518</v>
      </c>
      <c r="C33" s="272" t="s">
        <v>519</v>
      </c>
      <c r="D33" s="225">
        <v>0</v>
      </c>
      <c r="E33" s="225">
        <v>0</v>
      </c>
      <c r="F33" s="274" t="str">
        <f t="shared" si="0"/>
        <v/>
      </c>
    </row>
    <row r="34" spans="1:6" ht="14.1" customHeight="1">
      <c r="A34" s="264">
        <v>28</v>
      </c>
      <c r="B34" s="271" t="s">
        <v>520</v>
      </c>
      <c r="C34" s="272" t="s">
        <v>521</v>
      </c>
      <c r="D34" s="225">
        <v>0</v>
      </c>
      <c r="E34" s="225">
        <v>0</v>
      </c>
      <c r="F34" s="274" t="str">
        <f t="shared" si="0"/>
        <v/>
      </c>
    </row>
    <row r="35" spans="1:6" ht="14.1" customHeight="1">
      <c r="A35" s="264">
        <v>29</v>
      </c>
      <c r="B35" s="271" t="s">
        <v>522</v>
      </c>
      <c r="C35" s="272" t="s">
        <v>67</v>
      </c>
      <c r="D35" s="225">
        <v>0</v>
      </c>
      <c r="E35" s="225">
        <v>0</v>
      </c>
      <c r="F35" s="274" t="str">
        <f t="shared" si="0"/>
        <v/>
      </c>
    </row>
    <row r="36" spans="1:6" ht="14.1" customHeight="1">
      <c r="A36" s="264">
        <v>30</v>
      </c>
      <c r="B36" s="271" t="s">
        <v>523</v>
      </c>
      <c r="C36" s="272" t="s">
        <v>524</v>
      </c>
      <c r="D36" s="225">
        <v>0</v>
      </c>
      <c r="E36" s="225">
        <v>0</v>
      </c>
      <c r="F36" s="274" t="str">
        <f t="shared" si="0"/>
        <v/>
      </c>
    </row>
    <row r="37" spans="1:6" ht="14.1" customHeight="1">
      <c r="A37" s="264">
        <v>31</v>
      </c>
      <c r="B37" s="271" t="s">
        <v>525</v>
      </c>
      <c r="C37" s="272" t="s">
        <v>526</v>
      </c>
      <c r="D37" s="225">
        <v>0</v>
      </c>
      <c r="E37" s="225">
        <v>0</v>
      </c>
      <c r="F37" s="274" t="str">
        <f t="shared" si="0"/>
        <v/>
      </c>
    </row>
    <row r="38" spans="1:6" ht="14.1" customHeight="1">
      <c r="A38" s="264">
        <v>32</v>
      </c>
      <c r="B38" s="271" t="s">
        <v>527</v>
      </c>
      <c r="C38" s="272" t="s">
        <v>528</v>
      </c>
      <c r="D38" s="225">
        <v>0</v>
      </c>
      <c r="E38" s="225">
        <v>0</v>
      </c>
      <c r="F38" s="274" t="str">
        <f t="shared" si="0"/>
        <v/>
      </c>
    </row>
    <row r="39" spans="1:6" ht="14.1" customHeight="1">
      <c r="A39" s="264">
        <v>33</v>
      </c>
      <c r="B39" s="271" t="s">
        <v>529</v>
      </c>
      <c r="C39" s="272" t="s">
        <v>530</v>
      </c>
      <c r="D39" s="225">
        <f>'15'!H36+'18'!H38+'32'!H32+'37'!H32</f>
        <v>3796790</v>
      </c>
      <c r="E39" s="225">
        <f>'15'!J36+'18'!J38+'32'!J32+'37'!J32</f>
        <v>3752910</v>
      </c>
      <c r="F39" s="274">
        <f t="shared" si="0"/>
        <v>98.844286884447129</v>
      </c>
    </row>
    <row r="40" spans="1:6" ht="14.1" customHeight="1">
      <c r="A40" s="264">
        <v>34</v>
      </c>
      <c r="B40" s="268" t="s">
        <v>133</v>
      </c>
      <c r="C40" s="269" t="s">
        <v>531</v>
      </c>
      <c r="D40" s="270">
        <f>SUM(D41:D46)</f>
        <v>0</v>
      </c>
      <c r="E40" s="270">
        <f>SUM(E41:E46)</f>
        <v>0</v>
      </c>
      <c r="F40" s="273" t="str">
        <f t="shared" si="0"/>
        <v/>
      </c>
    </row>
    <row r="41" spans="1:6" ht="14.1" customHeight="1">
      <c r="A41" s="264">
        <v>35</v>
      </c>
      <c r="B41" s="271" t="s">
        <v>532</v>
      </c>
      <c r="C41" s="272" t="s">
        <v>533</v>
      </c>
      <c r="D41" s="225">
        <v>0</v>
      </c>
      <c r="E41" s="225">
        <v>0</v>
      </c>
      <c r="F41" s="274" t="str">
        <f t="shared" si="0"/>
        <v/>
      </c>
    </row>
    <row r="42" spans="1:6" ht="14.1" customHeight="1">
      <c r="A42" s="264">
        <v>36</v>
      </c>
      <c r="B42" s="271" t="s">
        <v>534</v>
      </c>
      <c r="C42" s="272" t="s">
        <v>535</v>
      </c>
      <c r="D42" s="225">
        <v>0</v>
      </c>
      <c r="E42" s="225">
        <v>0</v>
      </c>
      <c r="F42" s="274" t="str">
        <f t="shared" si="0"/>
        <v/>
      </c>
    </row>
    <row r="43" spans="1:6" ht="14.1" customHeight="1">
      <c r="A43" s="264">
        <v>37</v>
      </c>
      <c r="B43" s="271" t="s">
        <v>536</v>
      </c>
      <c r="C43" s="272" t="s">
        <v>537</v>
      </c>
      <c r="D43" s="225">
        <v>0</v>
      </c>
      <c r="E43" s="225">
        <v>0</v>
      </c>
      <c r="F43" s="274" t="str">
        <f t="shared" si="0"/>
        <v/>
      </c>
    </row>
    <row r="44" spans="1:6" ht="14.1" customHeight="1">
      <c r="A44" s="264">
        <v>38</v>
      </c>
      <c r="B44" s="271" t="s">
        <v>538</v>
      </c>
      <c r="C44" s="272" t="s">
        <v>68</v>
      </c>
      <c r="D44" s="225">
        <v>0</v>
      </c>
      <c r="E44" s="225">
        <v>0</v>
      </c>
      <c r="F44" s="274" t="str">
        <f t="shared" si="0"/>
        <v/>
      </c>
    </row>
    <row r="45" spans="1:6" ht="14.1" customHeight="1">
      <c r="A45" s="264">
        <v>39</v>
      </c>
      <c r="B45" s="271" t="s">
        <v>539</v>
      </c>
      <c r="C45" s="272" t="s">
        <v>56</v>
      </c>
      <c r="D45" s="225">
        <v>0</v>
      </c>
      <c r="E45" s="225">
        <v>0</v>
      </c>
      <c r="F45" s="274" t="str">
        <f t="shared" si="0"/>
        <v/>
      </c>
    </row>
    <row r="46" spans="1:6" ht="14.1" customHeight="1">
      <c r="A46" s="264">
        <v>40</v>
      </c>
      <c r="B46" s="271" t="s">
        <v>540</v>
      </c>
      <c r="C46" s="272" t="s">
        <v>541</v>
      </c>
      <c r="D46" s="225">
        <v>0</v>
      </c>
      <c r="E46" s="225">
        <v>0</v>
      </c>
      <c r="F46" s="274" t="str">
        <f t="shared" si="0"/>
        <v/>
      </c>
    </row>
    <row r="47" spans="1:6" ht="14.1" customHeight="1">
      <c r="A47" s="264">
        <v>41</v>
      </c>
      <c r="B47" s="268" t="s">
        <v>197</v>
      </c>
      <c r="C47" s="269" t="s">
        <v>542</v>
      </c>
      <c r="D47" s="270">
        <f>SUM(D48:D53)</f>
        <v>0</v>
      </c>
      <c r="E47" s="270">
        <f>SUM(E48:E53)</f>
        <v>0</v>
      </c>
      <c r="F47" s="273" t="str">
        <f t="shared" si="0"/>
        <v/>
      </c>
    </row>
    <row r="48" spans="1:6" ht="14.1" customHeight="1">
      <c r="A48" s="264">
        <v>42</v>
      </c>
      <c r="B48" s="271" t="s">
        <v>543</v>
      </c>
      <c r="C48" s="272" t="s">
        <v>544</v>
      </c>
      <c r="D48" s="225">
        <v>0</v>
      </c>
      <c r="E48" s="225">
        <v>0</v>
      </c>
      <c r="F48" s="274" t="str">
        <f t="shared" si="0"/>
        <v/>
      </c>
    </row>
    <row r="49" spans="1:6" ht="14.1" customHeight="1">
      <c r="A49" s="264">
        <v>43</v>
      </c>
      <c r="B49" s="271" t="s">
        <v>545</v>
      </c>
      <c r="C49" s="272" t="s">
        <v>546</v>
      </c>
      <c r="D49" s="225">
        <v>0</v>
      </c>
      <c r="E49" s="225">
        <v>0</v>
      </c>
      <c r="F49" s="274" t="str">
        <f t="shared" si="0"/>
        <v/>
      </c>
    </row>
    <row r="50" spans="1:6" ht="14.1" customHeight="1">
      <c r="A50" s="264">
        <v>44</v>
      </c>
      <c r="B50" s="271" t="s">
        <v>547</v>
      </c>
      <c r="C50" s="272" t="s">
        <v>69</v>
      </c>
      <c r="D50" s="225">
        <v>0</v>
      </c>
      <c r="E50" s="225">
        <v>0</v>
      </c>
      <c r="F50" s="274" t="str">
        <f t="shared" si="0"/>
        <v/>
      </c>
    </row>
    <row r="51" spans="1:6" ht="14.1" customHeight="1">
      <c r="A51" s="264">
        <v>45</v>
      </c>
      <c r="B51" s="271" t="s">
        <v>548</v>
      </c>
      <c r="C51" s="272" t="s">
        <v>549</v>
      </c>
      <c r="D51" s="225">
        <v>0</v>
      </c>
      <c r="E51" s="225">
        <v>0</v>
      </c>
      <c r="F51" s="274" t="str">
        <f t="shared" si="0"/>
        <v/>
      </c>
    </row>
    <row r="52" spans="1:6" ht="14.1" customHeight="1">
      <c r="A52" s="264">
        <v>46</v>
      </c>
      <c r="B52" s="271" t="s">
        <v>550</v>
      </c>
      <c r="C52" s="272" t="s">
        <v>551</v>
      </c>
      <c r="D52" s="225">
        <v>0</v>
      </c>
      <c r="E52" s="225">
        <v>0</v>
      </c>
      <c r="F52" s="274" t="str">
        <f t="shared" si="0"/>
        <v/>
      </c>
    </row>
    <row r="53" spans="1:6" ht="14.1" customHeight="1">
      <c r="A53" s="264">
        <v>47</v>
      </c>
      <c r="B53" s="271" t="s">
        <v>552</v>
      </c>
      <c r="C53" s="272" t="s">
        <v>553</v>
      </c>
      <c r="D53" s="225">
        <v>0</v>
      </c>
      <c r="E53" s="225">
        <v>0</v>
      </c>
      <c r="F53" s="274" t="str">
        <f t="shared" si="0"/>
        <v/>
      </c>
    </row>
    <row r="54" spans="1:6" ht="14.1" customHeight="1">
      <c r="A54" s="264">
        <v>48</v>
      </c>
      <c r="B54" s="268" t="s">
        <v>554</v>
      </c>
      <c r="C54" s="269" t="s">
        <v>555</v>
      </c>
      <c r="D54" s="270">
        <f>SUM(D55:D60)</f>
        <v>0</v>
      </c>
      <c r="E54" s="270">
        <f>SUM(E55:E60)</f>
        <v>0</v>
      </c>
      <c r="F54" s="273" t="str">
        <f t="shared" si="0"/>
        <v/>
      </c>
    </row>
    <row r="55" spans="1:6" ht="14.1" customHeight="1">
      <c r="A55" s="264">
        <v>49</v>
      </c>
      <c r="B55" s="271" t="s">
        <v>556</v>
      </c>
      <c r="C55" s="272" t="s">
        <v>557</v>
      </c>
      <c r="D55" s="225">
        <v>0</v>
      </c>
      <c r="E55" s="225">
        <v>0</v>
      </c>
      <c r="F55" s="274" t="str">
        <f t="shared" si="0"/>
        <v/>
      </c>
    </row>
    <row r="56" spans="1:6" ht="14.1" customHeight="1">
      <c r="A56" s="264">
        <v>50</v>
      </c>
      <c r="B56" s="271" t="s">
        <v>558</v>
      </c>
      <c r="C56" s="272" t="s">
        <v>70</v>
      </c>
      <c r="D56" s="225">
        <v>0</v>
      </c>
      <c r="E56" s="225">
        <v>0</v>
      </c>
      <c r="F56" s="274" t="str">
        <f t="shared" si="0"/>
        <v/>
      </c>
    </row>
    <row r="57" spans="1:6" ht="14.1" customHeight="1">
      <c r="A57" s="264">
        <v>51</v>
      </c>
      <c r="B57" s="271" t="s">
        <v>0</v>
      </c>
      <c r="C57" s="272" t="s">
        <v>1</v>
      </c>
      <c r="D57" s="225">
        <v>0</v>
      </c>
      <c r="E57" s="225">
        <v>0</v>
      </c>
      <c r="F57" s="274" t="str">
        <f t="shared" si="0"/>
        <v/>
      </c>
    </row>
    <row r="58" spans="1:6" ht="14.1" customHeight="1">
      <c r="A58" s="264">
        <v>52</v>
      </c>
      <c r="B58" s="271" t="s">
        <v>2</v>
      </c>
      <c r="C58" s="272" t="s">
        <v>3</v>
      </c>
      <c r="D58" s="225">
        <v>0</v>
      </c>
      <c r="E58" s="225">
        <v>0</v>
      </c>
      <c r="F58" s="274" t="str">
        <f t="shared" si="0"/>
        <v/>
      </c>
    </row>
    <row r="59" spans="1:6" ht="14.1" customHeight="1">
      <c r="A59" s="264">
        <v>53</v>
      </c>
      <c r="B59" s="271" t="s">
        <v>4</v>
      </c>
      <c r="C59" s="272" t="s">
        <v>5</v>
      </c>
      <c r="D59" s="225">
        <v>0</v>
      </c>
      <c r="E59" s="225">
        <v>0</v>
      </c>
      <c r="F59" s="274" t="str">
        <f t="shared" si="0"/>
        <v/>
      </c>
    </row>
    <row r="60" spans="1:6" ht="14.1" customHeight="1">
      <c r="A60" s="264">
        <v>54</v>
      </c>
      <c r="B60" s="271" t="s">
        <v>6</v>
      </c>
      <c r="C60" s="272" t="s">
        <v>7</v>
      </c>
      <c r="D60" s="225">
        <v>0</v>
      </c>
      <c r="E60" s="225">
        <v>0</v>
      </c>
      <c r="F60" s="274" t="str">
        <f t="shared" si="0"/>
        <v/>
      </c>
    </row>
    <row r="61" spans="1:6">
      <c r="A61" s="264">
        <v>55</v>
      </c>
      <c r="B61" s="268" t="s">
        <v>8</v>
      </c>
      <c r="C61" s="269" t="s">
        <v>9</v>
      </c>
      <c r="D61" s="270">
        <f>SUM(D62:D67)</f>
        <v>590000</v>
      </c>
      <c r="E61" s="270">
        <f>SUM(E62:E67)</f>
        <v>590000</v>
      </c>
      <c r="F61" s="273">
        <f t="shared" si="0"/>
        <v>100</v>
      </c>
    </row>
    <row r="62" spans="1:6">
      <c r="A62" s="264">
        <v>56</v>
      </c>
      <c r="B62" s="271" t="s">
        <v>10</v>
      </c>
      <c r="C62" s="272" t="s">
        <v>71</v>
      </c>
      <c r="D62" s="225">
        <v>320000</v>
      </c>
      <c r="E62" s="225">
        <v>290000</v>
      </c>
      <c r="F62" s="275">
        <f t="shared" si="0"/>
        <v>90.625</v>
      </c>
    </row>
    <row r="63" spans="1:6">
      <c r="A63" s="264">
        <v>57</v>
      </c>
      <c r="B63" s="271" t="s">
        <v>11</v>
      </c>
      <c r="C63" s="272" t="s">
        <v>12</v>
      </c>
      <c r="D63" s="225">
        <v>30000</v>
      </c>
      <c r="E63" s="225">
        <v>60000</v>
      </c>
      <c r="F63" s="275">
        <f t="shared" si="0"/>
        <v>200</v>
      </c>
    </row>
    <row r="64" spans="1:6">
      <c r="A64" s="264">
        <v>58</v>
      </c>
      <c r="B64" s="271" t="s">
        <v>13</v>
      </c>
      <c r="C64" s="272" t="s">
        <v>72</v>
      </c>
      <c r="D64" s="225">
        <f>'20'!H35</f>
        <v>40000</v>
      </c>
      <c r="E64" s="225">
        <f>'20'!J35</f>
        <v>40000</v>
      </c>
      <c r="F64" s="275">
        <f t="shared" si="0"/>
        <v>100</v>
      </c>
    </row>
    <row r="65" spans="1:6">
      <c r="A65" s="264">
        <v>59</v>
      </c>
      <c r="B65" s="271" t="s">
        <v>14</v>
      </c>
      <c r="C65" s="272" t="s">
        <v>57</v>
      </c>
      <c r="D65" s="225">
        <f>'20'!H36</f>
        <v>200000</v>
      </c>
      <c r="E65" s="225">
        <f>'20'!J36</f>
        <v>200000</v>
      </c>
      <c r="F65" s="275">
        <f t="shared" si="0"/>
        <v>100</v>
      </c>
    </row>
    <row r="66" spans="1:6">
      <c r="A66" s="264">
        <v>60</v>
      </c>
      <c r="B66" s="271" t="s">
        <v>15</v>
      </c>
      <c r="C66" s="272" t="s">
        <v>16</v>
      </c>
      <c r="D66" s="225">
        <v>0</v>
      </c>
      <c r="E66" s="225">
        <v>0</v>
      </c>
      <c r="F66" s="275" t="str">
        <f t="shared" si="0"/>
        <v/>
      </c>
    </row>
    <row r="67" spans="1:6">
      <c r="A67" s="264">
        <v>61</v>
      </c>
      <c r="B67" s="271" t="s">
        <v>17</v>
      </c>
      <c r="C67" s="272" t="s">
        <v>18</v>
      </c>
      <c r="D67" s="225">
        <v>0</v>
      </c>
      <c r="E67" s="225">
        <v>0</v>
      </c>
      <c r="F67" s="275" t="str">
        <f t="shared" si="0"/>
        <v/>
      </c>
    </row>
    <row r="68" spans="1:6">
      <c r="A68" s="264">
        <v>62</v>
      </c>
      <c r="B68" s="268" t="s">
        <v>19</v>
      </c>
      <c r="C68" s="269" t="s">
        <v>20</v>
      </c>
      <c r="D68" s="270">
        <f>SUM(D69:D76)</f>
        <v>12727982</v>
      </c>
      <c r="E68" s="270">
        <f>SUM(E69:E76)</f>
        <v>12704550</v>
      </c>
      <c r="F68" s="273">
        <f t="shared" si="0"/>
        <v>99.81590168810736</v>
      </c>
    </row>
    <row r="69" spans="1:6">
      <c r="A69" s="264">
        <v>63</v>
      </c>
      <c r="B69" s="271" t="s">
        <v>21</v>
      </c>
      <c r="C69" s="272" t="s">
        <v>22</v>
      </c>
      <c r="D69" s="225">
        <f>'24'!H32+'25'!H32+'26'!H32+'27'!H32+'28'!H32+'29'!H32+'30'!H32+10000</f>
        <v>7868792</v>
      </c>
      <c r="E69" s="225">
        <f>'24'!J32+'25'!J32+'26'!J32+'27'!J32+'28'!J32+'29'!J32+'30'!J32+10000</f>
        <v>7769160</v>
      </c>
      <c r="F69" s="275">
        <f t="shared" si="0"/>
        <v>98.733833604954867</v>
      </c>
    </row>
    <row r="70" spans="1:6">
      <c r="A70" s="264">
        <v>64</v>
      </c>
      <c r="B70" s="271" t="s">
        <v>23</v>
      </c>
      <c r="C70" s="272" t="s">
        <v>24</v>
      </c>
      <c r="D70" s="225">
        <f>'21'!H32+'22'!H32+'23'!H33+5000</f>
        <v>3769350</v>
      </c>
      <c r="E70" s="225">
        <f>'21'!J32+'22'!J32+'23'!J33+5000</f>
        <v>3828000</v>
      </c>
      <c r="F70" s="275">
        <f t="shared" si="0"/>
        <v>101.55597118866649</v>
      </c>
    </row>
    <row r="71" spans="1:6">
      <c r="A71" s="264">
        <v>65</v>
      </c>
      <c r="B71" s="271" t="s">
        <v>25</v>
      </c>
      <c r="C71" s="272" t="s">
        <v>26</v>
      </c>
      <c r="D71" s="225">
        <v>0</v>
      </c>
      <c r="E71" s="225">
        <v>0</v>
      </c>
      <c r="F71" s="275" t="str">
        <f t="shared" si="0"/>
        <v/>
      </c>
    </row>
    <row r="72" spans="1:6">
      <c r="A72" s="264">
        <v>66</v>
      </c>
      <c r="B72" s="271" t="s">
        <v>27</v>
      </c>
      <c r="C72" s="272" t="s">
        <v>28</v>
      </c>
      <c r="D72" s="225">
        <f>'20'!H30+'20'!H33</f>
        <v>310000</v>
      </c>
      <c r="E72" s="225">
        <f>'20'!J30+'20'!J33</f>
        <v>277000</v>
      </c>
      <c r="F72" s="275">
        <f t="shared" si="0"/>
        <v>89.354838709677423</v>
      </c>
    </row>
    <row r="73" spans="1:6">
      <c r="A73" s="264">
        <v>67</v>
      </c>
      <c r="B73" s="271" t="s">
        <v>29</v>
      </c>
      <c r="C73" s="272" t="s">
        <v>73</v>
      </c>
      <c r="D73" s="225">
        <v>0</v>
      </c>
      <c r="E73" s="225">
        <v>0</v>
      </c>
      <c r="F73" s="275" t="str">
        <f t="shared" si="0"/>
        <v/>
      </c>
    </row>
    <row r="74" spans="1:6">
      <c r="A74" s="264">
        <v>68</v>
      </c>
      <c r="B74" s="271" t="s">
        <v>30</v>
      </c>
      <c r="C74" s="272" t="s">
        <v>31</v>
      </c>
      <c r="D74" s="225">
        <v>0</v>
      </c>
      <c r="E74" s="225">
        <v>0</v>
      </c>
      <c r="F74" s="275" t="str">
        <f t="shared" ref="F74:F86" si="1">IF(D74=0,"",E74/D74*100)</f>
        <v/>
      </c>
    </row>
    <row r="75" spans="1:6">
      <c r="A75" s="264">
        <v>69</v>
      </c>
      <c r="B75" s="271" t="s">
        <v>32</v>
      </c>
      <c r="C75" s="272" t="s">
        <v>33</v>
      </c>
      <c r="D75" s="225">
        <v>0</v>
      </c>
      <c r="E75" s="225">
        <v>0</v>
      </c>
      <c r="F75" s="275" t="str">
        <f t="shared" si="1"/>
        <v/>
      </c>
    </row>
    <row r="76" spans="1:6">
      <c r="A76" s="264">
        <v>70</v>
      </c>
      <c r="B76" s="271" t="s">
        <v>34</v>
      </c>
      <c r="C76" s="272" t="s">
        <v>35</v>
      </c>
      <c r="D76" s="225">
        <f>'20'!H52-'20'!H30-'20'!H31-'20'!H33-'20'!H34-'20'!H35-'20'!H36</f>
        <v>779840</v>
      </c>
      <c r="E76" s="225">
        <f>'20'!J52-'20'!J30-'20'!J31-'20'!J33-'20'!J34-'20'!J35-'20'!J36</f>
        <v>830390</v>
      </c>
      <c r="F76" s="275">
        <f t="shared" si="1"/>
        <v>106.48209889208043</v>
      </c>
    </row>
    <row r="77" spans="1:6">
      <c r="A77" s="264">
        <v>71</v>
      </c>
      <c r="B77" s="268" t="s">
        <v>36</v>
      </c>
      <c r="C77" s="267" t="s">
        <v>37</v>
      </c>
      <c r="D77" s="270">
        <f>SUM(D78:D86)</f>
        <v>5831620</v>
      </c>
      <c r="E77" s="270">
        <f>SUM(E78:E86)</f>
        <v>5791090</v>
      </c>
      <c r="F77" s="273">
        <f t="shared" si="1"/>
        <v>99.304995867357619</v>
      </c>
    </row>
    <row r="78" spans="1:6">
      <c r="A78" s="264">
        <v>72</v>
      </c>
      <c r="B78" s="271" t="s">
        <v>38</v>
      </c>
      <c r="C78" s="272" t="s">
        <v>39</v>
      </c>
      <c r="D78" s="225">
        <v>0</v>
      </c>
      <c r="E78" s="225">
        <v>0</v>
      </c>
      <c r="F78" s="275" t="str">
        <f t="shared" si="1"/>
        <v/>
      </c>
    </row>
    <row r="79" spans="1:6">
      <c r="A79" s="264">
        <v>73</v>
      </c>
      <c r="B79" s="271" t="s">
        <v>40</v>
      </c>
      <c r="C79" s="272" t="s">
        <v>41</v>
      </c>
      <c r="D79" s="225">
        <v>0</v>
      </c>
      <c r="E79" s="225">
        <v>0</v>
      </c>
      <c r="F79" s="275" t="str">
        <f t="shared" si="1"/>
        <v/>
      </c>
    </row>
    <row r="80" spans="1:6">
      <c r="A80" s="264">
        <v>74</v>
      </c>
      <c r="B80" s="271" t="s">
        <v>42</v>
      </c>
      <c r="C80" s="272" t="s">
        <v>43</v>
      </c>
      <c r="D80" s="225">
        <v>0</v>
      </c>
      <c r="E80" s="225">
        <v>0</v>
      </c>
      <c r="F80" s="275" t="str">
        <f t="shared" si="1"/>
        <v/>
      </c>
    </row>
    <row r="81" spans="1:6">
      <c r="A81" s="264">
        <v>75</v>
      </c>
      <c r="B81" s="271" t="s">
        <v>44</v>
      </c>
      <c r="C81" s="272" t="s">
        <v>74</v>
      </c>
      <c r="D81" s="225">
        <v>0</v>
      </c>
      <c r="E81" s="225">
        <v>0</v>
      </c>
      <c r="F81" s="275" t="str">
        <f t="shared" si="1"/>
        <v/>
      </c>
    </row>
    <row r="82" spans="1:6">
      <c r="A82" s="264">
        <v>76</v>
      </c>
      <c r="B82" s="271" t="s">
        <v>45</v>
      </c>
      <c r="C82" s="272" t="s">
        <v>75</v>
      </c>
      <c r="D82" s="225">
        <v>0</v>
      </c>
      <c r="E82" s="225">
        <v>0</v>
      </c>
      <c r="F82" s="275" t="str">
        <f t="shared" si="1"/>
        <v/>
      </c>
    </row>
    <row r="83" spans="1:6">
      <c r="A83" s="264">
        <v>77</v>
      </c>
      <c r="B83" s="271" t="s">
        <v>46</v>
      </c>
      <c r="C83" s="272" t="s">
        <v>47</v>
      </c>
      <c r="D83" s="225">
        <v>0</v>
      </c>
      <c r="E83" s="225">
        <v>0</v>
      </c>
      <c r="F83" s="275" t="str">
        <f t="shared" si="1"/>
        <v/>
      </c>
    </row>
    <row r="84" spans="1:6">
      <c r="A84" s="264">
        <v>78</v>
      </c>
      <c r="B84" s="271" t="s">
        <v>48</v>
      </c>
      <c r="C84" s="272" t="s">
        <v>49</v>
      </c>
      <c r="D84" s="225">
        <v>0</v>
      </c>
      <c r="E84" s="225">
        <v>0</v>
      </c>
      <c r="F84" s="275" t="str">
        <f t="shared" si="1"/>
        <v/>
      </c>
    </row>
    <row r="85" spans="1:6">
      <c r="A85" s="264">
        <v>79</v>
      </c>
      <c r="B85" s="271" t="s">
        <v>50</v>
      </c>
      <c r="C85" s="272" t="s">
        <v>51</v>
      </c>
      <c r="D85" s="225">
        <v>0</v>
      </c>
      <c r="E85" s="225">
        <v>0</v>
      </c>
      <c r="F85" s="275" t="str">
        <f t="shared" si="1"/>
        <v/>
      </c>
    </row>
    <row r="86" spans="1:6">
      <c r="A86" s="264">
        <v>80</v>
      </c>
      <c r="B86" s="271" t="s">
        <v>52</v>
      </c>
      <c r="C86" s="272" t="s">
        <v>53</v>
      </c>
      <c r="D86" s="225">
        <f>'17'!H36+'31'!H35</f>
        <v>5831620</v>
      </c>
      <c r="E86" s="225">
        <f>'17'!J36+'31'!J35</f>
        <v>5791090</v>
      </c>
      <c r="F86" s="275">
        <f t="shared" si="1"/>
        <v>99.304995867357619</v>
      </c>
    </row>
    <row r="87" spans="1:6">
      <c r="A87" s="88"/>
      <c r="B87" s="88"/>
      <c r="C87" s="88"/>
      <c r="D87" s="88"/>
      <c r="E87" s="88"/>
      <c r="F87" s="88"/>
    </row>
    <row r="88" spans="1:6">
      <c r="A88" s="88"/>
      <c r="B88" s="88"/>
      <c r="C88" s="88"/>
      <c r="D88" s="88"/>
      <c r="E88" s="88"/>
      <c r="F88" s="88"/>
    </row>
    <row r="89" spans="1:6">
      <c r="A89" s="88"/>
      <c r="B89" s="88"/>
      <c r="C89" s="88"/>
      <c r="D89" s="88"/>
      <c r="E89" s="88"/>
      <c r="F89" s="88"/>
    </row>
    <row r="90" spans="1:6">
      <c r="A90" s="88"/>
      <c r="B90" s="88"/>
      <c r="C90" s="88"/>
      <c r="D90" s="88"/>
      <c r="E90" s="88"/>
      <c r="F90" s="88"/>
    </row>
    <row r="91" spans="1:6">
      <c r="A91" s="88"/>
      <c r="B91" s="88"/>
      <c r="C91" s="88"/>
      <c r="D91" s="88"/>
      <c r="E91" s="88"/>
      <c r="F91" s="88"/>
    </row>
    <row r="92" spans="1:6">
      <c r="A92" s="88"/>
      <c r="B92" s="88"/>
      <c r="C92" s="88"/>
      <c r="D92" s="88"/>
      <c r="E92" s="88"/>
      <c r="F92" s="88"/>
    </row>
    <row r="93" spans="1:6">
      <c r="A93" s="88"/>
      <c r="B93" s="88"/>
      <c r="C93" s="88"/>
      <c r="D93" s="88"/>
      <c r="E93" s="88"/>
      <c r="F93" s="88"/>
    </row>
    <row r="94" spans="1:6">
      <c r="A94" s="88"/>
      <c r="B94" s="88"/>
      <c r="C94" s="88"/>
      <c r="D94" s="88"/>
      <c r="E94" s="88"/>
      <c r="F94" s="88"/>
    </row>
    <row r="95" spans="1:6">
      <c r="A95" s="88"/>
      <c r="B95" s="88"/>
      <c r="C95" s="88"/>
      <c r="D95" s="88"/>
      <c r="E95" s="88"/>
      <c r="F95" s="88"/>
    </row>
    <row r="96" spans="1:6">
      <c r="A96" s="88"/>
      <c r="B96" s="88"/>
      <c r="C96" s="88"/>
      <c r="D96" s="88"/>
      <c r="E96" s="88"/>
      <c r="F96" s="88"/>
    </row>
    <row r="97" spans="1:6">
      <c r="A97" s="88"/>
      <c r="B97" s="88"/>
      <c r="C97" s="88"/>
      <c r="D97" s="88"/>
      <c r="E97" s="88"/>
      <c r="F97" s="88"/>
    </row>
    <row r="98" spans="1:6">
      <c r="A98" s="88"/>
      <c r="B98" s="88"/>
      <c r="C98" s="88"/>
      <c r="D98" s="88"/>
      <c r="E98" s="88"/>
      <c r="F98" s="88"/>
    </row>
    <row r="99" spans="1:6">
      <c r="A99" s="88"/>
      <c r="B99" s="88"/>
      <c r="C99" s="88"/>
      <c r="D99" s="88"/>
      <c r="E99" s="88"/>
      <c r="F99" s="88"/>
    </row>
    <row r="100" spans="1:6">
      <c r="A100" s="88"/>
      <c r="B100" s="88"/>
      <c r="C100" s="88"/>
      <c r="D100" s="88"/>
      <c r="E100" s="88"/>
      <c r="F100" s="88"/>
    </row>
    <row r="101" spans="1:6">
      <c r="A101" s="88"/>
      <c r="B101" s="88"/>
      <c r="C101" s="88"/>
      <c r="D101" s="88"/>
      <c r="E101" s="88"/>
      <c r="F101" s="88"/>
    </row>
    <row r="102" spans="1:6">
      <c r="A102" s="88"/>
      <c r="B102" s="88"/>
      <c r="C102" s="88"/>
      <c r="D102" s="88"/>
      <c r="E102" s="88"/>
      <c r="F102" s="88"/>
    </row>
    <row r="103" spans="1:6">
      <c r="A103" s="88"/>
      <c r="B103" s="88"/>
      <c r="C103" s="88"/>
      <c r="D103" s="88"/>
      <c r="E103" s="88"/>
      <c r="F103" s="88"/>
    </row>
    <row r="104" spans="1:6">
      <c r="A104" s="88"/>
      <c r="B104" s="88"/>
      <c r="C104" s="88"/>
      <c r="D104" s="88"/>
      <c r="E104" s="88"/>
      <c r="F104" s="88"/>
    </row>
    <row r="105" spans="1:6">
      <c r="A105" s="88"/>
      <c r="B105" s="88"/>
      <c r="C105" s="88"/>
      <c r="D105" s="88"/>
      <c r="E105" s="88"/>
      <c r="F105" s="88"/>
    </row>
    <row r="106" spans="1:6">
      <c r="A106" s="88"/>
      <c r="B106" s="88"/>
      <c r="C106" s="88"/>
      <c r="D106" s="88"/>
      <c r="E106" s="88"/>
      <c r="F106" s="88"/>
    </row>
    <row r="107" spans="1:6">
      <c r="A107" s="88"/>
      <c r="B107" s="88"/>
      <c r="C107" s="88"/>
      <c r="D107" s="88"/>
      <c r="E107" s="88"/>
      <c r="F107" s="88"/>
    </row>
    <row r="108" spans="1:6">
      <c r="A108" s="88"/>
      <c r="B108" s="88"/>
      <c r="C108" s="88"/>
      <c r="D108" s="88"/>
      <c r="E108" s="88"/>
      <c r="F108" s="88"/>
    </row>
    <row r="109" spans="1:6">
      <c r="A109" s="88"/>
      <c r="B109" s="88"/>
      <c r="C109" s="88"/>
      <c r="D109" s="88"/>
      <c r="E109" s="88"/>
      <c r="F109" s="88"/>
    </row>
    <row r="110" spans="1:6">
      <c r="A110" s="88"/>
      <c r="B110" s="88"/>
      <c r="C110" s="88"/>
      <c r="D110" s="88"/>
      <c r="E110" s="88"/>
      <c r="F110" s="88"/>
    </row>
    <row r="111" spans="1:6">
      <c r="A111" s="88"/>
      <c r="B111" s="88"/>
      <c r="C111" s="88"/>
      <c r="D111" s="88"/>
      <c r="E111" s="88"/>
      <c r="F111" s="88"/>
    </row>
    <row r="112" spans="1:6">
      <c r="A112" s="88"/>
      <c r="B112" s="88"/>
      <c r="C112" s="88"/>
      <c r="D112" s="88"/>
      <c r="E112" s="88"/>
      <c r="F112" s="88"/>
    </row>
    <row r="113" spans="1:6">
      <c r="A113" s="88"/>
      <c r="B113" s="88"/>
      <c r="C113" s="88"/>
      <c r="D113" s="88"/>
      <c r="E113" s="88"/>
      <c r="F113" s="88"/>
    </row>
    <row r="114" spans="1:6">
      <c r="A114" s="88"/>
      <c r="B114" s="88"/>
      <c r="C114" s="88"/>
      <c r="D114" s="88"/>
      <c r="E114" s="88"/>
      <c r="F114" s="88"/>
    </row>
    <row r="115" spans="1:6">
      <c r="A115" s="88"/>
      <c r="B115" s="88"/>
      <c r="C115" s="88"/>
      <c r="D115" s="88"/>
      <c r="E115" s="88"/>
      <c r="F115" s="88"/>
    </row>
    <row r="116" spans="1:6">
      <c r="A116" s="88"/>
      <c r="B116" s="88"/>
      <c r="C116" s="88"/>
      <c r="D116" s="88"/>
      <c r="E116" s="88"/>
      <c r="F116" s="88"/>
    </row>
    <row r="117" spans="1:6">
      <c r="A117" s="88"/>
      <c r="B117" s="88"/>
      <c r="C117" s="88"/>
      <c r="D117" s="88"/>
      <c r="E117" s="88"/>
      <c r="F117" s="88"/>
    </row>
    <row r="118" spans="1:6">
      <c r="A118" s="88"/>
      <c r="B118" s="88"/>
      <c r="C118" s="88"/>
      <c r="D118" s="88"/>
      <c r="E118" s="88"/>
      <c r="F118" s="88"/>
    </row>
    <row r="119" spans="1:6">
      <c r="A119" s="88"/>
      <c r="B119" s="88"/>
      <c r="C119" s="88"/>
      <c r="D119" s="88"/>
      <c r="E119" s="88"/>
      <c r="F119" s="88"/>
    </row>
  </sheetData>
  <mergeCells count="1">
    <mergeCell ref="A2:F2"/>
  </mergeCells>
  <phoneticPr fontId="0" type="noConversion"/>
  <pageMargins left="0.35433070866141736" right="0.27559055118110237" top="0.51181102362204722" bottom="0.74803149606299213" header="0.51181102362204722" footer="0.51181102362204722"/>
  <pageSetup paperSize="9" scale="88" firstPageNumber="46" orientation="portrait" useFirstPageNumber="1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topLeftCell="A10" zoomScaleNormal="100" workbookViewId="0">
      <selection activeCell="J31" sqref="J31"/>
    </sheetView>
  </sheetViews>
  <sheetFormatPr defaultRowHeight="12.75"/>
  <cols>
    <col min="1" max="1" width="15.7109375" style="49" customWidth="1"/>
    <col min="2" max="2" width="82.28515625" customWidth="1"/>
    <col min="3" max="6" width="18.7109375" customWidth="1"/>
  </cols>
  <sheetData>
    <row r="2" spans="1:6" ht="15.75">
      <c r="A2" s="765" t="s">
        <v>793</v>
      </c>
      <c r="B2" s="786"/>
      <c r="C2" s="786"/>
      <c r="D2" s="786"/>
      <c r="E2" s="786"/>
      <c r="F2" s="786"/>
    </row>
    <row r="4" spans="1:6" s="61" customFormat="1">
      <c r="A4" s="792" t="s">
        <v>432</v>
      </c>
      <c r="B4" s="792" t="s">
        <v>450</v>
      </c>
      <c r="C4" s="792" t="s">
        <v>794</v>
      </c>
      <c r="D4" s="789" t="s">
        <v>457</v>
      </c>
      <c r="E4" s="790"/>
      <c r="F4" s="791"/>
    </row>
    <row r="5" spans="1:6" s="61" customFormat="1" ht="39" customHeight="1">
      <c r="A5" s="793"/>
      <c r="B5" s="793"/>
      <c r="C5" s="793"/>
      <c r="D5" s="243" t="s">
        <v>456</v>
      </c>
      <c r="E5" s="243" t="s">
        <v>593</v>
      </c>
      <c r="F5" s="243" t="s">
        <v>594</v>
      </c>
    </row>
    <row r="6" spans="1:6" s="61" customFormat="1">
      <c r="A6" s="243">
        <v>1</v>
      </c>
      <c r="B6" s="244">
        <v>2</v>
      </c>
      <c r="C6" s="243" t="s">
        <v>458</v>
      </c>
      <c r="D6" s="243">
        <v>4</v>
      </c>
      <c r="E6" s="243">
        <v>5</v>
      </c>
      <c r="F6" s="243">
        <v>6</v>
      </c>
    </row>
    <row r="7" spans="1:6" ht="15.95" customHeight="1">
      <c r="A7" s="237">
        <v>10010001</v>
      </c>
      <c r="B7" s="29" t="s">
        <v>239</v>
      </c>
      <c r="C7" s="235">
        <f>D7+E7+F7</f>
        <v>10000</v>
      </c>
      <c r="D7" s="235">
        <f>'1'!J27-E7-F7</f>
        <v>10000</v>
      </c>
      <c r="E7" s="235">
        <v>0</v>
      </c>
      <c r="F7" s="235">
        <v>0</v>
      </c>
    </row>
    <row r="8" spans="1:6" ht="15.95" customHeight="1">
      <c r="A8" s="237">
        <v>11010001</v>
      </c>
      <c r="B8" s="29" t="s">
        <v>240</v>
      </c>
      <c r="C8" s="235">
        <f t="shared" ref="C8:C42" si="0">D8+E8+F8</f>
        <v>145000</v>
      </c>
      <c r="D8" s="235">
        <f>'3'!J49-E8-F8</f>
        <v>10000</v>
      </c>
      <c r="E8" s="235">
        <v>0</v>
      </c>
      <c r="F8" s="235">
        <v>135000</v>
      </c>
    </row>
    <row r="9" spans="1:6" ht="15.95" customHeight="1">
      <c r="A9" s="237">
        <v>11010002</v>
      </c>
      <c r="B9" s="29" t="s">
        <v>241</v>
      </c>
      <c r="C9" s="235">
        <f t="shared" si="0"/>
        <v>0</v>
      </c>
      <c r="D9" s="235">
        <f>'4'!J30-E9-F9</f>
        <v>0</v>
      </c>
      <c r="E9" s="235">
        <v>0</v>
      </c>
      <c r="F9" s="235">
        <v>0</v>
      </c>
    </row>
    <row r="10" spans="1:6" ht="15.95" customHeight="1">
      <c r="A10" s="237">
        <v>11010003</v>
      </c>
      <c r="B10" s="29" t="s">
        <v>242</v>
      </c>
      <c r="C10" s="235">
        <f t="shared" si="0"/>
        <v>0</v>
      </c>
      <c r="D10" s="235">
        <f>'5'!J27-E10-F10</f>
        <v>0</v>
      </c>
      <c r="E10" s="235">
        <v>0</v>
      </c>
      <c r="F10" s="235">
        <v>0</v>
      </c>
    </row>
    <row r="11" spans="1:6" ht="15.95" customHeight="1">
      <c r="A11" s="237">
        <v>11010004</v>
      </c>
      <c r="B11" s="29" t="s">
        <v>243</v>
      </c>
      <c r="C11" s="235">
        <f t="shared" si="0"/>
        <v>1500</v>
      </c>
      <c r="D11" s="235">
        <f>'6'!J27-E11-F11</f>
        <v>1500</v>
      </c>
      <c r="E11" s="235">
        <v>0</v>
      </c>
      <c r="F11" s="235">
        <v>0</v>
      </c>
    </row>
    <row r="12" spans="1:6" ht="15.95" customHeight="1">
      <c r="A12" s="237">
        <v>11010005</v>
      </c>
      <c r="B12" s="369" t="s">
        <v>673</v>
      </c>
      <c r="C12" s="235">
        <f t="shared" si="0"/>
        <v>4840</v>
      </c>
      <c r="D12" s="235">
        <f>'7'!J27-E12-F12</f>
        <v>4840</v>
      </c>
      <c r="E12" s="235">
        <v>0</v>
      </c>
      <c r="F12" s="235">
        <v>0</v>
      </c>
    </row>
    <row r="13" spans="1:6" ht="15.95" customHeight="1">
      <c r="A13" s="237">
        <v>12010001</v>
      </c>
      <c r="B13" s="29" t="s">
        <v>244</v>
      </c>
      <c r="C13" s="235">
        <f t="shared" si="0"/>
        <v>12500</v>
      </c>
      <c r="D13" s="235">
        <f>'8'!J27-E13-F13</f>
        <v>12500</v>
      </c>
      <c r="E13" s="235">
        <v>0</v>
      </c>
      <c r="F13" s="235">
        <v>0</v>
      </c>
    </row>
    <row r="14" spans="1:6" ht="15.95" customHeight="1">
      <c r="A14" s="237">
        <v>13010001</v>
      </c>
      <c r="B14" s="29" t="s">
        <v>431</v>
      </c>
      <c r="C14" s="235">
        <f t="shared" si="0"/>
        <v>80000</v>
      </c>
      <c r="D14" s="235">
        <f>'9'!J27-E14-F14</f>
        <v>80000</v>
      </c>
      <c r="E14" s="235">
        <v>0</v>
      </c>
      <c r="F14" s="235">
        <v>0</v>
      </c>
    </row>
    <row r="15" spans="1:6" ht="15.95" customHeight="1">
      <c r="A15" s="237">
        <v>14010001</v>
      </c>
      <c r="B15" s="29" t="s">
        <v>246</v>
      </c>
      <c r="C15" s="235">
        <f t="shared" si="0"/>
        <v>990</v>
      </c>
      <c r="D15" s="235">
        <f>'10'!J27-E15-F15</f>
        <v>990</v>
      </c>
      <c r="E15" s="235">
        <v>0</v>
      </c>
      <c r="F15" s="235">
        <v>0</v>
      </c>
    </row>
    <row r="16" spans="1:6" ht="15.95" customHeight="1">
      <c r="A16" s="237">
        <v>14020003</v>
      </c>
      <c r="B16" s="29" t="s">
        <v>247</v>
      </c>
      <c r="C16" s="235">
        <f t="shared" si="0"/>
        <v>8000</v>
      </c>
      <c r="D16" s="235">
        <f>'11'!J28-E16-F16</f>
        <v>8000</v>
      </c>
      <c r="E16" s="235">
        <v>0</v>
      </c>
      <c r="F16" s="235">
        <v>0</v>
      </c>
    </row>
    <row r="17" spans="1:6" ht="15.95" customHeight="1">
      <c r="A17" s="237">
        <v>14050001</v>
      </c>
      <c r="B17" s="29" t="s">
        <v>248</v>
      </c>
      <c r="C17" s="235">
        <f t="shared" si="0"/>
        <v>0</v>
      </c>
      <c r="D17" s="235">
        <f>'12'!J27-E17-F17</f>
        <v>0</v>
      </c>
      <c r="E17" s="235">
        <v>0</v>
      </c>
      <c r="F17" s="235">
        <v>0</v>
      </c>
    </row>
    <row r="18" spans="1:6" ht="15.95" customHeight="1">
      <c r="A18" s="237">
        <v>14050002</v>
      </c>
      <c r="B18" s="29" t="s">
        <v>249</v>
      </c>
      <c r="C18" s="235">
        <f t="shared" si="0"/>
        <v>1000</v>
      </c>
      <c r="D18" s="235">
        <f>'13'!J27-E18-F18</f>
        <v>1000</v>
      </c>
      <c r="E18" s="235">
        <v>0</v>
      </c>
      <c r="F18" s="235">
        <v>0</v>
      </c>
    </row>
    <row r="19" spans="1:6" ht="15.95" customHeight="1">
      <c r="A19" s="237">
        <v>14060001</v>
      </c>
      <c r="B19" s="29" t="s">
        <v>250</v>
      </c>
      <c r="C19" s="235">
        <f t="shared" si="0"/>
        <v>760</v>
      </c>
      <c r="D19" s="235">
        <f>'14'!J27-E19-F19</f>
        <v>760</v>
      </c>
      <c r="E19" s="235">
        <v>0</v>
      </c>
      <c r="F19" s="235">
        <v>0</v>
      </c>
    </row>
    <row r="20" spans="1:6" ht="15.95" customHeight="1">
      <c r="A20" s="237">
        <v>15010001</v>
      </c>
      <c r="B20" s="29" t="s">
        <v>251</v>
      </c>
      <c r="C20" s="235">
        <f t="shared" si="0"/>
        <v>1000</v>
      </c>
      <c r="D20" s="235">
        <f>'15'!J31-E20-F20</f>
        <v>1000</v>
      </c>
      <c r="E20" s="235">
        <v>0</v>
      </c>
      <c r="F20" s="235">
        <v>0</v>
      </c>
    </row>
    <row r="21" spans="1:6" ht="15.95" customHeight="1">
      <c r="A21" s="237">
        <v>16010001</v>
      </c>
      <c r="B21" s="29" t="s">
        <v>252</v>
      </c>
      <c r="C21" s="235">
        <f t="shared" si="0"/>
        <v>3000</v>
      </c>
      <c r="D21" s="235">
        <f>'16'!J40-E21-F21</f>
        <v>3000</v>
      </c>
      <c r="E21" s="235">
        <v>0</v>
      </c>
      <c r="F21" s="235">
        <v>0</v>
      </c>
    </row>
    <row r="22" spans="1:6" ht="15.95" customHeight="1">
      <c r="A22" s="237">
        <v>17010001</v>
      </c>
      <c r="B22" s="29" t="s">
        <v>253</v>
      </c>
      <c r="C22" s="235">
        <f t="shared" si="0"/>
        <v>1500</v>
      </c>
      <c r="D22" s="235">
        <f>'17'!J31-E22-F22</f>
        <v>1500</v>
      </c>
      <c r="E22" s="235">
        <v>0</v>
      </c>
      <c r="F22" s="235">
        <v>0</v>
      </c>
    </row>
    <row r="23" spans="1:6" ht="15.95" customHeight="1">
      <c r="A23" s="237">
        <v>18010001</v>
      </c>
      <c r="B23" s="29" t="s">
        <v>254</v>
      </c>
      <c r="C23" s="235">
        <f t="shared" si="0"/>
        <v>1109000</v>
      </c>
      <c r="D23" s="235">
        <f>'18'!J32-E23-F23</f>
        <v>2000</v>
      </c>
      <c r="E23" s="235">
        <v>757000</v>
      </c>
      <c r="F23" s="235">
        <f>350000</f>
        <v>350000</v>
      </c>
    </row>
    <row r="24" spans="1:6" ht="15.95" customHeight="1">
      <c r="A24" s="237">
        <v>19010001</v>
      </c>
      <c r="B24" s="29" t="s">
        <v>255</v>
      </c>
      <c r="C24" s="235">
        <f t="shared" si="0"/>
        <v>8000</v>
      </c>
      <c r="D24" s="235">
        <f>'19'!J33-E24-F24</f>
        <v>8000</v>
      </c>
      <c r="E24" s="235">
        <v>0</v>
      </c>
      <c r="F24" s="235">
        <v>0</v>
      </c>
    </row>
    <row r="25" spans="1:6" ht="15.95" customHeight="1">
      <c r="A25" s="237">
        <v>20010001</v>
      </c>
      <c r="B25" s="29" t="s">
        <v>256</v>
      </c>
      <c r="C25" s="235">
        <f t="shared" si="0"/>
        <v>990</v>
      </c>
      <c r="D25" s="235">
        <f>'20'!J44-E25-F25</f>
        <v>990</v>
      </c>
      <c r="E25" s="235">
        <v>0</v>
      </c>
      <c r="F25" s="235">
        <v>0</v>
      </c>
    </row>
    <row r="26" spans="1:6" ht="15.95" customHeight="1">
      <c r="A26" s="237">
        <v>20020002</v>
      </c>
      <c r="B26" s="29" t="s">
        <v>433</v>
      </c>
      <c r="C26" s="235">
        <f t="shared" si="0"/>
        <v>50250</v>
      </c>
      <c r="D26" s="235">
        <f>'21'!J27-E26-F26</f>
        <v>38990</v>
      </c>
      <c r="E26" s="235">
        <v>0</v>
      </c>
      <c r="F26" s="235">
        <f>4820+6440</f>
        <v>11260</v>
      </c>
    </row>
    <row r="27" spans="1:6" ht="15.95" customHeight="1">
      <c r="A27" s="237">
        <v>20020003</v>
      </c>
      <c r="B27" s="29" t="s">
        <v>434</v>
      </c>
      <c r="C27" s="235">
        <f t="shared" si="0"/>
        <v>5000</v>
      </c>
      <c r="D27" s="235">
        <f>'22'!J27-E27-F27</f>
        <v>5000</v>
      </c>
      <c r="E27" s="235">
        <v>0</v>
      </c>
      <c r="F27" s="235">
        <v>0</v>
      </c>
    </row>
    <row r="28" spans="1:6" ht="15.95" customHeight="1">
      <c r="A28" s="237">
        <v>20020004</v>
      </c>
      <c r="B28" s="29" t="s">
        <v>435</v>
      </c>
      <c r="C28" s="235">
        <f t="shared" si="0"/>
        <v>20800</v>
      </c>
      <c r="D28" s="235">
        <f>'23'!J28-E28-F28</f>
        <v>5450</v>
      </c>
      <c r="E28" s="235">
        <v>0</v>
      </c>
      <c r="F28" s="421">
        <f>10200+5150</f>
        <v>15350</v>
      </c>
    </row>
    <row r="29" spans="1:6" ht="15.95" customHeight="1">
      <c r="A29" s="237">
        <v>20030001</v>
      </c>
      <c r="B29" s="318" t="s">
        <v>436</v>
      </c>
      <c r="C29" s="235">
        <f t="shared" si="0"/>
        <v>10140</v>
      </c>
      <c r="D29" s="235">
        <f>'24'!J27-E29-F29</f>
        <v>5000</v>
      </c>
      <c r="E29" s="235">
        <v>0</v>
      </c>
      <c r="F29" s="235">
        <f>5140</f>
        <v>5140</v>
      </c>
    </row>
    <row r="30" spans="1:6" ht="15.95" customHeight="1">
      <c r="A30" s="237">
        <v>20030002</v>
      </c>
      <c r="B30" s="29" t="s">
        <v>437</v>
      </c>
      <c r="C30" s="235">
        <f t="shared" si="0"/>
        <v>23500</v>
      </c>
      <c r="D30" s="235">
        <f>'25'!J27-E30-F30</f>
        <v>14500</v>
      </c>
      <c r="E30" s="235">
        <v>0</v>
      </c>
      <c r="F30" s="235">
        <f>9000</f>
        <v>9000</v>
      </c>
    </row>
    <row r="31" spans="1:6" ht="15.95" customHeight="1">
      <c r="A31" s="237">
        <v>20030003</v>
      </c>
      <c r="B31" s="29" t="s">
        <v>438</v>
      </c>
      <c r="C31" s="235">
        <f t="shared" si="0"/>
        <v>40900</v>
      </c>
      <c r="D31" s="235">
        <f>'26'!J27-E31-F31</f>
        <v>35900</v>
      </c>
      <c r="E31" s="235">
        <v>0</v>
      </c>
      <c r="F31" s="235">
        <f>5000</f>
        <v>5000</v>
      </c>
    </row>
    <row r="32" spans="1:6" ht="15.95" customHeight="1">
      <c r="A32" s="237">
        <v>20030004</v>
      </c>
      <c r="B32" s="318" t="s">
        <v>585</v>
      </c>
      <c r="C32" s="235">
        <f t="shared" si="0"/>
        <v>13500</v>
      </c>
      <c r="D32" s="235">
        <f>'27'!J27-E32-F32</f>
        <v>13500</v>
      </c>
      <c r="E32" s="235">
        <v>0</v>
      </c>
      <c r="F32" s="235">
        <v>0</v>
      </c>
    </row>
    <row r="33" spans="1:6" ht="15.95" customHeight="1">
      <c r="A33" s="237">
        <v>20030005</v>
      </c>
      <c r="B33" s="29" t="s">
        <v>595</v>
      </c>
      <c r="C33" s="235">
        <f t="shared" si="0"/>
        <v>29580</v>
      </c>
      <c r="D33" s="235">
        <f>'28'!J27-E33-F33</f>
        <v>29580</v>
      </c>
      <c r="E33" s="235">
        <v>0</v>
      </c>
      <c r="F33" s="235">
        <v>0</v>
      </c>
    </row>
    <row r="34" spans="1:6" ht="15.95" customHeight="1">
      <c r="A34" s="237">
        <v>20030006</v>
      </c>
      <c r="B34" s="29" t="s">
        <v>596</v>
      </c>
      <c r="C34" s="235">
        <f t="shared" si="0"/>
        <v>3100</v>
      </c>
      <c r="D34" s="235">
        <f>'29'!J27-E34-F34</f>
        <v>3100</v>
      </c>
      <c r="E34" s="235">
        <v>0</v>
      </c>
      <c r="F34" s="235">
        <v>0</v>
      </c>
    </row>
    <row r="35" spans="1:6" ht="15.95" customHeight="1">
      <c r="A35" s="237">
        <v>20030007</v>
      </c>
      <c r="B35" s="29" t="s">
        <v>597</v>
      </c>
      <c r="C35" s="235">
        <f t="shared" si="0"/>
        <v>23000</v>
      </c>
      <c r="D35" s="235">
        <f>'30'!J27-E35-F35</f>
        <v>3000</v>
      </c>
      <c r="E35" s="235">
        <v>0</v>
      </c>
      <c r="F35" s="235">
        <f>20000</f>
        <v>20000</v>
      </c>
    </row>
    <row r="36" spans="1:6" ht="15.95" customHeight="1">
      <c r="A36" s="237">
        <v>21010001</v>
      </c>
      <c r="B36" s="29" t="s">
        <v>266</v>
      </c>
      <c r="C36" s="235">
        <f t="shared" si="0"/>
        <v>2000</v>
      </c>
      <c r="D36" s="235">
        <f>'31'!J30-E36-F36</f>
        <v>2000</v>
      </c>
      <c r="E36" s="235">
        <v>0</v>
      </c>
      <c r="F36" s="235">
        <v>0</v>
      </c>
    </row>
    <row r="37" spans="1:6" ht="15.95" customHeight="1">
      <c r="A37" s="237">
        <v>22010001</v>
      </c>
      <c r="B37" s="29" t="s">
        <v>267</v>
      </c>
      <c r="C37" s="235">
        <f t="shared" si="0"/>
        <v>0</v>
      </c>
      <c r="D37" s="235">
        <f>'32'!J27-E37-F37</f>
        <v>0</v>
      </c>
      <c r="E37" s="235">
        <v>0</v>
      </c>
      <c r="F37" s="235">
        <v>0</v>
      </c>
    </row>
    <row r="38" spans="1:6" ht="15.95" customHeight="1">
      <c r="A38" s="237">
        <v>23010001</v>
      </c>
      <c r="B38" s="29" t="s">
        <v>268</v>
      </c>
      <c r="C38" s="235">
        <f t="shared" si="0"/>
        <v>1500</v>
      </c>
      <c r="D38" s="235">
        <f>'33'!J31-E38-F38</f>
        <v>1500</v>
      </c>
      <c r="E38" s="235">
        <v>0</v>
      </c>
      <c r="F38" s="235">
        <v>0</v>
      </c>
    </row>
    <row r="39" spans="1:6" ht="15.95" customHeight="1">
      <c r="A39" s="237">
        <v>24010001</v>
      </c>
      <c r="B39" s="29" t="s">
        <v>269</v>
      </c>
      <c r="C39" s="235">
        <f t="shared" si="0"/>
        <v>36080</v>
      </c>
      <c r="D39" s="235">
        <f>'34'!J27-E39-F39</f>
        <v>36080</v>
      </c>
      <c r="E39" s="235">
        <v>0</v>
      </c>
      <c r="F39" s="235">
        <v>0</v>
      </c>
    </row>
    <row r="40" spans="1:6" ht="15.95" customHeight="1">
      <c r="A40" s="237">
        <v>26010001</v>
      </c>
      <c r="B40" s="29" t="s">
        <v>270</v>
      </c>
      <c r="C40" s="235">
        <f t="shared" si="0"/>
        <v>500</v>
      </c>
      <c r="D40" s="235">
        <f>'35'!J27-E40-F40</f>
        <v>500</v>
      </c>
      <c r="E40" s="235">
        <v>0</v>
      </c>
      <c r="F40" s="235">
        <v>0</v>
      </c>
    </row>
    <row r="41" spans="1:6" ht="15.95" customHeight="1">
      <c r="A41" s="237">
        <v>27010001</v>
      </c>
      <c r="B41" s="29" t="s">
        <v>271</v>
      </c>
      <c r="C41" s="235">
        <f t="shared" si="0"/>
        <v>1000</v>
      </c>
      <c r="D41" s="235">
        <f>'36'!J27-E41-F41</f>
        <v>1000</v>
      </c>
      <c r="E41" s="235">
        <v>0</v>
      </c>
      <c r="F41" s="235">
        <v>0</v>
      </c>
    </row>
    <row r="42" spans="1:6" ht="15.95" customHeight="1">
      <c r="A42" s="237">
        <v>28010001</v>
      </c>
      <c r="B42" s="29" t="s">
        <v>272</v>
      </c>
      <c r="C42" s="235">
        <f t="shared" si="0"/>
        <v>2000</v>
      </c>
      <c r="D42" s="235">
        <f>'37'!J27-E42-F42</f>
        <v>2000</v>
      </c>
      <c r="E42" s="235">
        <v>0</v>
      </c>
      <c r="F42" s="235">
        <v>0</v>
      </c>
    </row>
    <row r="43" spans="1:6" s="61" customFormat="1" ht="15.95" customHeight="1">
      <c r="A43" s="116"/>
      <c r="B43" s="241" t="s">
        <v>454</v>
      </c>
      <c r="C43" s="242">
        <f>SUM(C7:C42)</f>
        <v>1650930</v>
      </c>
      <c r="D43" s="242">
        <f>SUM(D7:D42)</f>
        <v>343180</v>
      </c>
      <c r="E43" s="242">
        <f>SUM(E7:E42)</f>
        <v>757000</v>
      </c>
      <c r="F43" s="242">
        <f>SUM(F7:F42)</f>
        <v>550750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1.31" right="0.32" top="0.56000000000000005" bottom="0.53" header="0.5" footer="0.5"/>
  <pageSetup paperSize="9" scale="71" orientation="landscape" r:id="rId1"/>
  <headerFooter alignWithMargins="0">
    <oddFooter>&amp;R48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D17" sqref="D17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8" width="15.7109375" customWidth="1"/>
    <col min="9" max="9" width="8.7109375" customWidth="1"/>
    <col min="258" max="258" width="46.7109375" customWidth="1"/>
    <col min="259" max="259" width="18" customWidth="1"/>
    <col min="260" max="260" width="12.42578125" customWidth="1"/>
    <col min="263" max="264" width="15.7109375" customWidth="1"/>
    <col min="265" max="265" width="8.7109375" customWidth="1"/>
    <col min="514" max="514" width="46.7109375" customWidth="1"/>
    <col min="515" max="515" width="18" customWidth="1"/>
    <col min="516" max="516" width="12.42578125" customWidth="1"/>
    <col min="519" max="520" width="15.7109375" customWidth="1"/>
    <col min="521" max="521" width="8.7109375" customWidth="1"/>
    <col min="770" max="770" width="46.7109375" customWidth="1"/>
    <col min="771" max="771" width="18" customWidth="1"/>
    <col min="772" max="772" width="12.42578125" customWidth="1"/>
    <col min="775" max="776" width="15.7109375" customWidth="1"/>
    <col min="777" max="777" width="8.7109375" customWidth="1"/>
    <col min="1026" max="1026" width="46.7109375" customWidth="1"/>
    <col min="1027" max="1027" width="18" customWidth="1"/>
    <col min="1028" max="1028" width="12.42578125" customWidth="1"/>
    <col min="1031" max="1032" width="15.7109375" customWidth="1"/>
    <col min="1033" max="1033" width="8.7109375" customWidth="1"/>
    <col min="1282" max="1282" width="46.7109375" customWidth="1"/>
    <col min="1283" max="1283" width="18" customWidth="1"/>
    <col min="1284" max="1284" width="12.42578125" customWidth="1"/>
    <col min="1287" max="1288" width="15.7109375" customWidth="1"/>
    <col min="1289" max="1289" width="8.7109375" customWidth="1"/>
    <col min="1538" max="1538" width="46.7109375" customWidth="1"/>
    <col min="1539" max="1539" width="18" customWidth="1"/>
    <col min="1540" max="1540" width="12.42578125" customWidth="1"/>
    <col min="1543" max="1544" width="15.7109375" customWidth="1"/>
    <col min="1545" max="1545" width="8.7109375" customWidth="1"/>
    <col min="1794" max="1794" width="46.7109375" customWidth="1"/>
    <col min="1795" max="1795" width="18" customWidth="1"/>
    <col min="1796" max="1796" width="12.42578125" customWidth="1"/>
    <col min="1799" max="1800" width="15.7109375" customWidth="1"/>
    <col min="1801" max="1801" width="8.7109375" customWidth="1"/>
    <col min="2050" max="2050" width="46.7109375" customWidth="1"/>
    <col min="2051" max="2051" width="18" customWidth="1"/>
    <col min="2052" max="2052" width="12.42578125" customWidth="1"/>
    <col min="2055" max="2056" width="15.7109375" customWidth="1"/>
    <col min="2057" max="2057" width="8.7109375" customWidth="1"/>
    <col min="2306" max="2306" width="46.7109375" customWidth="1"/>
    <col min="2307" max="2307" width="18" customWidth="1"/>
    <col min="2308" max="2308" width="12.42578125" customWidth="1"/>
    <col min="2311" max="2312" width="15.7109375" customWidth="1"/>
    <col min="2313" max="2313" width="8.7109375" customWidth="1"/>
    <col min="2562" max="2562" width="46.7109375" customWidth="1"/>
    <col min="2563" max="2563" width="18" customWidth="1"/>
    <col min="2564" max="2564" width="12.42578125" customWidth="1"/>
    <col min="2567" max="2568" width="15.7109375" customWidth="1"/>
    <col min="2569" max="2569" width="8.7109375" customWidth="1"/>
    <col min="2818" max="2818" width="46.7109375" customWidth="1"/>
    <col min="2819" max="2819" width="18" customWidth="1"/>
    <col min="2820" max="2820" width="12.42578125" customWidth="1"/>
    <col min="2823" max="2824" width="15.7109375" customWidth="1"/>
    <col min="2825" max="2825" width="8.7109375" customWidth="1"/>
    <col min="3074" max="3074" width="46.7109375" customWidth="1"/>
    <col min="3075" max="3075" width="18" customWidth="1"/>
    <col min="3076" max="3076" width="12.42578125" customWidth="1"/>
    <col min="3079" max="3080" width="15.7109375" customWidth="1"/>
    <col min="3081" max="3081" width="8.7109375" customWidth="1"/>
    <col min="3330" max="3330" width="46.7109375" customWidth="1"/>
    <col min="3331" max="3331" width="18" customWidth="1"/>
    <col min="3332" max="3332" width="12.42578125" customWidth="1"/>
    <col min="3335" max="3336" width="15.7109375" customWidth="1"/>
    <col min="3337" max="3337" width="8.7109375" customWidth="1"/>
    <col min="3586" max="3586" width="46.7109375" customWidth="1"/>
    <col min="3587" max="3587" width="18" customWidth="1"/>
    <col min="3588" max="3588" width="12.42578125" customWidth="1"/>
    <col min="3591" max="3592" width="15.7109375" customWidth="1"/>
    <col min="3593" max="3593" width="8.7109375" customWidth="1"/>
    <col min="3842" max="3842" width="46.7109375" customWidth="1"/>
    <col min="3843" max="3843" width="18" customWidth="1"/>
    <col min="3844" max="3844" width="12.42578125" customWidth="1"/>
    <col min="3847" max="3848" width="15.7109375" customWidth="1"/>
    <col min="3849" max="3849" width="8.7109375" customWidth="1"/>
    <col min="4098" max="4098" width="46.7109375" customWidth="1"/>
    <col min="4099" max="4099" width="18" customWidth="1"/>
    <col min="4100" max="4100" width="12.42578125" customWidth="1"/>
    <col min="4103" max="4104" width="15.7109375" customWidth="1"/>
    <col min="4105" max="4105" width="8.7109375" customWidth="1"/>
    <col min="4354" max="4354" width="46.7109375" customWidth="1"/>
    <col min="4355" max="4355" width="18" customWidth="1"/>
    <col min="4356" max="4356" width="12.42578125" customWidth="1"/>
    <col min="4359" max="4360" width="15.7109375" customWidth="1"/>
    <col min="4361" max="4361" width="8.7109375" customWidth="1"/>
    <col min="4610" max="4610" width="46.7109375" customWidth="1"/>
    <col min="4611" max="4611" width="18" customWidth="1"/>
    <col min="4612" max="4612" width="12.42578125" customWidth="1"/>
    <col min="4615" max="4616" width="15.7109375" customWidth="1"/>
    <col min="4617" max="4617" width="8.7109375" customWidth="1"/>
    <col min="4866" max="4866" width="46.7109375" customWidth="1"/>
    <col min="4867" max="4867" width="18" customWidth="1"/>
    <col min="4868" max="4868" width="12.42578125" customWidth="1"/>
    <col min="4871" max="4872" width="15.7109375" customWidth="1"/>
    <col min="4873" max="4873" width="8.7109375" customWidth="1"/>
    <col min="5122" max="5122" width="46.7109375" customWidth="1"/>
    <col min="5123" max="5123" width="18" customWidth="1"/>
    <col min="5124" max="5124" width="12.42578125" customWidth="1"/>
    <col min="5127" max="5128" width="15.7109375" customWidth="1"/>
    <col min="5129" max="5129" width="8.7109375" customWidth="1"/>
    <col min="5378" max="5378" width="46.7109375" customWidth="1"/>
    <col min="5379" max="5379" width="18" customWidth="1"/>
    <col min="5380" max="5380" width="12.42578125" customWidth="1"/>
    <col min="5383" max="5384" width="15.7109375" customWidth="1"/>
    <col min="5385" max="5385" width="8.7109375" customWidth="1"/>
    <col min="5634" max="5634" width="46.7109375" customWidth="1"/>
    <col min="5635" max="5635" width="18" customWidth="1"/>
    <col min="5636" max="5636" width="12.42578125" customWidth="1"/>
    <col min="5639" max="5640" width="15.7109375" customWidth="1"/>
    <col min="5641" max="5641" width="8.7109375" customWidth="1"/>
    <col min="5890" max="5890" width="46.7109375" customWidth="1"/>
    <col min="5891" max="5891" width="18" customWidth="1"/>
    <col min="5892" max="5892" width="12.42578125" customWidth="1"/>
    <col min="5895" max="5896" width="15.7109375" customWidth="1"/>
    <col min="5897" max="5897" width="8.7109375" customWidth="1"/>
    <col min="6146" max="6146" width="46.7109375" customWidth="1"/>
    <col min="6147" max="6147" width="18" customWidth="1"/>
    <col min="6148" max="6148" width="12.42578125" customWidth="1"/>
    <col min="6151" max="6152" width="15.7109375" customWidth="1"/>
    <col min="6153" max="6153" width="8.7109375" customWidth="1"/>
    <col min="6402" max="6402" width="46.7109375" customWidth="1"/>
    <col min="6403" max="6403" width="18" customWidth="1"/>
    <col min="6404" max="6404" width="12.42578125" customWidth="1"/>
    <col min="6407" max="6408" width="15.7109375" customWidth="1"/>
    <col min="6409" max="6409" width="8.7109375" customWidth="1"/>
    <col min="6658" max="6658" width="46.7109375" customWidth="1"/>
    <col min="6659" max="6659" width="18" customWidth="1"/>
    <col min="6660" max="6660" width="12.42578125" customWidth="1"/>
    <col min="6663" max="6664" width="15.7109375" customWidth="1"/>
    <col min="6665" max="6665" width="8.7109375" customWidth="1"/>
    <col min="6914" max="6914" width="46.7109375" customWidth="1"/>
    <col min="6915" max="6915" width="18" customWidth="1"/>
    <col min="6916" max="6916" width="12.42578125" customWidth="1"/>
    <col min="6919" max="6920" width="15.7109375" customWidth="1"/>
    <col min="6921" max="6921" width="8.7109375" customWidth="1"/>
    <col min="7170" max="7170" width="46.7109375" customWidth="1"/>
    <col min="7171" max="7171" width="18" customWidth="1"/>
    <col min="7172" max="7172" width="12.42578125" customWidth="1"/>
    <col min="7175" max="7176" width="15.7109375" customWidth="1"/>
    <col min="7177" max="7177" width="8.7109375" customWidth="1"/>
    <col min="7426" max="7426" width="46.7109375" customWidth="1"/>
    <col min="7427" max="7427" width="18" customWidth="1"/>
    <col min="7428" max="7428" width="12.42578125" customWidth="1"/>
    <col min="7431" max="7432" width="15.7109375" customWidth="1"/>
    <col min="7433" max="7433" width="8.7109375" customWidth="1"/>
    <col min="7682" max="7682" width="46.7109375" customWidth="1"/>
    <col min="7683" max="7683" width="18" customWidth="1"/>
    <col min="7684" max="7684" width="12.42578125" customWidth="1"/>
    <col min="7687" max="7688" width="15.7109375" customWidth="1"/>
    <col min="7689" max="7689" width="8.7109375" customWidth="1"/>
    <col min="7938" max="7938" width="46.7109375" customWidth="1"/>
    <col min="7939" max="7939" width="18" customWidth="1"/>
    <col min="7940" max="7940" width="12.42578125" customWidth="1"/>
    <col min="7943" max="7944" width="15.7109375" customWidth="1"/>
    <col min="7945" max="7945" width="8.7109375" customWidth="1"/>
    <col min="8194" max="8194" width="46.7109375" customWidth="1"/>
    <col min="8195" max="8195" width="18" customWidth="1"/>
    <col min="8196" max="8196" width="12.42578125" customWidth="1"/>
    <col min="8199" max="8200" width="15.7109375" customWidth="1"/>
    <col min="8201" max="8201" width="8.7109375" customWidth="1"/>
    <col min="8450" max="8450" width="46.7109375" customWidth="1"/>
    <col min="8451" max="8451" width="18" customWidth="1"/>
    <col min="8452" max="8452" width="12.42578125" customWidth="1"/>
    <col min="8455" max="8456" width="15.7109375" customWidth="1"/>
    <col min="8457" max="8457" width="8.7109375" customWidth="1"/>
    <col min="8706" max="8706" width="46.7109375" customWidth="1"/>
    <col min="8707" max="8707" width="18" customWidth="1"/>
    <col min="8708" max="8708" width="12.42578125" customWidth="1"/>
    <col min="8711" max="8712" width="15.7109375" customWidth="1"/>
    <col min="8713" max="8713" width="8.7109375" customWidth="1"/>
    <col min="8962" max="8962" width="46.7109375" customWidth="1"/>
    <col min="8963" max="8963" width="18" customWidth="1"/>
    <col min="8964" max="8964" width="12.42578125" customWidth="1"/>
    <col min="8967" max="8968" width="15.7109375" customWidth="1"/>
    <col min="8969" max="8969" width="8.7109375" customWidth="1"/>
    <col min="9218" max="9218" width="46.7109375" customWidth="1"/>
    <col min="9219" max="9219" width="18" customWidth="1"/>
    <col min="9220" max="9220" width="12.42578125" customWidth="1"/>
    <col min="9223" max="9224" width="15.7109375" customWidth="1"/>
    <col min="9225" max="9225" width="8.7109375" customWidth="1"/>
    <col min="9474" max="9474" width="46.7109375" customWidth="1"/>
    <col min="9475" max="9475" width="18" customWidth="1"/>
    <col min="9476" max="9476" width="12.42578125" customWidth="1"/>
    <col min="9479" max="9480" width="15.7109375" customWidth="1"/>
    <col min="9481" max="9481" width="8.7109375" customWidth="1"/>
    <col min="9730" max="9730" width="46.7109375" customWidth="1"/>
    <col min="9731" max="9731" width="18" customWidth="1"/>
    <col min="9732" max="9732" width="12.42578125" customWidth="1"/>
    <col min="9735" max="9736" width="15.7109375" customWidth="1"/>
    <col min="9737" max="9737" width="8.7109375" customWidth="1"/>
    <col min="9986" max="9986" width="46.7109375" customWidth="1"/>
    <col min="9987" max="9987" width="18" customWidth="1"/>
    <col min="9988" max="9988" width="12.42578125" customWidth="1"/>
    <col min="9991" max="9992" width="15.7109375" customWidth="1"/>
    <col min="9993" max="9993" width="8.7109375" customWidth="1"/>
    <col min="10242" max="10242" width="46.7109375" customWidth="1"/>
    <col min="10243" max="10243" width="18" customWidth="1"/>
    <col min="10244" max="10244" width="12.42578125" customWidth="1"/>
    <col min="10247" max="10248" width="15.7109375" customWidth="1"/>
    <col min="10249" max="10249" width="8.7109375" customWidth="1"/>
    <col min="10498" max="10498" width="46.7109375" customWidth="1"/>
    <col min="10499" max="10499" width="18" customWidth="1"/>
    <col min="10500" max="10500" width="12.42578125" customWidth="1"/>
    <col min="10503" max="10504" width="15.7109375" customWidth="1"/>
    <col min="10505" max="10505" width="8.7109375" customWidth="1"/>
    <col min="10754" max="10754" width="46.7109375" customWidth="1"/>
    <col min="10755" max="10755" width="18" customWidth="1"/>
    <col min="10756" max="10756" width="12.42578125" customWidth="1"/>
    <col min="10759" max="10760" width="15.7109375" customWidth="1"/>
    <col min="10761" max="10761" width="8.7109375" customWidth="1"/>
    <col min="11010" max="11010" width="46.7109375" customWidth="1"/>
    <col min="11011" max="11011" width="18" customWidth="1"/>
    <col min="11012" max="11012" width="12.42578125" customWidth="1"/>
    <col min="11015" max="11016" width="15.7109375" customWidth="1"/>
    <col min="11017" max="11017" width="8.7109375" customWidth="1"/>
    <col min="11266" max="11266" width="46.7109375" customWidth="1"/>
    <col min="11267" max="11267" width="18" customWidth="1"/>
    <col min="11268" max="11268" width="12.42578125" customWidth="1"/>
    <col min="11271" max="11272" width="15.7109375" customWidth="1"/>
    <col min="11273" max="11273" width="8.7109375" customWidth="1"/>
    <col min="11522" max="11522" width="46.7109375" customWidth="1"/>
    <col min="11523" max="11523" width="18" customWidth="1"/>
    <col min="11524" max="11524" width="12.42578125" customWidth="1"/>
    <col min="11527" max="11528" width="15.7109375" customWidth="1"/>
    <col min="11529" max="11529" width="8.7109375" customWidth="1"/>
    <col min="11778" max="11778" width="46.7109375" customWidth="1"/>
    <col min="11779" max="11779" width="18" customWidth="1"/>
    <col min="11780" max="11780" width="12.42578125" customWidth="1"/>
    <col min="11783" max="11784" width="15.7109375" customWidth="1"/>
    <col min="11785" max="11785" width="8.7109375" customWidth="1"/>
    <col min="12034" max="12034" width="46.7109375" customWidth="1"/>
    <col min="12035" max="12035" width="18" customWidth="1"/>
    <col min="12036" max="12036" width="12.42578125" customWidth="1"/>
    <col min="12039" max="12040" width="15.7109375" customWidth="1"/>
    <col min="12041" max="12041" width="8.7109375" customWidth="1"/>
    <col min="12290" max="12290" width="46.7109375" customWidth="1"/>
    <col min="12291" max="12291" width="18" customWidth="1"/>
    <col min="12292" max="12292" width="12.42578125" customWidth="1"/>
    <col min="12295" max="12296" width="15.7109375" customWidth="1"/>
    <col min="12297" max="12297" width="8.7109375" customWidth="1"/>
    <col min="12546" max="12546" width="46.7109375" customWidth="1"/>
    <col min="12547" max="12547" width="18" customWidth="1"/>
    <col min="12548" max="12548" width="12.42578125" customWidth="1"/>
    <col min="12551" max="12552" width="15.7109375" customWidth="1"/>
    <col min="12553" max="12553" width="8.7109375" customWidth="1"/>
    <col min="12802" max="12802" width="46.7109375" customWidth="1"/>
    <col min="12803" max="12803" width="18" customWidth="1"/>
    <col min="12804" max="12804" width="12.42578125" customWidth="1"/>
    <col min="12807" max="12808" width="15.7109375" customWidth="1"/>
    <col min="12809" max="12809" width="8.7109375" customWidth="1"/>
    <col min="13058" max="13058" width="46.7109375" customWidth="1"/>
    <col min="13059" max="13059" width="18" customWidth="1"/>
    <col min="13060" max="13060" width="12.42578125" customWidth="1"/>
    <col min="13063" max="13064" width="15.7109375" customWidth="1"/>
    <col min="13065" max="13065" width="8.7109375" customWidth="1"/>
    <col min="13314" max="13314" width="46.7109375" customWidth="1"/>
    <col min="13315" max="13315" width="18" customWidth="1"/>
    <col min="13316" max="13316" width="12.42578125" customWidth="1"/>
    <col min="13319" max="13320" width="15.7109375" customWidth="1"/>
    <col min="13321" max="13321" width="8.7109375" customWidth="1"/>
    <col min="13570" max="13570" width="46.7109375" customWidth="1"/>
    <col min="13571" max="13571" width="18" customWidth="1"/>
    <col min="13572" max="13572" width="12.42578125" customWidth="1"/>
    <col min="13575" max="13576" width="15.7109375" customWidth="1"/>
    <col min="13577" max="13577" width="8.7109375" customWidth="1"/>
    <col min="13826" max="13826" width="46.7109375" customWidth="1"/>
    <col min="13827" max="13827" width="18" customWidth="1"/>
    <col min="13828" max="13828" width="12.42578125" customWidth="1"/>
    <col min="13831" max="13832" width="15.7109375" customWidth="1"/>
    <col min="13833" max="13833" width="8.7109375" customWidth="1"/>
    <col min="14082" max="14082" width="46.7109375" customWidth="1"/>
    <col min="14083" max="14083" width="18" customWidth="1"/>
    <col min="14084" max="14084" width="12.42578125" customWidth="1"/>
    <col min="14087" max="14088" width="15.7109375" customWidth="1"/>
    <col min="14089" max="14089" width="8.7109375" customWidth="1"/>
    <col min="14338" max="14338" width="46.7109375" customWidth="1"/>
    <col min="14339" max="14339" width="18" customWidth="1"/>
    <col min="14340" max="14340" width="12.42578125" customWidth="1"/>
    <col min="14343" max="14344" width="15.7109375" customWidth="1"/>
    <col min="14345" max="14345" width="8.7109375" customWidth="1"/>
    <col min="14594" max="14594" width="46.7109375" customWidth="1"/>
    <col min="14595" max="14595" width="18" customWidth="1"/>
    <col min="14596" max="14596" width="12.42578125" customWidth="1"/>
    <col min="14599" max="14600" width="15.7109375" customWidth="1"/>
    <col min="14601" max="14601" width="8.7109375" customWidth="1"/>
    <col min="14850" max="14850" width="46.7109375" customWidth="1"/>
    <col min="14851" max="14851" width="18" customWidth="1"/>
    <col min="14852" max="14852" width="12.42578125" customWidth="1"/>
    <col min="14855" max="14856" width="15.7109375" customWidth="1"/>
    <col min="14857" max="14857" width="8.7109375" customWidth="1"/>
    <col min="15106" max="15106" width="46.7109375" customWidth="1"/>
    <col min="15107" max="15107" width="18" customWidth="1"/>
    <col min="15108" max="15108" width="12.42578125" customWidth="1"/>
    <col min="15111" max="15112" width="15.7109375" customWidth="1"/>
    <col min="15113" max="15113" width="8.7109375" customWidth="1"/>
    <col min="15362" max="15362" width="46.7109375" customWidth="1"/>
    <col min="15363" max="15363" width="18" customWidth="1"/>
    <col min="15364" max="15364" width="12.42578125" customWidth="1"/>
    <col min="15367" max="15368" width="15.7109375" customWidth="1"/>
    <col min="15369" max="15369" width="8.7109375" customWidth="1"/>
    <col min="15618" max="15618" width="46.7109375" customWidth="1"/>
    <col min="15619" max="15619" width="18" customWidth="1"/>
    <col min="15620" max="15620" width="12.42578125" customWidth="1"/>
    <col min="15623" max="15624" width="15.7109375" customWidth="1"/>
    <col min="15625" max="15625" width="8.7109375" customWidth="1"/>
    <col min="15874" max="15874" width="46.7109375" customWidth="1"/>
    <col min="15875" max="15875" width="18" customWidth="1"/>
    <col min="15876" max="15876" width="12.42578125" customWidth="1"/>
    <col min="15879" max="15880" width="15.7109375" customWidth="1"/>
    <col min="15881" max="15881" width="8.7109375" customWidth="1"/>
    <col min="16130" max="16130" width="46.7109375" customWidth="1"/>
    <col min="16131" max="16131" width="18" customWidth="1"/>
    <col min="16132" max="16132" width="12.42578125" customWidth="1"/>
    <col min="16135" max="16136" width="15.7109375" customWidth="1"/>
    <col min="16137" max="16137" width="8.7109375" customWidth="1"/>
  </cols>
  <sheetData>
    <row r="1" spans="1:8" ht="15" customHeight="1">
      <c r="A1" s="48" t="s">
        <v>286</v>
      </c>
      <c r="C1" s="48"/>
    </row>
    <row r="2" spans="1:8" ht="15" customHeight="1">
      <c r="A2" s="48"/>
      <c r="C2" s="317">
        <f>Rashodi!H8/(Prihodi!G216-Prihodi!G48-Prihodi!G50-Prihodi!G54-Prihodi!G55-Prihodi!G135-Prihodi!G61-Prihodi!G80-Prihodi!G83-Prihodi!G87-Prihodi!G98-Prihodi!G109-Prihodi!G114-Prihodi!G116-Prihodi!G123-Prihodi!G156-Prihodi!G157-Prihodi!G158-Prihodi!G164-Prihodi!G165-Prihodi!G166-Prihodi!G168-Prihodi!G170-Prihodi!G172-Prihodi!G182-Prihodi!G189)*100</f>
        <v>1.7506166945173867</v>
      </c>
    </row>
    <row r="3" spans="1:8" ht="15" customHeight="1">
      <c r="A3" s="731" t="s">
        <v>795</v>
      </c>
      <c r="C3" s="317"/>
    </row>
    <row r="4" spans="1:8" ht="27" customHeight="1">
      <c r="A4" s="794" t="str">
        <f>CONCATENATE("     U tekuću pričuvu Vlade izdvojit će se ",TEXT(C2,"#.##0,00"),"% prihoda bez namjenskih prihoda, vlastitih prihoda i primitaka Proračuna.")</f>
        <v xml:space="preserve">     U tekuću pričuvu Vlade izdvojit će se 1,75% prihoda bez namjenskih prihoda, vlastitih prihoda i primitaka Proračuna.</v>
      </c>
      <c r="B4" s="795"/>
      <c r="C4" s="795"/>
    </row>
    <row r="5" spans="1:8" ht="15" customHeight="1">
      <c r="G5" s="61"/>
      <c r="H5" s="61"/>
    </row>
    <row r="6" spans="1:8" ht="15" customHeight="1">
      <c r="A6" s="48" t="s">
        <v>287</v>
      </c>
      <c r="C6" s="48"/>
    </row>
    <row r="7" spans="1:8" ht="15" customHeight="1">
      <c r="A7" s="48"/>
      <c r="C7" s="48"/>
      <c r="E7" s="315"/>
    </row>
    <row r="8" spans="1:8" ht="15" customHeight="1">
      <c r="A8" s="796" t="s">
        <v>796</v>
      </c>
      <c r="B8" s="769"/>
      <c r="C8" s="769"/>
      <c r="E8" s="316"/>
    </row>
    <row r="9" spans="1:8" ht="15" customHeight="1">
      <c r="A9" s="769"/>
      <c r="B9" s="769"/>
      <c r="C9" s="769"/>
    </row>
    <row r="14" spans="1:8" ht="15" customHeight="1">
      <c r="A14" t="s">
        <v>200</v>
      </c>
    </row>
    <row r="15" spans="1:8" ht="15" customHeight="1">
      <c r="A15" t="s">
        <v>201</v>
      </c>
    </row>
    <row r="16" spans="1:8" ht="15" customHeight="1">
      <c r="A16" t="s">
        <v>202</v>
      </c>
    </row>
    <row r="17" spans="1:3" ht="15" customHeight="1">
      <c r="A17" t="s">
        <v>203</v>
      </c>
    </row>
    <row r="18" spans="1:3" ht="15" customHeight="1">
      <c r="A18" t="s">
        <v>809</v>
      </c>
    </row>
    <row r="19" spans="1:3" ht="15" customHeight="1">
      <c r="A19" t="s">
        <v>810</v>
      </c>
    </row>
    <row r="21" spans="1:3" ht="15" customHeight="1">
      <c r="C21" s="49" t="s">
        <v>288</v>
      </c>
    </row>
    <row r="22" spans="1:3" ht="15" customHeight="1">
      <c r="C22" s="76"/>
    </row>
    <row r="23" spans="1:3" ht="15" customHeight="1">
      <c r="C23" s="746" t="s">
        <v>804</v>
      </c>
    </row>
    <row r="25" spans="1:3" ht="15" customHeight="1">
      <c r="C25" s="49"/>
    </row>
    <row r="28" spans="1:3" ht="15" customHeight="1">
      <c r="C28" s="49"/>
    </row>
    <row r="38" ht="12.75"/>
  </sheetData>
  <mergeCells count="2">
    <mergeCell ref="A4:C4"/>
    <mergeCell ref="A8:C9"/>
  </mergeCells>
  <phoneticPr fontId="0" type="noConversion"/>
  <pageMargins left="0.89" right="0.75" top="1" bottom="1" header="0.5" footer="0.5"/>
  <pageSetup paperSize="9" orientation="portrait" r:id="rId1"/>
  <headerFooter alignWithMargins="0"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L219"/>
  <sheetViews>
    <sheetView topLeftCell="C149" zoomScaleNormal="100" workbookViewId="0">
      <selection activeCell="C167" sqref="C167"/>
    </sheetView>
  </sheetViews>
  <sheetFormatPr defaultRowHeight="12.75"/>
  <cols>
    <col min="1" max="1" width="0.42578125" hidden="1" customWidth="1"/>
    <col min="2" max="2" width="13.28515625" style="49" customWidth="1"/>
    <col min="3" max="3" width="53.140625" customWidth="1"/>
    <col min="4" max="4" width="12" customWidth="1"/>
    <col min="5" max="7" width="12.7109375" customWidth="1"/>
    <col min="8" max="8" width="7.7109375" customWidth="1"/>
    <col min="9" max="9" width="11" style="282" customWidth="1"/>
    <col min="10" max="10" width="15.28515625" style="282" customWidth="1"/>
    <col min="11" max="12" width="9.140625" style="282"/>
  </cols>
  <sheetData>
    <row r="2" spans="2:12" ht="18.75" thickBot="1">
      <c r="B2" s="772" t="s">
        <v>76</v>
      </c>
      <c r="C2" s="772"/>
      <c r="D2" s="772"/>
      <c r="E2" s="772"/>
      <c r="F2" s="772"/>
      <c r="G2" s="773"/>
      <c r="H2" s="773"/>
    </row>
    <row r="3" spans="2:12" ht="76.5" customHeight="1">
      <c r="B3" s="73" t="s">
        <v>184</v>
      </c>
      <c r="C3" s="74" t="s">
        <v>80</v>
      </c>
      <c r="D3" s="123" t="s">
        <v>653</v>
      </c>
      <c r="E3" s="123" t="s">
        <v>714</v>
      </c>
      <c r="F3" s="123" t="s">
        <v>715</v>
      </c>
      <c r="G3" s="123" t="s">
        <v>789</v>
      </c>
      <c r="H3" s="319" t="s">
        <v>691</v>
      </c>
      <c r="I3" s="402"/>
    </row>
    <row r="4" spans="2:12" ht="12.75" customHeight="1">
      <c r="B4" s="227">
        <v>1</v>
      </c>
      <c r="C4" s="228">
        <v>2</v>
      </c>
      <c r="D4" s="228">
        <v>3</v>
      </c>
      <c r="E4" s="228">
        <v>4</v>
      </c>
      <c r="F4" s="399">
        <v>5</v>
      </c>
      <c r="G4" s="280">
        <v>6</v>
      </c>
      <c r="H4" s="281">
        <v>7</v>
      </c>
    </row>
    <row r="5" spans="2:12" s="46" customFormat="1" ht="17.100000000000001" customHeight="1">
      <c r="B5" s="320">
        <v>710000</v>
      </c>
      <c r="C5" s="321" t="s">
        <v>183</v>
      </c>
      <c r="D5" s="322">
        <f>D6+D15+D19+D27+D37+D46+D51</f>
        <v>37013190</v>
      </c>
      <c r="E5" s="322">
        <f>E6+E15+E19+E27+E37+E46+E51</f>
        <v>37013190</v>
      </c>
      <c r="F5" s="322">
        <f>F6+F15+F19+F27+F37+F46+F51</f>
        <v>27313693</v>
      </c>
      <c r="G5" s="322">
        <f>G6+G15+G19+G27+G37+G46+G51</f>
        <v>35071260</v>
      </c>
      <c r="H5" s="737">
        <f t="shared" ref="H5:H10" si="0">IF(E5=0,"",G5/E5*100)</f>
        <v>94.75341087866245</v>
      </c>
      <c r="I5" s="403"/>
      <c r="J5" s="283"/>
      <c r="K5" s="283"/>
      <c r="L5" s="283"/>
    </row>
    <row r="6" spans="2:12" s="181" customFormat="1" ht="17.100000000000001" customHeight="1">
      <c r="B6" s="323">
        <v>711000</v>
      </c>
      <c r="C6" s="324" t="s">
        <v>188</v>
      </c>
      <c r="D6" s="325">
        <f>D7+D12</f>
        <v>3892300</v>
      </c>
      <c r="E6" s="325">
        <f>E7+E12</f>
        <v>3892300</v>
      </c>
      <c r="F6" s="325">
        <f>F7+F12</f>
        <v>2544354</v>
      </c>
      <c r="G6" s="325">
        <f>G7+G12</f>
        <v>3015210</v>
      </c>
      <c r="H6" s="737">
        <f t="shared" si="0"/>
        <v>77.466022660123841</v>
      </c>
      <c r="I6" s="404"/>
      <c r="J6" s="284"/>
      <c r="K6" s="285"/>
      <c r="L6" s="285"/>
    </row>
    <row r="7" spans="2:12" s="181" customFormat="1" ht="17.100000000000001" customHeight="1">
      <c r="B7" s="182">
        <v>711100</v>
      </c>
      <c r="C7" s="183" t="s">
        <v>289</v>
      </c>
      <c r="D7" s="180">
        <f>SUM(D8:D11)</f>
        <v>4010</v>
      </c>
      <c r="E7" s="180">
        <f>SUM(E8:E11)</f>
        <v>4010</v>
      </c>
      <c r="F7" s="180">
        <f>SUM(F8:F11)</f>
        <v>2020</v>
      </c>
      <c r="G7" s="180">
        <f>SUM(G8:G11)</f>
        <v>2600</v>
      </c>
      <c r="H7" s="738">
        <f t="shared" si="0"/>
        <v>64.83790523690773</v>
      </c>
      <c r="I7" s="404"/>
      <c r="J7" s="284"/>
      <c r="K7" s="285"/>
      <c r="L7" s="285"/>
    </row>
    <row r="8" spans="2:12" ht="17.100000000000001" customHeight="1">
      <c r="B8" s="179">
        <v>711111</v>
      </c>
      <c r="C8" s="286" t="s">
        <v>290</v>
      </c>
      <c r="D8" s="83">
        <v>3840</v>
      </c>
      <c r="E8" s="83">
        <v>3840</v>
      </c>
      <c r="F8" s="83">
        <v>1697</v>
      </c>
      <c r="G8" s="83">
        <v>2200</v>
      </c>
      <c r="H8" s="739">
        <f t="shared" si="0"/>
        <v>57.291666666666664</v>
      </c>
      <c r="I8" s="404"/>
      <c r="J8" s="732"/>
      <c r="K8" s="285"/>
    </row>
    <row r="9" spans="2:12" ht="17.100000000000001" customHeight="1">
      <c r="B9" s="179">
        <v>711113</v>
      </c>
      <c r="C9" s="286" t="s">
        <v>716</v>
      </c>
      <c r="D9" s="83">
        <v>0</v>
      </c>
      <c r="E9" s="83">
        <v>0</v>
      </c>
      <c r="F9" s="83">
        <v>53</v>
      </c>
      <c r="G9" s="83">
        <v>60</v>
      </c>
      <c r="H9" s="739" t="str">
        <f t="shared" si="0"/>
        <v/>
      </c>
      <c r="I9" s="404"/>
      <c r="J9" s="732"/>
      <c r="K9" s="285"/>
    </row>
    <row r="10" spans="2:12" ht="17.100000000000001" customHeight="1">
      <c r="B10" s="179">
        <v>711114</v>
      </c>
      <c r="C10" s="286" t="s">
        <v>561</v>
      </c>
      <c r="D10" s="83">
        <v>50</v>
      </c>
      <c r="E10" s="83">
        <v>50</v>
      </c>
      <c r="F10" s="83">
        <v>240</v>
      </c>
      <c r="G10" s="83">
        <v>300</v>
      </c>
      <c r="H10" s="739">
        <f t="shared" si="0"/>
        <v>600</v>
      </c>
      <c r="I10" s="404"/>
      <c r="J10" s="732"/>
      <c r="K10" s="285"/>
    </row>
    <row r="11" spans="2:12" ht="17.100000000000001" customHeight="1">
      <c r="B11" s="179">
        <v>711115</v>
      </c>
      <c r="C11" s="286" t="s">
        <v>291</v>
      </c>
      <c r="D11" s="234">
        <v>120</v>
      </c>
      <c r="E11" s="234">
        <v>120</v>
      </c>
      <c r="F11" s="234">
        <v>30</v>
      </c>
      <c r="G11" s="234">
        <v>40</v>
      </c>
      <c r="H11" s="739">
        <f t="shared" ref="H11:H76" si="1">IF(E11=0,"",G11/E11*100)</f>
        <v>33.333333333333329</v>
      </c>
      <c r="I11" s="404"/>
      <c r="J11" s="732"/>
      <c r="K11" s="285"/>
    </row>
    <row r="12" spans="2:12" s="181" customFormat="1" ht="17.100000000000001" customHeight="1">
      <c r="B12" s="182">
        <v>711200</v>
      </c>
      <c r="C12" s="183" t="s">
        <v>294</v>
      </c>
      <c r="D12" s="180">
        <f>SUM(D13:D14)</f>
        <v>3888290</v>
      </c>
      <c r="E12" s="180">
        <f>SUM(E13:E14)</f>
        <v>3888290</v>
      </c>
      <c r="F12" s="180">
        <f>SUM(F13:F14)</f>
        <v>2542334</v>
      </c>
      <c r="G12" s="180">
        <f>SUM(G13:G14)</f>
        <v>3012610</v>
      </c>
      <c r="H12" s="738">
        <f t="shared" si="1"/>
        <v>77.479046058807342</v>
      </c>
      <c r="I12" s="404"/>
      <c r="J12" s="285"/>
      <c r="K12" s="285"/>
      <c r="L12" s="285"/>
    </row>
    <row r="13" spans="2:12" ht="17.100000000000001" customHeight="1">
      <c r="B13" s="179">
        <v>711211</v>
      </c>
      <c r="C13" s="286" t="s">
        <v>292</v>
      </c>
      <c r="D13" s="234">
        <v>3833180</v>
      </c>
      <c r="E13" s="234">
        <v>3833180</v>
      </c>
      <c r="F13" s="234">
        <v>2419370</v>
      </c>
      <c r="G13" s="234">
        <v>2866900</v>
      </c>
      <c r="H13" s="739">
        <f t="shared" si="1"/>
        <v>74.791687319666693</v>
      </c>
      <c r="I13" s="404"/>
      <c r="J13" s="732"/>
      <c r="K13" s="285"/>
    </row>
    <row r="14" spans="2:12" ht="17.100000000000001" customHeight="1">
      <c r="B14" s="179">
        <v>711212</v>
      </c>
      <c r="C14" s="286" t="s">
        <v>293</v>
      </c>
      <c r="D14" s="234">
        <v>55110</v>
      </c>
      <c r="E14" s="234">
        <v>55110</v>
      </c>
      <c r="F14" s="234">
        <v>122964</v>
      </c>
      <c r="G14" s="234">
        <v>145710</v>
      </c>
      <c r="H14" s="739">
        <f t="shared" si="1"/>
        <v>264.39847577572124</v>
      </c>
      <c r="I14" s="404"/>
      <c r="J14" s="732"/>
    </row>
    <row r="15" spans="2:12" s="181" customFormat="1" ht="17.100000000000001" customHeight="1">
      <c r="B15" s="323">
        <v>713000</v>
      </c>
      <c r="C15" s="326" t="s">
        <v>295</v>
      </c>
      <c r="D15" s="325">
        <f>D16</f>
        <v>1550</v>
      </c>
      <c r="E15" s="325">
        <f>E16</f>
        <v>1550</v>
      </c>
      <c r="F15" s="325">
        <f>F16</f>
        <v>5822</v>
      </c>
      <c r="G15" s="325">
        <f>G16</f>
        <v>6540</v>
      </c>
      <c r="H15" s="737">
        <f t="shared" si="1"/>
        <v>421.9354838709678</v>
      </c>
      <c r="I15" s="404"/>
      <c r="J15" s="285"/>
      <c r="K15" s="285"/>
      <c r="L15" s="285"/>
    </row>
    <row r="16" spans="2:12" s="181" customFormat="1" ht="17.100000000000001" customHeight="1">
      <c r="B16" s="182">
        <v>713100</v>
      </c>
      <c r="C16" s="193" t="s">
        <v>395</v>
      </c>
      <c r="D16" s="194">
        <f>SUM(D17:D18)</f>
        <v>1550</v>
      </c>
      <c r="E16" s="194">
        <f>SUM(E17:E18)</f>
        <v>1550</v>
      </c>
      <c r="F16" s="194">
        <f>SUM(F17:F18)</f>
        <v>5822</v>
      </c>
      <c r="G16" s="194">
        <f>SUM(G17:G18)</f>
        <v>6540</v>
      </c>
      <c r="H16" s="738">
        <f t="shared" si="1"/>
        <v>421.9354838709678</v>
      </c>
      <c r="I16" s="404"/>
      <c r="J16" s="285"/>
      <c r="K16" s="285"/>
      <c r="L16" s="285"/>
    </row>
    <row r="17" spans="2:12" ht="17.100000000000001" customHeight="1">
      <c r="B17" s="179">
        <v>713111</v>
      </c>
      <c r="C17" s="286" t="s">
        <v>296</v>
      </c>
      <c r="D17" s="83">
        <v>1500</v>
      </c>
      <c r="E17" s="83">
        <v>1500</v>
      </c>
      <c r="F17" s="83">
        <v>5822</v>
      </c>
      <c r="G17" s="83">
        <v>6500</v>
      </c>
      <c r="H17" s="739">
        <f t="shared" si="1"/>
        <v>433.33333333333331</v>
      </c>
      <c r="I17" s="345"/>
    </row>
    <row r="18" spans="2:12" ht="17.100000000000001" customHeight="1">
      <c r="B18" s="179">
        <v>713113</v>
      </c>
      <c r="C18" s="286" t="s">
        <v>297</v>
      </c>
      <c r="D18" s="83">
        <v>50</v>
      </c>
      <c r="E18" s="83">
        <v>50</v>
      </c>
      <c r="F18" s="83">
        <v>0</v>
      </c>
      <c r="G18" s="83">
        <v>40</v>
      </c>
      <c r="H18" s="739">
        <f t="shared" si="1"/>
        <v>80</v>
      </c>
      <c r="I18" s="345"/>
    </row>
    <row r="19" spans="2:12" s="181" customFormat="1" ht="17.100000000000001" customHeight="1">
      <c r="B19" s="323">
        <v>714000</v>
      </c>
      <c r="C19" s="326" t="s">
        <v>189</v>
      </c>
      <c r="D19" s="325">
        <f>D20</f>
        <v>402150</v>
      </c>
      <c r="E19" s="325">
        <f>E20</f>
        <v>402150</v>
      </c>
      <c r="F19" s="325">
        <f>F20</f>
        <v>186743</v>
      </c>
      <c r="G19" s="325">
        <f>G20</f>
        <v>274600</v>
      </c>
      <c r="H19" s="737">
        <f t="shared" si="1"/>
        <v>68.282978987939828</v>
      </c>
      <c r="I19" s="404"/>
      <c r="J19" s="285"/>
      <c r="K19" s="285"/>
      <c r="L19" s="285"/>
    </row>
    <row r="20" spans="2:12" s="181" customFormat="1" ht="17.100000000000001" customHeight="1">
      <c r="B20" s="182">
        <v>714100</v>
      </c>
      <c r="C20" s="193" t="s">
        <v>394</v>
      </c>
      <c r="D20" s="194">
        <f>SUM(D21:D26)</f>
        <v>402150</v>
      </c>
      <c r="E20" s="194">
        <f>SUM(E21:E26)</f>
        <v>402150</v>
      </c>
      <c r="F20" s="194">
        <f>SUM(F21:F26)</f>
        <v>186743</v>
      </c>
      <c r="G20" s="194">
        <f>SUM(G21:G26)</f>
        <v>274600</v>
      </c>
      <c r="H20" s="738">
        <f t="shared" si="1"/>
        <v>68.282978987939828</v>
      </c>
      <c r="I20" s="404"/>
      <c r="J20" s="285"/>
      <c r="K20" s="285"/>
      <c r="L20" s="285"/>
    </row>
    <row r="21" spans="2:12" ht="17.100000000000001" customHeight="1">
      <c r="B21" s="179">
        <v>714111</v>
      </c>
      <c r="C21" s="286" t="s">
        <v>298</v>
      </c>
      <c r="D21" s="83">
        <v>42100</v>
      </c>
      <c r="E21" s="83">
        <v>42100</v>
      </c>
      <c r="F21" s="83">
        <v>31438</v>
      </c>
      <c r="G21" s="83">
        <v>41920</v>
      </c>
      <c r="H21" s="739">
        <f t="shared" si="1"/>
        <v>99.572446555819482</v>
      </c>
      <c r="I21" s="345"/>
    </row>
    <row r="22" spans="2:12" ht="17.100000000000001" customHeight="1">
      <c r="B22" s="179">
        <v>714112</v>
      </c>
      <c r="C22" s="286" t="s">
        <v>299</v>
      </c>
      <c r="D22" s="234">
        <v>5800</v>
      </c>
      <c r="E22" s="234">
        <v>5800</v>
      </c>
      <c r="F22" s="234">
        <v>8393</v>
      </c>
      <c r="G22" s="83">
        <v>10190</v>
      </c>
      <c r="H22" s="739">
        <f t="shared" si="1"/>
        <v>175.68965517241381</v>
      </c>
      <c r="I22" s="345"/>
    </row>
    <row r="23" spans="2:12" ht="17.100000000000001" customHeight="1">
      <c r="B23" s="179">
        <v>714113</v>
      </c>
      <c r="C23" s="286" t="s">
        <v>300</v>
      </c>
      <c r="D23" s="83">
        <v>50</v>
      </c>
      <c r="E23" s="83">
        <v>50</v>
      </c>
      <c r="F23" s="83">
        <v>178</v>
      </c>
      <c r="G23" s="83">
        <v>350</v>
      </c>
      <c r="H23" s="739">
        <f t="shared" si="1"/>
        <v>700</v>
      </c>
      <c r="I23" s="345"/>
    </row>
    <row r="24" spans="2:12" ht="17.100000000000001" customHeight="1">
      <c r="B24" s="179">
        <v>714121</v>
      </c>
      <c r="C24" s="286" t="s">
        <v>301</v>
      </c>
      <c r="D24" s="234">
        <v>12500</v>
      </c>
      <c r="E24" s="234">
        <v>12500</v>
      </c>
      <c r="F24" s="234">
        <v>6449</v>
      </c>
      <c r="G24" s="83">
        <v>9100</v>
      </c>
      <c r="H24" s="739">
        <f t="shared" si="1"/>
        <v>72.8</v>
      </c>
      <c r="I24" s="345"/>
    </row>
    <row r="25" spans="2:12" ht="17.100000000000001" customHeight="1">
      <c r="B25" s="179">
        <v>714131</v>
      </c>
      <c r="C25" s="286" t="s">
        <v>302</v>
      </c>
      <c r="D25" s="234">
        <v>245800</v>
      </c>
      <c r="E25" s="234">
        <v>245800</v>
      </c>
      <c r="F25" s="234">
        <v>101299</v>
      </c>
      <c r="G25" s="83">
        <v>161040</v>
      </c>
      <c r="H25" s="739">
        <f t="shared" si="1"/>
        <v>65.516680227827507</v>
      </c>
      <c r="I25" s="345"/>
    </row>
    <row r="26" spans="2:12" ht="17.100000000000001" customHeight="1">
      <c r="B26" s="179">
        <v>714132</v>
      </c>
      <c r="C26" s="286" t="s">
        <v>303</v>
      </c>
      <c r="D26" s="83">
        <v>95900</v>
      </c>
      <c r="E26" s="83">
        <v>95900</v>
      </c>
      <c r="F26" s="83">
        <v>38986</v>
      </c>
      <c r="G26" s="83">
        <v>52000</v>
      </c>
      <c r="H26" s="739">
        <f t="shared" si="1"/>
        <v>54.223149113660064</v>
      </c>
      <c r="I26" s="345"/>
    </row>
    <row r="27" spans="2:12" s="181" customFormat="1" ht="25.5" customHeight="1">
      <c r="B27" s="323">
        <v>715000</v>
      </c>
      <c r="C27" s="324" t="s">
        <v>304</v>
      </c>
      <c r="D27" s="325">
        <f>D28+D33+D35</f>
        <v>2200</v>
      </c>
      <c r="E27" s="325">
        <f>E28+E33+E35</f>
        <v>2200</v>
      </c>
      <c r="F27" s="325">
        <f>F28+F33+F35</f>
        <v>2927</v>
      </c>
      <c r="G27" s="325">
        <f>G28+G33+G35</f>
        <v>3930</v>
      </c>
      <c r="H27" s="737">
        <f t="shared" si="1"/>
        <v>178.63636363636363</v>
      </c>
      <c r="I27" s="404"/>
      <c r="J27" s="285"/>
      <c r="K27" s="285"/>
      <c r="L27" s="285"/>
    </row>
    <row r="28" spans="2:12" s="181" customFormat="1" ht="26.25" customHeight="1">
      <c r="B28" s="182">
        <v>715100</v>
      </c>
      <c r="C28" s="287" t="s">
        <v>308</v>
      </c>
      <c r="D28" s="180">
        <f>SUM(D29:D32)</f>
        <v>500</v>
      </c>
      <c r="E28" s="180">
        <f>SUM(E29:E32)</f>
        <v>500</v>
      </c>
      <c r="F28" s="180">
        <f>SUM(F29:F32)</f>
        <v>386</v>
      </c>
      <c r="G28" s="180">
        <f>SUM(G29:G32)</f>
        <v>630</v>
      </c>
      <c r="H28" s="738">
        <f t="shared" si="1"/>
        <v>126</v>
      </c>
      <c r="I28" s="404"/>
      <c r="J28" s="285"/>
      <c r="K28" s="285"/>
      <c r="L28" s="285"/>
    </row>
    <row r="29" spans="2:12" ht="17.100000000000001" customHeight="1">
      <c r="B29" s="179">
        <v>715131</v>
      </c>
      <c r="C29" s="286" t="s">
        <v>305</v>
      </c>
      <c r="D29" s="83">
        <v>100</v>
      </c>
      <c r="E29" s="83">
        <v>100</v>
      </c>
      <c r="F29" s="83">
        <v>115</v>
      </c>
      <c r="G29" s="83">
        <v>150</v>
      </c>
      <c r="H29" s="739">
        <f t="shared" si="1"/>
        <v>150</v>
      </c>
      <c r="I29" s="345"/>
    </row>
    <row r="30" spans="2:12" ht="17.100000000000001" customHeight="1">
      <c r="B30" s="179">
        <v>715132</v>
      </c>
      <c r="C30" s="286" t="s">
        <v>562</v>
      </c>
      <c r="D30" s="83">
        <v>50</v>
      </c>
      <c r="E30" s="83">
        <v>50</v>
      </c>
      <c r="F30" s="83">
        <v>0</v>
      </c>
      <c r="G30" s="83">
        <v>20</v>
      </c>
      <c r="H30" s="739">
        <f t="shared" si="1"/>
        <v>40</v>
      </c>
      <c r="I30" s="345"/>
    </row>
    <row r="31" spans="2:12" ht="17.100000000000001" customHeight="1">
      <c r="B31" s="179">
        <v>715137</v>
      </c>
      <c r="C31" s="286" t="s">
        <v>306</v>
      </c>
      <c r="D31" s="83">
        <v>50</v>
      </c>
      <c r="E31" s="83">
        <v>50</v>
      </c>
      <c r="F31" s="83">
        <v>0</v>
      </c>
      <c r="G31" s="83">
        <v>20</v>
      </c>
      <c r="H31" s="739">
        <f t="shared" si="1"/>
        <v>40</v>
      </c>
      <c r="I31" s="345"/>
    </row>
    <row r="32" spans="2:12" ht="17.100000000000001" customHeight="1">
      <c r="B32" s="179">
        <v>715141</v>
      </c>
      <c r="C32" s="286" t="s">
        <v>307</v>
      </c>
      <c r="D32" s="83">
        <v>300</v>
      </c>
      <c r="E32" s="83">
        <v>300</v>
      </c>
      <c r="F32" s="83">
        <v>271</v>
      </c>
      <c r="G32" s="83">
        <v>440</v>
      </c>
      <c r="H32" s="739">
        <f t="shared" si="1"/>
        <v>146.66666666666666</v>
      </c>
      <c r="I32" s="345"/>
    </row>
    <row r="33" spans="2:12" s="181" customFormat="1" ht="17.100000000000001" customHeight="1">
      <c r="B33" s="182">
        <v>715200</v>
      </c>
      <c r="C33" s="288" t="s">
        <v>309</v>
      </c>
      <c r="D33" s="180">
        <f>D34</f>
        <v>1500</v>
      </c>
      <c r="E33" s="180">
        <f>E34</f>
        <v>1500</v>
      </c>
      <c r="F33" s="180">
        <f>F34</f>
        <v>2392</v>
      </c>
      <c r="G33" s="180">
        <f>G34</f>
        <v>3100</v>
      </c>
      <c r="H33" s="738">
        <f t="shared" si="1"/>
        <v>206.66666666666669</v>
      </c>
      <c r="I33" s="404"/>
      <c r="J33" s="285"/>
      <c r="K33" s="285"/>
      <c r="L33" s="285"/>
    </row>
    <row r="34" spans="2:12" ht="17.100000000000001" customHeight="1">
      <c r="B34" s="179">
        <v>715211</v>
      </c>
      <c r="C34" s="286" t="s">
        <v>310</v>
      </c>
      <c r="D34" s="83">
        <v>1500</v>
      </c>
      <c r="E34" s="83">
        <v>1500</v>
      </c>
      <c r="F34" s="83">
        <v>2392</v>
      </c>
      <c r="G34" s="83">
        <v>3100</v>
      </c>
      <c r="H34" s="739">
        <f t="shared" si="1"/>
        <v>206.66666666666669</v>
      </c>
      <c r="I34" s="345"/>
    </row>
    <row r="35" spans="2:12" s="181" customFormat="1" ht="17.100000000000001" customHeight="1">
      <c r="B35" s="182">
        <v>715900</v>
      </c>
      <c r="C35" s="288" t="s">
        <v>311</v>
      </c>
      <c r="D35" s="180">
        <f>D36</f>
        <v>200</v>
      </c>
      <c r="E35" s="180">
        <f>E36</f>
        <v>200</v>
      </c>
      <c r="F35" s="180">
        <f>F36</f>
        <v>149</v>
      </c>
      <c r="G35" s="180">
        <f>G36</f>
        <v>200</v>
      </c>
      <c r="H35" s="738">
        <f t="shared" si="1"/>
        <v>100</v>
      </c>
      <c r="I35" s="404"/>
      <c r="J35" s="285"/>
      <c r="K35" s="285"/>
      <c r="L35" s="285"/>
    </row>
    <row r="36" spans="2:12" ht="27" customHeight="1">
      <c r="B36" s="179">
        <v>715914</v>
      </c>
      <c r="C36" s="289" t="s">
        <v>312</v>
      </c>
      <c r="D36" s="234">
        <v>200</v>
      </c>
      <c r="E36" s="234">
        <v>200</v>
      </c>
      <c r="F36" s="234">
        <v>149</v>
      </c>
      <c r="G36" s="234">
        <v>200</v>
      </c>
      <c r="H36" s="739">
        <f t="shared" si="1"/>
        <v>100</v>
      </c>
      <c r="I36" s="345"/>
    </row>
    <row r="37" spans="2:12" s="181" customFormat="1" ht="17.100000000000001" customHeight="1">
      <c r="B37" s="323">
        <v>716000</v>
      </c>
      <c r="C37" s="326" t="s">
        <v>190</v>
      </c>
      <c r="D37" s="325">
        <f>D38</f>
        <v>2827910</v>
      </c>
      <c r="E37" s="325">
        <f>E38</f>
        <v>2827910</v>
      </c>
      <c r="F37" s="325">
        <f>F38</f>
        <v>2109217</v>
      </c>
      <c r="G37" s="325">
        <f>G38</f>
        <v>2817450</v>
      </c>
      <c r="H37" s="737">
        <f t="shared" si="1"/>
        <v>99.630115527014652</v>
      </c>
      <c r="I37" s="404"/>
      <c r="J37" s="291"/>
      <c r="K37" s="404"/>
      <c r="L37" s="285"/>
    </row>
    <row r="38" spans="2:12" s="181" customFormat="1" ht="17.100000000000001" customHeight="1">
      <c r="B38" s="182">
        <v>716100</v>
      </c>
      <c r="C38" s="288" t="s">
        <v>313</v>
      </c>
      <c r="D38" s="180">
        <f>SUM(D39:D45)</f>
        <v>2827910</v>
      </c>
      <c r="E38" s="180">
        <f>SUM(E39:E45)</f>
        <v>2827910</v>
      </c>
      <c r="F38" s="180">
        <f>SUM(F39:F45)</f>
        <v>2109217</v>
      </c>
      <c r="G38" s="180">
        <f>SUM(G39:G45)</f>
        <v>2817450</v>
      </c>
      <c r="H38" s="738">
        <f t="shared" si="1"/>
        <v>99.630115527014652</v>
      </c>
      <c r="I38" s="405"/>
      <c r="J38" s="290"/>
      <c r="K38" s="285"/>
      <c r="L38" s="285"/>
    </row>
    <row r="39" spans="2:12" ht="17.100000000000001" customHeight="1">
      <c r="B39" s="179">
        <v>716111</v>
      </c>
      <c r="C39" s="286" t="s">
        <v>315</v>
      </c>
      <c r="D39" s="234">
        <v>1970860</v>
      </c>
      <c r="E39" s="234">
        <v>1970860</v>
      </c>
      <c r="F39" s="234">
        <v>1468344</v>
      </c>
      <c r="G39" s="234">
        <v>1987190</v>
      </c>
      <c r="H39" s="739">
        <f t="shared" si="1"/>
        <v>100.82857229838751</v>
      </c>
      <c r="I39" s="404"/>
      <c r="J39" s="290"/>
    </row>
    <row r="40" spans="2:12" ht="17.100000000000001" customHeight="1">
      <c r="B40" s="179">
        <v>716112</v>
      </c>
      <c r="C40" s="286" t="s">
        <v>316</v>
      </c>
      <c r="D40" s="234">
        <v>112600</v>
      </c>
      <c r="E40" s="234">
        <v>112600</v>
      </c>
      <c r="F40" s="234">
        <v>93163</v>
      </c>
      <c r="G40" s="234">
        <v>124450</v>
      </c>
      <c r="H40" s="739">
        <f t="shared" si="1"/>
        <v>110.52397868561279</v>
      </c>
      <c r="I40" s="404"/>
      <c r="J40" s="290"/>
    </row>
    <row r="41" spans="2:12" ht="17.100000000000001" customHeight="1">
      <c r="B41" s="179">
        <v>716113</v>
      </c>
      <c r="C41" s="286" t="s">
        <v>317</v>
      </c>
      <c r="D41" s="234">
        <v>27900</v>
      </c>
      <c r="E41" s="234">
        <v>27900</v>
      </c>
      <c r="F41" s="234">
        <v>20225</v>
      </c>
      <c r="G41" s="234">
        <v>27020</v>
      </c>
      <c r="H41" s="739">
        <f t="shared" si="1"/>
        <v>96.84587813620071</v>
      </c>
      <c r="I41" s="404"/>
      <c r="J41" s="290"/>
    </row>
    <row r="42" spans="2:12" ht="17.100000000000001" customHeight="1">
      <c r="B42" s="179">
        <v>716114</v>
      </c>
      <c r="C42" s="286" t="s">
        <v>318</v>
      </c>
      <c r="D42" s="234">
        <v>200</v>
      </c>
      <c r="E42" s="234">
        <v>200</v>
      </c>
      <c r="F42" s="234">
        <v>41</v>
      </c>
      <c r="G42" s="234">
        <v>100</v>
      </c>
      <c r="H42" s="739">
        <f t="shared" si="1"/>
        <v>50</v>
      </c>
      <c r="I42" s="404"/>
      <c r="J42" s="290"/>
    </row>
    <row r="43" spans="2:12" ht="25.5" customHeight="1">
      <c r="B43" s="179">
        <v>716115</v>
      </c>
      <c r="C43" s="289" t="s">
        <v>319</v>
      </c>
      <c r="D43" s="234">
        <v>296600</v>
      </c>
      <c r="E43" s="234">
        <v>296600</v>
      </c>
      <c r="F43" s="234">
        <v>213050</v>
      </c>
      <c r="G43" s="234">
        <v>284590</v>
      </c>
      <c r="H43" s="739">
        <f t="shared" si="1"/>
        <v>95.950775455158464</v>
      </c>
      <c r="I43" s="404"/>
      <c r="J43" s="290"/>
    </row>
    <row r="44" spans="2:12" ht="17.100000000000001" customHeight="1">
      <c r="B44" s="179">
        <v>716116</v>
      </c>
      <c r="C44" s="286" t="s">
        <v>320</v>
      </c>
      <c r="D44" s="234">
        <v>292450</v>
      </c>
      <c r="E44" s="234">
        <v>292450</v>
      </c>
      <c r="F44" s="234">
        <v>180897</v>
      </c>
      <c r="G44" s="234">
        <f>241640+3760</f>
        <v>245400</v>
      </c>
      <c r="H44" s="739">
        <f t="shared" si="1"/>
        <v>83.911779791417345</v>
      </c>
      <c r="I44" s="404"/>
      <c r="J44" s="290"/>
    </row>
    <row r="45" spans="2:12" ht="17.100000000000001" customHeight="1">
      <c r="B45" s="179">
        <v>716117</v>
      </c>
      <c r="C45" s="286" t="s">
        <v>314</v>
      </c>
      <c r="D45" s="234">
        <v>127300</v>
      </c>
      <c r="E45" s="234">
        <v>127300</v>
      </c>
      <c r="F45" s="234">
        <v>133497</v>
      </c>
      <c r="G45" s="234">
        <v>148700</v>
      </c>
      <c r="H45" s="739">
        <f t="shared" si="1"/>
        <v>116.81068342498035</v>
      </c>
      <c r="I45" s="404"/>
      <c r="J45" s="290"/>
    </row>
    <row r="46" spans="2:12" s="181" customFormat="1" ht="17.100000000000001" customHeight="1">
      <c r="B46" s="323">
        <v>717000</v>
      </c>
      <c r="C46" s="326" t="s">
        <v>191</v>
      </c>
      <c r="D46" s="325">
        <f>D47</f>
        <v>29886860</v>
      </c>
      <c r="E46" s="325">
        <f>E47</f>
        <v>29886860</v>
      </c>
      <c r="F46" s="325">
        <f>F47</f>
        <v>22464451</v>
      </c>
      <c r="G46" s="325">
        <f>G47</f>
        <v>28953220</v>
      </c>
      <c r="H46" s="737">
        <f t="shared" si="1"/>
        <v>96.876085343190951</v>
      </c>
      <c r="I46" s="404"/>
      <c r="J46" s="404"/>
      <c r="K46" s="285"/>
      <c r="L46" s="285"/>
    </row>
    <row r="47" spans="2:12" s="181" customFormat="1" ht="17.100000000000001" customHeight="1">
      <c r="B47" s="182">
        <v>717100</v>
      </c>
      <c r="C47" s="288" t="s">
        <v>321</v>
      </c>
      <c r="D47" s="180">
        <f>SUM(D48:D50)</f>
        <v>29886860</v>
      </c>
      <c r="E47" s="180">
        <f t="shared" ref="E47:G47" si="2">SUM(E48:E50)</f>
        <v>29886860</v>
      </c>
      <c r="F47" s="180">
        <f t="shared" si="2"/>
        <v>22464451</v>
      </c>
      <c r="G47" s="180">
        <f t="shared" si="2"/>
        <v>28953220</v>
      </c>
      <c r="H47" s="738">
        <f t="shared" si="1"/>
        <v>96.876085343190951</v>
      </c>
      <c r="I47" s="404"/>
      <c r="J47" s="404"/>
      <c r="K47" s="285"/>
      <c r="L47" s="285"/>
    </row>
    <row r="48" spans="2:12" ht="17.100000000000001" customHeight="1">
      <c r="B48" s="179">
        <v>717114</v>
      </c>
      <c r="C48" s="286" t="s">
        <v>717</v>
      </c>
      <c r="D48" s="234">
        <v>0</v>
      </c>
      <c r="E48" s="234">
        <v>0</v>
      </c>
      <c r="F48" s="234">
        <v>313088</v>
      </c>
      <c r="G48" s="234">
        <v>516020</v>
      </c>
      <c r="H48" s="739" t="str">
        <f t="shared" ref="H48" si="3">IF(E48=0,"",G48/E48*100)</f>
        <v/>
      </c>
      <c r="I48" s="345"/>
    </row>
    <row r="49" spans="1:12" ht="17.100000000000001" customHeight="1">
      <c r="B49" s="179">
        <v>717121</v>
      </c>
      <c r="C49" s="286" t="s">
        <v>322</v>
      </c>
      <c r="D49" s="234">
        <v>29135980</v>
      </c>
      <c r="E49" s="234">
        <v>29135980</v>
      </c>
      <c r="F49" s="234">
        <v>21579140</v>
      </c>
      <c r="G49" s="234">
        <v>27702600</v>
      </c>
      <c r="H49" s="739">
        <f t="shared" si="1"/>
        <v>95.080378281423862</v>
      </c>
      <c r="I49" s="345"/>
      <c r="J49" s="345"/>
    </row>
    <row r="50" spans="1:12" ht="17.100000000000001" customHeight="1">
      <c r="B50" s="179">
        <v>717131</v>
      </c>
      <c r="C50" s="286" t="s">
        <v>323</v>
      </c>
      <c r="D50" s="234">
        <v>750880</v>
      </c>
      <c r="E50" s="234">
        <v>750880</v>
      </c>
      <c r="F50" s="234">
        <v>572223</v>
      </c>
      <c r="G50" s="234">
        <v>734600</v>
      </c>
      <c r="H50" s="739">
        <f t="shared" si="1"/>
        <v>97.831877264010231</v>
      </c>
      <c r="I50" s="345"/>
      <c r="J50" s="345"/>
    </row>
    <row r="51" spans="1:12" s="181" customFormat="1" ht="17.100000000000001" customHeight="1">
      <c r="B51" s="323">
        <v>719000</v>
      </c>
      <c r="C51" s="326" t="s">
        <v>192</v>
      </c>
      <c r="D51" s="325">
        <f>D52</f>
        <v>220</v>
      </c>
      <c r="E51" s="325">
        <f>E52</f>
        <v>220</v>
      </c>
      <c r="F51" s="325">
        <f>F52</f>
        <v>179</v>
      </c>
      <c r="G51" s="325">
        <f>G52</f>
        <v>310</v>
      </c>
      <c r="H51" s="737">
        <f t="shared" si="1"/>
        <v>140.90909090909091</v>
      </c>
      <c r="I51" s="404"/>
      <c r="J51" s="344"/>
      <c r="K51" s="285"/>
      <c r="L51" s="285"/>
    </row>
    <row r="52" spans="1:12" s="181" customFormat="1" ht="17.100000000000001" customHeight="1">
      <c r="B52" s="182">
        <v>719100</v>
      </c>
      <c r="C52" s="288" t="s">
        <v>324</v>
      </c>
      <c r="D52" s="180">
        <f>SUM(D53:D55)</f>
        <v>220</v>
      </c>
      <c r="E52" s="180">
        <f>SUM(E53:E55)</f>
        <v>220</v>
      </c>
      <c r="F52" s="180">
        <f>SUM(F53:F55)</f>
        <v>179</v>
      </c>
      <c r="G52" s="180">
        <f>SUM(G53:G55)</f>
        <v>310</v>
      </c>
      <c r="H52" s="738">
        <f t="shared" si="1"/>
        <v>140.90909090909091</v>
      </c>
      <c r="I52" s="404"/>
      <c r="J52" s="285"/>
      <c r="K52" s="285"/>
      <c r="L52" s="285"/>
    </row>
    <row r="53" spans="1:12" ht="17.100000000000001" customHeight="1" thickBot="1">
      <c r="A53" s="248"/>
      <c r="B53" s="179">
        <v>719111</v>
      </c>
      <c r="C53" s="286" t="s">
        <v>324</v>
      </c>
      <c r="D53" s="83">
        <v>100</v>
      </c>
      <c r="E53" s="83">
        <v>100</v>
      </c>
      <c r="F53" s="83">
        <v>60</v>
      </c>
      <c r="G53" s="83">
        <v>100</v>
      </c>
      <c r="H53" s="739">
        <f t="shared" si="1"/>
        <v>100</v>
      </c>
      <c r="I53" s="345"/>
    </row>
    <row r="54" spans="1:12" ht="17.100000000000001" customHeight="1">
      <c r="B54" s="296">
        <v>719114</v>
      </c>
      <c r="C54" s="297" t="s">
        <v>325</v>
      </c>
      <c r="D54" s="352">
        <v>50</v>
      </c>
      <c r="E54" s="352">
        <v>50</v>
      </c>
      <c r="F54" s="352">
        <v>78</v>
      </c>
      <c r="G54" s="352">
        <v>150</v>
      </c>
      <c r="H54" s="740">
        <f t="shared" si="1"/>
        <v>300</v>
      </c>
    </row>
    <row r="55" spans="1:12" ht="25.5">
      <c r="B55" s="179">
        <v>719115</v>
      </c>
      <c r="C55" s="289" t="s">
        <v>326</v>
      </c>
      <c r="D55" s="234">
        <v>70</v>
      </c>
      <c r="E55" s="234">
        <v>70</v>
      </c>
      <c r="F55" s="234">
        <v>41</v>
      </c>
      <c r="G55" s="234">
        <v>60</v>
      </c>
      <c r="H55" s="741">
        <f t="shared" si="1"/>
        <v>85.714285714285708</v>
      </c>
      <c r="I55" s="406"/>
    </row>
    <row r="56" spans="1:12">
      <c r="B56" s="179"/>
      <c r="C56" s="29"/>
      <c r="D56" s="83"/>
      <c r="E56" s="83"/>
      <c r="F56" s="83"/>
      <c r="G56" s="83"/>
      <c r="H56" s="741" t="str">
        <f t="shared" si="1"/>
        <v/>
      </c>
      <c r="I56" s="406"/>
    </row>
    <row r="57" spans="1:12" ht="17.100000000000001" customHeight="1">
      <c r="B57" s="320">
        <v>720000</v>
      </c>
      <c r="C57" s="321" t="s">
        <v>187</v>
      </c>
      <c r="D57" s="322">
        <f>D58+D71+D142</f>
        <v>2391380</v>
      </c>
      <c r="E57" s="322">
        <f>E58+E71+E142</f>
        <v>2391380</v>
      </c>
      <c r="F57" s="322">
        <f>F58+F71+F142</f>
        <v>1968852</v>
      </c>
      <c r="G57" s="322">
        <f>G58+G71+G142</f>
        <v>2886330</v>
      </c>
      <c r="H57" s="737">
        <f t="shared" si="1"/>
        <v>120.69725430504563</v>
      </c>
      <c r="I57" s="407"/>
      <c r="J57" s="345"/>
    </row>
    <row r="58" spans="1:12" ht="25.5">
      <c r="B58" s="323">
        <v>721000</v>
      </c>
      <c r="C58" s="327" t="s">
        <v>215</v>
      </c>
      <c r="D58" s="325">
        <f>D59+D62+D67+D69</f>
        <v>83380</v>
      </c>
      <c r="E58" s="325">
        <f>E59+E62+E67+E69</f>
        <v>83380</v>
      </c>
      <c r="F58" s="325">
        <f>F59+F62+F67+F69</f>
        <v>41607</v>
      </c>
      <c r="G58" s="325">
        <f>G59+G62+G67+G69</f>
        <v>119710</v>
      </c>
      <c r="H58" s="737">
        <f t="shared" si="1"/>
        <v>143.57159990405373</v>
      </c>
    </row>
    <row r="59" spans="1:12" ht="17.100000000000001" customHeight="1">
      <c r="B59" s="182">
        <v>721100</v>
      </c>
      <c r="C59" s="288" t="s">
        <v>327</v>
      </c>
      <c r="D59" s="180">
        <f>SUM(D60:D61)</f>
        <v>73300</v>
      </c>
      <c r="E59" s="180">
        <f>SUM(E60:E61)</f>
        <v>73300</v>
      </c>
      <c r="F59" s="180">
        <f>SUM(F60:F61)</f>
        <v>31326</v>
      </c>
      <c r="G59" s="180">
        <f>SUM(G60:G61)</f>
        <v>108510</v>
      </c>
      <c r="H59" s="742">
        <f t="shared" si="1"/>
        <v>148.03547066848569</v>
      </c>
      <c r="J59" s="345"/>
    </row>
    <row r="60" spans="1:12" ht="17.100000000000001" customHeight="1">
      <c r="B60" s="179">
        <v>721112</v>
      </c>
      <c r="C60" s="286" t="s">
        <v>328</v>
      </c>
      <c r="D60" s="234">
        <v>300</v>
      </c>
      <c r="E60" s="234">
        <v>300</v>
      </c>
      <c r="F60" s="234">
        <v>152</v>
      </c>
      <c r="G60" s="234">
        <v>190</v>
      </c>
      <c r="H60" s="741">
        <f t="shared" si="1"/>
        <v>63.333333333333329</v>
      </c>
      <c r="I60" s="408"/>
    </row>
    <row r="61" spans="1:12" ht="17.100000000000001" customHeight="1">
      <c r="B61" s="179">
        <v>721121</v>
      </c>
      <c r="C61" s="286" t="s">
        <v>584</v>
      </c>
      <c r="D61" s="234">
        <v>73000</v>
      </c>
      <c r="E61" s="234">
        <v>73000</v>
      </c>
      <c r="F61" s="234">
        <v>31174</v>
      </c>
      <c r="G61" s="234">
        <f>88320+20000</f>
        <v>108320</v>
      </c>
      <c r="H61" s="741">
        <f t="shared" si="1"/>
        <v>148.38356164383561</v>
      </c>
      <c r="I61" s="408"/>
      <c r="J61" s="734"/>
    </row>
    <row r="62" spans="1:12" ht="17.100000000000001" customHeight="1">
      <c r="B62" s="188">
        <v>721200</v>
      </c>
      <c r="C62" s="288" t="s">
        <v>329</v>
      </c>
      <c r="D62" s="82">
        <f>SUM(D63:D66)</f>
        <v>10000</v>
      </c>
      <c r="E62" s="82">
        <f>SUM(E63:E66)</f>
        <v>10000</v>
      </c>
      <c r="F62" s="82">
        <f>SUM(F63:F66)</f>
        <v>10230</v>
      </c>
      <c r="G62" s="82">
        <f>SUM(G63:G66)</f>
        <v>10880</v>
      </c>
      <c r="H62" s="742">
        <f t="shared" si="1"/>
        <v>108.80000000000001</v>
      </c>
    </row>
    <row r="63" spans="1:12" ht="17.100000000000001" customHeight="1">
      <c r="B63" s="189">
        <v>721211</v>
      </c>
      <c r="C63" s="286" t="s">
        <v>330</v>
      </c>
      <c r="D63" s="187">
        <v>1500</v>
      </c>
      <c r="E63" s="187">
        <v>1500</v>
      </c>
      <c r="F63" s="187">
        <v>263</v>
      </c>
      <c r="G63" s="187">
        <v>380</v>
      </c>
      <c r="H63" s="741">
        <f t="shared" si="1"/>
        <v>25.333333333333336</v>
      </c>
      <c r="J63" s="345"/>
    </row>
    <row r="64" spans="1:12" ht="17.100000000000001" customHeight="1">
      <c r="B64" s="189">
        <v>721225</v>
      </c>
      <c r="C64" s="286" t="s">
        <v>684</v>
      </c>
      <c r="D64" s="184">
        <v>8500</v>
      </c>
      <c r="E64" s="184">
        <v>8500</v>
      </c>
      <c r="F64" s="184">
        <v>8006</v>
      </c>
      <c r="G64" s="184">
        <v>8500</v>
      </c>
      <c r="H64" s="741">
        <f t="shared" si="1"/>
        <v>100</v>
      </c>
    </row>
    <row r="65" spans="2:12" ht="17.100000000000001" customHeight="1">
      <c r="B65" s="189">
        <v>721227</v>
      </c>
      <c r="C65" s="286" t="s">
        <v>718</v>
      </c>
      <c r="D65" s="184">
        <v>0</v>
      </c>
      <c r="E65" s="184">
        <v>0</v>
      </c>
      <c r="F65" s="184">
        <v>1961</v>
      </c>
      <c r="G65" s="184">
        <v>2000</v>
      </c>
      <c r="H65" s="741" t="str">
        <f t="shared" ref="H65" si="4">IF(E65=0,"",G65/E65*100)</f>
        <v/>
      </c>
    </row>
    <row r="66" spans="2:12" ht="17.100000000000001" customHeight="1">
      <c r="B66" s="189">
        <v>721233</v>
      </c>
      <c r="C66" s="286" t="s">
        <v>683</v>
      </c>
      <c r="D66" s="83">
        <v>0</v>
      </c>
      <c r="E66" s="83">
        <v>0</v>
      </c>
      <c r="F66" s="83">
        <v>0</v>
      </c>
      <c r="G66" s="83">
        <v>0</v>
      </c>
      <c r="H66" s="741" t="str">
        <f t="shared" si="1"/>
        <v/>
      </c>
      <c r="J66" s="345"/>
    </row>
    <row r="67" spans="2:12" ht="17.100000000000001" customHeight="1">
      <c r="B67" s="188">
        <v>721300</v>
      </c>
      <c r="C67" s="288" t="s">
        <v>331</v>
      </c>
      <c r="D67" s="82">
        <f>SUM(D68:D68)</f>
        <v>30</v>
      </c>
      <c r="E67" s="82">
        <f>SUM(E68:E68)</f>
        <v>30</v>
      </c>
      <c r="F67" s="82">
        <f>SUM(F68:F68)</f>
        <v>0</v>
      </c>
      <c r="G67" s="82">
        <f>SUM(G68:G68)</f>
        <v>0</v>
      </c>
      <c r="H67" s="742">
        <f t="shared" si="1"/>
        <v>0</v>
      </c>
      <c r="J67" s="345"/>
    </row>
    <row r="68" spans="2:12" ht="17.100000000000001" customHeight="1">
      <c r="B68" s="189">
        <v>721312</v>
      </c>
      <c r="C68" s="286" t="s">
        <v>332</v>
      </c>
      <c r="D68" s="83">
        <v>30</v>
      </c>
      <c r="E68" s="83">
        <v>30</v>
      </c>
      <c r="F68" s="83">
        <v>0</v>
      </c>
      <c r="G68" s="83">
        <v>0</v>
      </c>
      <c r="H68" s="741">
        <f t="shared" si="1"/>
        <v>0</v>
      </c>
      <c r="J68" s="345"/>
    </row>
    <row r="69" spans="2:12" ht="17.100000000000001" customHeight="1">
      <c r="B69" s="188">
        <v>721500</v>
      </c>
      <c r="C69" s="288" t="s">
        <v>333</v>
      </c>
      <c r="D69" s="82">
        <f>D70</f>
        <v>50</v>
      </c>
      <c r="E69" s="82">
        <f>E70</f>
        <v>50</v>
      </c>
      <c r="F69" s="82">
        <f>F70</f>
        <v>51</v>
      </c>
      <c r="G69" s="82">
        <f>G70</f>
        <v>320</v>
      </c>
      <c r="H69" s="742">
        <f t="shared" si="1"/>
        <v>640</v>
      </c>
    </row>
    <row r="70" spans="2:12" ht="17.100000000000001" customHeight="1">
      <c r="B70" s="189">
        <v>721511</v>
      </c>
      <c r="C70" s="286" t="s">
        <v>333</v>
      </c>
      <c r="D70" s="83">
        <v>50</v>
      </c>
      <c r="E70" s="83">
        <v>50</v>
      </c>
      <c r="F70" s="83">
        <v>51</v>
      </c>
      <c r="G70" s="83">
        <v>320</v>
      </c>
      <c r="H70" s="741">
        <f t="shared" si="1"/>
        <v>640</v>
      </c>
      <c r="J70" s="345"/>
    </row>
    <row r="71" spans="2:12" ht="25.5">
      <c r="B71" s="323">
        <v>722000</v>
      </c>
      <c r="C71" s="324" t="s">
        <v>396</v>
      </c>
      <c r="D71" s="328">
        <f>D72+D74+D76+D92+D130+D137</f>
        <v>1823930</v>
      </c>
      <c r="E71" s="328">
        <f>E72+E74+E76+E92+E130+E137</f>
        <v>1823930</v>
      </c>
      <c r="F71" s="328">
        <f>F72+F74+F76+F92+F130+F137</f>
        <v>1618151</v>
      </c>
      <c r="G71" s="328">
        <f>G72+G74+G76+G92+G130+G137</f>
        <v>2314370</v>
      </c>
      <c r="H71" s="737">
        <f t="shared" si="1"/>
        <v>126.88918982636395</v>
      </c>
    </row>
    <row r="72" spans="2:12" ht="17.100000000000001" customHeight="1">
      <c r="B72" s="182">
        <v>722100</v>
      </c>
      <c r="C72" s="196" t="s">
        <v>334</v>
      </c>
      <c r="D72" s="194">
        <f>D73</f>
        <v>118500</v>
      </c>
      <c r="E72" s="194">
        <f>E73</f>
        <v>118500</v>
      </c>
      <c r="F72" s="194">
        <f>F73</f>
        <v>88954</v>
      </c>
      <c r="G72" s="194">
        <f>G73</f>
        <v>122500</v>
      </c>
      <c r="H72" s="742">
        <f t="shared" si="1"/>
        <v>103.37552742616035</v>
      </c>
      <c r="J72" s="345"/>
    </row>
    <row r="73" spans="2:12" ht="17.100000000000001" customHeight="1">
      <c r="B73" s="185">
        <v>722121</v>
      </c>
      <c r="C73" s="292" t="s">
        <v>335</v>
      </c>
      <c r="D73" s="184">
        <v>118500</v>
      </c>
      <c r="E73" s="184">
        <v>118500</v>
      </c>
      <c r="F73" s="184">
        <v>88954</v>
      </c>
      <c r="G73" s="184">
        <v>122500</v>
      </c>
      <c r="H73" s="741">
        <f t="shared" si="1"/>
        <v>103.37552742616035</v>
      </c>
    </row>
    <row r="74" spans="2:12" ht="17.100000000000001" customHeight="1">
      <c r="B74" s="182">
        <v>722200</v>
      </c>
      <c r="C74" s="196" t="s">
        <v>336</v>
      </c>
      <c r="D74" s="194">
        <f>D75</f>
        <v>365300</v>
      </c>
      <c r="E74" s="194">
        <f>E75</f>
        <v>365300</v>
      </c>
      <c r="F74" s="194">
        <f>F75</f>
        <v>271284</v>
      </c>
      <c r="G74" s="194">
        <f>G75</f>
        <v>391400</v>
      </c>
      <c r="H74" s="742">
        <f t="shared" si="1"/>
        <v>107.14481248289079</v>
      </c>
      <c r="L74" s="409"/>
    </row>
    <row r="75" spans="2:12" ht="17.100000000000001" customHeight="1">
      <c r="B75" s="185">
        <v>722221</v>
      </c>
      <c r="C75" s="292" t="s">
        <v>337</v>
      </c>
      <c r="D75" s="184">
        <v>365300</v>
      </c>
      <c r="E75" s="184">
        <v>365300</v>
      </c>
      <c r="F75" s="184">
        <v>271284</v>
      </c>
      <c r="G75" s="184">
        <v>391400</v>
      </c>
      <c r="H75" s="741">
        <f t="shared" si="1"/>
        <v>107.14481248289079</v>
      </c>
    </row>
    <row r="76" spans="2:12" ht="17.100000000000001" customHeight="1">
      <c r="B76" s="182">
        <v>722400</v>
      </c>
      <c r="C76" s="196" t="s">
        <v>338</v>
      </c>
      <c r="D76" s="194">
        <f>D77+D83+D87</f>
        <v>174340</v>
      </c>
      <c r="E76" s="194">
        <f>E77+E83+E87</f>
        <v>174340</v>
      </c>
      <c r="F76" s="194">
        <f>F77+F83+F87</f>
        <v>179130</v>
      </c>
      <c r="G76" s="194">
        <f>G77+G83+G87</f>
        <v>449540</v>
      </c>
      <c r="H76" s="742">
        <f t="shared" si="1"/>
        <v>257.85247218079616</v>
      </c>
      <c r="K76" s="345"/>
    </row>
    <row r="77" spans="2:12" ht="17.100000000000001" customHeight="1">
      <c r="B77" s="197">
        <v>722420</v>
      </c>
      <c r="C77" s="293" t="s">
        <v>339</v>
      </c>
      <c r="D77" s="186">
        <f>D78+D79+D81+D82</f>
        <v>25540</v>
      </c>
      <c r="E77" s="186">
        <f>E78+E79+E81+E82</f>
        <v>25540</v>
      </c>
      <c r="F77" s="186">
        <f>F78+F79+F81+F82</f>
        <v>52307</v>
      </c>
      <c r="G77" s="186">
        <f>G78+G79+G81+G82</f>
        <v>299740</v>
      </c>
      <c r="H77" s="742">
        <f t="shared" ref="H77:H146" si="5">IF(E77=0,"",G77/E77*100)</f>
        <v>1173.6100234925607</v>
      </c>
    </row>
    <row r="78" spans="2:12" ht="17.100000000000001" customHeight="1">
      <c r="B78" s="185">
        <v>722421</v>
      </c>
      <c r="C78" s="292" t="s">
        <v>339</v>
      </c>
      <c r="D78" s="184">
        <v>20</v>
      </c>
      <c r="E78" s="184">
        <v>20</v>
      </c>
      <c r="F78" s="184">
        <v>0</v>
      </c>
      <c r="G78" s="184">
        <v>20</v>
      </c>
      <c r="H78" s="741">
        <f>IF(E78=0,"",G78/E78*100)</f>
        <v>100</v>
      </c>
    </row>
    <row r="79" spans="2:12" ht="17.100000000000001" customHeight="1">
      <c r="B79" s="185">
        <v>722422</v>
      </c>
      <c r="C79" s="292" t="s">
        <v>426</v>
      </c>
      <c r="D79" s="184">
        <f>D80</f>
        <v>20500</v>
      </c>
      <c r="E79" s="184">
        <f>E80</f>
        <v>20500</v>
      </c>
      <c r="F79" s="184">
        <f>F80</f>
        <v>46226</v>
      </c>
      <c r="G79" s="184">
        <f>G80</f>
        <v>291680</v>
      </c>
      <c r="H79" s="741">
        <f t="shared" si="5"/>
        <v>1422.8292682926829</v>
      </c>
    </row>
    <row r="80" spans="2:12" ht="17.100000000000001" customHeight="1">
      <c r="B80" s="185"/>
      <c r="C80" s="294" t="s">
        <v>699</v>
      </c>
      <c r="D80" s="184">
        <v>20500</v>
      </c>
      <c r="E80" s="184">
        <v>20500</v>
      </c>
      <c r="F80" s="184">
        <v>46226</v>
      </c>
      <c r="G80" s="184">
        <f>150280+52360+89040</f>
        <v>291680</v>
      </c>
      <c r="H80" s="741">
        <f t="shared" si="5"/>
        <v>1422.8292682926829</v>
      </c>
      <c r="I80" s="408"/>
    </row>
    <row r="81" spans="2:11" ht="17.100000000000001" customHeight="1">
      <c r="B81" s="185">
        <v>722424</v>
      </c>
      <c r="C81" s="292" t="s">
        <v>342</v>
      </c>
      <c r="D81" s="184">
        <v>5000</v>
      </c>
      <c r="E81" s="184">
        <v>5000</v>
      </c>
      <c r="F81" s="184">
        <v>4081</v>
      </c>
      <c r="G81" s="184">
        <v>5440</v>
      </c>
      <c r="H81" s="741">
        <f t="shared" si="5"/>
        <v>108.80000000000001</v>
      </c>
    </row>
    <row r="82" spans="2:11" ht="17.100000000000001" customHeight="1">
      <c r="B82" s="185">
        <v>722429</v>
      </c>
      <c r="C82" s="292" t="s">
        <v>340</v>
      </c>
      <c r="D82" s="184">
        <v>20</v>
      </c>
      <c r="E82" s="184">
        <v>20</v>
      </c>
      <c r="F82" s="184">
        <v>2000</v>
      </c>
      <c r="G82" s="184">
        <v>2600</v>
      </c>
      <c r="H82" s="741">
        <f t="shared" si="5"/>
        <v>13000</v>
      </c>
      <c r="K82" s="345"/>
    </row>
    <row r="83" spans="2:11" ht="17.100000000000001" customHeight="1">
      <c r="B83" s="195">
        <v>722450</v>
      </c>
      <c r="C83" s="293" t="s">
        <v>341</v>
      </c>
      <c r="D83" s="192">
        <f>SUM(D84:D86)</f>
        <v>7100</v>
      </c>
      <c r="E83" s="192">
        <f>SUM(E84:E86)</f>
        <v>7100</v>
      </c>
      <c r="F83" s="192">
        <f>SUM(F84:F86)</f>
        <v>8234</v>
      </c>
      <c r="G83" s="192">
        <f>SUM(G84:G86)</f>
        <v>8990</v>
      </c>
      <c r="H83" s="742">
        <f t="shared" si="5"/>
        <v>126.61971830985917</v>
      </c>
    </row>
    <row r="84" spans="2:11" ht="17.100000000000001" customHeight="1">
      <c r="B84" s="185">
        <v>722451</v>
      </c>
      <c r="C84" s="292" t="s">
        <v>343</v>
      </c>
      <c r="D84" s="184">
        <v>5200</v>
      </c>
      <c r="E84" s="184">
        <v>5200</v>
      </c>
      <c r="F84" s="184">
        <v>6667</v>
      </c>
      <c r="G84" s="184">
        <v>6900</v>
      </c>
      <c r="H84" s="741">
        <f t="shared" si="5"/>
        <v>132.69230769230768</v>
      </c>
    </row>
    <row r="85" spans="2:11" ht="17.100000000000001" customHeight="1">
      <c r="B85" s="185">
        <v>722454</v>
      </c>
      <c r="C85" s="292" t="s">
        <v>344</v>
      </c>
      <c r="D85" s="184">
        <v>1900</v>
      </c>
      <c r="E85" s="184">
        <v>1900</v>
      </c>
      <c r="F85" s="184">
        <v>1567</v>
      </c>
      <c r="G85" s="184">
        <v>2090</v>
      </c>
      <c r="H85" s="741">
        <f t="shared" si="5"/>
        <v>110.00000000000001</v>
      </c>
    </row>
    <row r="86" spans="2:11" ht="17.100000000000001" customHeight="1">
      <c r="B86" s="185">
        <v>722455</v>
      </c>
      <c r="C86" s="294" t="s">
        <v>700</v>
      </c>
      <c r="D86" s="184">
        <v>0</v>
      </c>
      <c r="E86" s="184">
        <v>0</v>
      </c>
      <c r="F86" s="184">
        <v>0</v>
      </c>
      <c r="G86" s="184">
        <v>0</v>
      </c>
      <c r="H86" s="741" t="str">
        <f>IF(E86=0,"",G86/E86*100)</f>
        <v/>
      </c>
      <c r="I86" s="408"/>
    </row>
    <row r="87" spans="2:11" ht="24" customHeight="1">
      <c r="B87" s="195">
        <v>722470</v>
      </c>
      <c r="C87" s="295" t="s">
        <v>397</v>
      </c>
      <c r="D87" s="192">
        <f>D88+D90+D91</f>
        <v>141700</v>
      </c>
      <c r="E87" s="192">
        <f>E88+E90+E91</f>
        <v>141700</v>
      </c>
      <c r="F87" s="192">
        <f>F88+F90+F91</f>
        <v>118589</v>
      </c>
      <c r="G87" s="192">
        <f>G88+G90+G91</f>
        <v>140810</v>
      </c>
      <c r="H87" s="742">
        <f t="shared" si="5"/>
        <v>99.371912491178549</v>
      </c>
    </row>
    <row r="88" spans="2:11" ht="17.100000000000001" customHeight="1">
      <c r="B88" s="185">
        <v>722471</v>
      </c>
      <c r="C88" s="292" t="s">
        <v>345</v>
      </c>
      <c r="D88" s="184">
        <f>D89</f>
        <v>121500</v>
      </c>
      <c r="E88" s="184">
        <f>E89</f>
        <v>121500</v>
      </c>
      <c r="F88" s="184">
        <f>F89</f>
        <v>92659</v>
      </c>
      <c r="G88" s="184">
        <f>G89</f>
        <v>106310</v>
      </c>
      <c r="H88" s="741">
        <f t="shared" si="5"/>
        <v>87.497942386831269</v>
      </c>
      <c r="J88" s="345"/>
    </row>
    <row r="89" spans="2:11" ht="17.100000000000001" customHeight="1">
      <c r="B89" s="185"/>
      <c r="C89" s="294" t="s">
        <v>699</v>
      </c>
      <c r="D89" s="184">
        <f>105500+16000</f>
        <v>121500</v>
      </c>
      <c r="E89" s="184">
        <f>105500+16000</f>
        <v>121500</v>
      </c>
      <c r="F89" s="184">
        <v>92659</v>
      </c>
      <c r="G89" s="184">
        <f>150000-43250+1360+1800-3600</f>
        <v>106310</v>
      </c>
      <c r="H89" s="741">
        <f t="shared" si="5"/>
        <v>87.497942386831269</v>
      </c>
    </row>
    <row r="90" spans="2:11" ht="25.5">
      <c r="B90" s="185">
        <v>722472</v>
      </c>
      <c r="C90" s="294" t="s">
        <v>346</v>
      </c>
      <c r="D90" s="184">
        <v>17500</v>
      </c>
      <c r="E90" s="184">
        <v>17500</v>
      </c>
      <c r="F90" s="184">
        <v>12690</v>
      </c>
      <c r="G90" s="184">
        <v>19400</v>
      </c>
      <c r="H90" s="741">
        <f t="shared" si="5"/>
        <v>110.85714285714286</v>
      </c>
    </row>
    <row r="91" spans="2:11" ht="17.100000000000001" customHeight="1">
      <c r="B91" s="185">
        <v>722479</v>
      </c>
      <c r="C91" s="294" t="s">
        <v>685</v>
      </c>
      <c r="D91" s="184">
        <v>2700</v>
      </c>
      <c r="E91" s="184">
        <v>2700</v>
      </c>
      <c r="F91" s="184">
        <v>13240</v>
      </c>
      <c r="G91" s="184">
        <v>15100</v>
      </c>
      <c r="H91" s="741">
        <f t="shared" si="5"/>
        <v>559.25925925925924</v>
      </c>
    </row>
    <row r="92" spans="2:11" ht="17.100000000000001" customHeight="1">
      <c r="B92" s="182">
        <v>722500</v>
      </c>
      <c r="C92" s="65" t="s">
        <v>698</v>
      </c>
      <c r="D92" s="198">
        <f>D93+D98+D109+D114+D116+D123</f>
        <v>760000</v>
      </c>
      <c r="E92" s="198">
        <f>E93+E98+E109+E114+E116+E123</f>
        <v>760000</v>
      </c>
      <c r="F92" s="198">
        <f>F93+F98+F109+F114+F116+F123</f>
        <v>720012</v>
      </c>
      <c r="G92" s="198">
        <f>G93+G98+G109+G114+G116+G123</f>
        <v>861280</v>
      </c>
      <c r="H92" s="742">
        <f t="shared" si="5"/>
        <v>113.32631578947368</v>
      </c>
    </row>
    <row r="93" spans="2:11" ht="27" customHeight="1">
      <c r="B93" s="195">
        <v>722510</v>
      </c>
      <c r="C93" s="199" t="s">
        <v>398</v>
      </c>
      <c r="D93" s="192">
        <f>SUM(D94:D97)</f>
        <v>9330</v>
      </c>
      <c r="E93" s="192">
        <f t="shared" ref="E93:G93" si="6">SUM(E94:E97)</f>
        <v>9330</v>
      </c>
      <c r="F93" s="192">
        <f t="shared" si="6"/>
        <v>15166</v>
      </c>
      <c r="G93" s="192">
        <f t="shared" si="6"/>
        <v>19350</v>
      </c>
      <c r="H93" s="742">
        <f t="shared" si="5"/>
        <v>207.39549839228295</v>
      </c>
    </row>
    <row r="94" spans="2:11" ht="25.5">
      <c r="B94" s="179">
        <v>722511</v>
      </c>
      <c r="C94" s="102" t="s">
        <v>719</v>
      </c>
      <c r="D94" s="158">
        <v>0</v>
      </c>
      <c r="E94" s="158">
        <v>0</v>
      </c>
      <c r="F94" s="158">
        <v>15</v>
      </c>
      <c r="G94" s="158">
        <v>20</v>
      </c>
      <c r="H94" s="741" t="str">
        <f t="shared" ref="H94" si="7">IF(E94=0,"",G94/E94*100)</f>
        <v/>
      </c>
    </row>
    <row r="95" spans="2:11" ht="25.5">
      <c r="B95" s="179">
        <v>722514</v>
      </c>
      <c r="C95" s="102" t="s">
        <v>361</v>
      </c>
      <c r="D95" s="158">
        <v>3000</v>
      </c>
      <c r="E95" s="158">
        <v>3000</v>
      </c>
      <c r="F95" s="158">
        <v>1744</v>
      </c>
      <c r="G95" s="158">
        <v>2100</v>
      </c>
      <c r="H95" s="741">
        <f t="shared" si="5"/>
        <v>70</v>
      </c>
    </row>
    <row r="96" spans="2:11" ht="17.100000000000001" customHeight="1">
      <c r="B96" s="179">
        <v>722515</v>
      </c>
      <c r="C96" s="103" t="s">
        <v>347</v>
      </c>
      <c r="D96" s="158">
        <v>6300</v>
      </c>
      <c r="E96" s="158">
        <v>6300</v>
      </c>
      <c r="F96" s="158">
        <v>13407</v>
      </c>
      <c r="G96" s="158">
        <v>17210</v>
      </c>
      <c r="H96" s="741">
        <f t="shared" si="5"/>
        <v>273.17460317460319</v>
      </c>
    </row>
    <row r="97" spans="2:8" ht="17.100000000000001" customHeight="1">
      <c r="B97" s="179">
        <v>722516</v>
      </c>
      <c r="C97" s="103" t="s">
        <v>348</v>
      </c>
      <c r="D97" s="158">
        <v>30</v>
      </c>
      <c r="E97" s="158">
        <v>30</v>
      </c>
      <c r="F97" s="158">
        <v>0</v>
      </c>
      <c r="G97" s="158">
        <v>20</v>
      </c>
      <c r="H97" s="741">
        <f t="shared" si="5"/>
        <v>66.666666666666657</v>
      </c>
    </row>
    <row r="98" spans="2:8" ht="17.100000000000001" customHeight="1">
      <c r="B98" s="195">
        <v>722520</v>
      </c>
      <c r="C98" s="200" t="s">
        <v>349</v>
      </c>
      <c r="D98" s="192">
        <f>D99+D101+D102+D103+D104+D105+D106+D107+D108</f>
        <v>207630</v>
      </c>
      <c r="E98" s="192">
        <f>E99+E101+E102+E103+E104+E105+E106+E107+E108</f>
        <v>207630</v>
      </c>
      <c r="F98" s="192">
        <f>F99+F101+F102+F103+F104+F105+F106+F107+F108</f>
        <v>198668</v>
      </c>
      <c r="G98" s="192">
        <f>G99+G101+G102+G103+G104+G105+G106+G107+G108</f>
        <v>270630</v>
      </c>
      <c r="H98" s="742">
        <f t="shared" si="5"/>
        <v>130.34243606415259</v>
      </c>
    </row>
    <row r="99" spans="2:8" ht="25.5">
      <c r="B99" s="179">
        <v>722521</v>
      </c>
      <c r="C99" s="102" t="s">
        <v>362</v>
      </c>
      <c r="D99" s="158">
        <f>D100</f>
        <v>92500</v>
      </c>
      <c r="E99" s="158">
        <f>E100</f>
        <v>92500</v>
      </c>
      <c r="F99" s="158">
        <f>F100</f>
        <v>70476</v>
      </c>
      <c r="G99" s="158">
        <f>G100</f>
        <v>98910</v>
      </c>
      <c r="H99" s="741">
        <f t="shared" si="5"/>
        <v>106.92972972972974</v>
      </c>
    </row>
    <row r="100" spans="2:8" ht="17.100000000000001" customHeight="1">
      <c r="B100" s="185"/>
      <c r="C100" s="294" t="s">
        <v>563</v>
      </c>
      <c r="D100" s="158">
        <v>92500</v>
      </c>
      <c r="E100" s="158">
        <v>92500</v>
      </c>
      <c r="F100" s="158">
        <v>70476</v>
      </c>
      <c r="G100" s="158">
        <v>98910</v>
      </c>
      <c r="H100" s="741">
        <f t="shared" si="5"/>
        <v>106.92972972972974</v>
      </c>
    </row>
    <row r="101" spans="2:8" ht="25.5" customHeight="1">
      <c r="B101" s="296">
        <v>722522</v>
      </c>
      <c r="C101" s="298" t="s">
        <v>363</v>
      </c>
      <c r="D101" s="299">
        <v>31100</v>
      </c>
      <c r="E101" s="299">
        <v>31100</v>
      </c>
      <c r="F101" s="299">
        <v>19478</v>
      </c>
      <c r="G101" s="299">
        <v>27210</v>
      </c>
      <c r="H101" s="743">
        <f t="shared" si="5"/>
        <v>87.491961414790993</v>
      </c>
    </row>
    <row r="102" spans="2:8" ht="25.5">
      <c r="B102" s="179">
        <v>722523</v>
      </c>
      <c r="C102" s="102" t="s">
        <v>364</v>
      </c>
      <c r="D102" s="158">
        <v>5800</v>
      </c>
      <c r="E102" s="158">
        <v>5800</v>
      </c>
      <c r="F102" s="158">
        <v>3793</v>
      </c>
      <c r="G102" s="299">
        <v>4910</v>
      </c>
      <c r="H102" s="739">
        <f t="shared" si="5"/>
        <v>84.655172413793096</v>
      </c>
    </row>
    <row r="103" spans="2:8" ht="27" customHeight="1">
      <c r="B103" s="179">
        <v>722524</v>
      </c>
      <c r="C103" s="419" t="s">
        <v>695</v>
      </c>
      <c r="D103" s="158">
        <v>500</v>
      </c>
      <c r="E103" s="158">
        <v>500</v>
      </c>
      <c r="F103" s="158">
        <v>332</v>
      </c>
      <c r="G103" s="299">
        <v>420</v>
      </c>
      <c r="H103" s="739">
        <f t="shared" si="5"/>
        <v>84</v>
      </c>
    </row>
    <row r="104" spans="2:8" ht="25.5">
      <c r="B104" s="179">
        <v>722525</v>
      </c>
      <c r="C104" s="419" t="s">
        <v>694</v>
      </c>
      <c r="D104" s="158">
        <v>100</v>
      </c>
      <c r="E104" s="158">
        <v>100</v>
      </c>
      <c r="F104" s="158">
        <v>135</v>
      </c>
      <c r="G104" s="299">
        <v>180</v>
      </c>
      <c r="H104" s="739">
        <f t="shared" si="5"/>
        <v>180</v>
      </c>
    </row>
    <row r="105" spans="2:8" ht="25.5">
      <c r="B105" s="179">
        <v>722526</v>
      </c>
      <c r="C105" s="102" t="s">
        <v>697</v>
      </c>
      <c r="D105" s="158">
        <v>30</v>
      </c>
      <c r="E105" s="158">
        <v>30</v>
      </c>
      <c r="F105" s="158">
        <v>0</v>
      </c>
      <c r="G105" s="299">
        <v>20</v>
      </c>
      <c r="H105" s="739">
        <f t="shared" si="5"/>
        <v>66.666666666666657</v>
      </c>
    </row>
    <row r="106" spans="2:8" ht="17.100000000000001" customHeight="1">
      <c r="B106" s="179">
        <v>722527</v>
      </c>
      <c r="C106" s="103" t="s">
        <v>564</v>
      </c>
      <c r="D106" s="158">
        <v>5200</v>
      </c>
      <c r="E106" s="158">
        <v>5200</v>
      </c>
      <c r="F106" s="158">
        <v>42169</v>
      </c>
      <c r="G106" s="299">
        <v>53220</v>
      </c>
      <c r="H106" s="739">
        <f t="shared" si="5"/>
        <v>1023.4615384615385</v>
      </c>
    </row>
    <row r="107" spans="2:8" ht="17.100000000000001" customHeight="1">
      <c r="B107" s="179">
        <v>722528</v>
      </c>
      <c r="C107" s="103" t="s">
        <v>350</v>
      </c>
      <c r="D107" s="158">
        <v>1000</v>
      </c>
      <c r="E107" s="158">
        <v>1000</v>
      </c>
      <c r="F107" s="158">
        <v>790</v>
      </c>
      <c r="G107" s="299">
        <v>1050</v>
      </c>
      <c r="H107" s="739">
        <f t="shared" si="5"/>
        <v>105</v>
      </c>
    </row>
    <row r="108" spans="2:8" ht="17.100000000000001" customHeight="1">
      <c r="B108" s="179">
        <v>722529</v>
      </c>
      <c r="C108" s="103" t="s">
        <v>351</v>
      </c>
      <c r="D108" s="158">
        <v>71400</v>
      </c>
      <c r="E108" s="158">
        <v>71400</v>
      </c>
      <c r="F108" s="158">
        <v>61495</v>
      </c>
      <c r="G108" s="299">
        <v>84710</v>
      </c>
      <c r="H108" s="739">
        <f t="shared" si="5"/>
        <v>118.64145658263305</v>
      </c>
    </row>
    <row r="109" spans="2:8" ht="17.100000000000001" customHeight="1">
      <c r="B109" s="195">
        <v>722530</v>
      </c>
      <c r="C109" s="200" t="s">
        <v>352</v>
      </c>
      <c r="D109" s="192">
        <f>SUM(D110:D113)</f>
        <v>331960</v>
      </c>
      <c r="E109" s="192">
        <f>SUM(E110:E113)</f>
        <v>331960</v>
      </c>
      <c r="F109" s="192">
        <f>SUM(F110:F113)</f>
        <v>265153</v>
      </c>
      <c r="G109" s="192">
        <f>SUM(G110:G113)</f>
        <v>361310</v>
      </c>
      <c r="H109" s="738">
        <f t="shared" si="5"/>
        <v>108.84142667791301</v>
      </c>
    </row>
    <row r="110" spans="2:8" ht="17.100000000000001" customHeight="1">
      <c r="B110" s="179">
        <v>722531</v>
      </c>
      <c r="C110" s="103" t="s">
        <v>353</v>
      </c>
      <c r="D110" s="158">
        <v>90500</v>
      </c>
      <c r="E110" s="158">
        <v>90500</v>
      </c>
      <c r="F110" s="158">
        <v>78521</v>
      </c>
      <c r="G110" s="158">
        <v>106700</v>
      </c>
      <c r="H110" s="739">
        <f t="shared" si="5"/>
        <v>117.90055248618785</v>
      </c>
    </row>
    <row r="111" spans="2:8" ht="17.100000000000001" customHeight="1">
      <c r="B111" s="179">
        <v>722532</v>
      </c>
      <c r="C111" s="103" t="s">
        <v>354</v>
      </c>
      <c r="D111" s="158">
        <v>241400</v>
      </c>
      <c r="E111" s="158">
        <v>241400</v>
      </c>
      <c r="F111" s="158">
        <v>186628</v>
      </c>
      <c r="G111" s="158">
        <v>254580</v>
      </c>
      <c r="H111" s="739">
        <f t="shared" si="5"/>
        <v>105.45981772990886</v>
      </c>
    </row>
    <row r="112" spans="2:8" ht="17.100000000000001" customHeight="1">
      <c r="B112" s="179">
        <v>722538</v>
      </c>
      <c r="C112" s="103" t="s">
        <v>355</v>
      </c>
      <c r="D112" s="158">
        <v>50</v>
      </c>
      <c r="E112" s="158">
        <v>50</v>
      </c>
      <c r="F112" s="158">
        <v>0</v>
      </c>
      <c r="G112" s="158">
        <v>20</v>
      </c>
      <c r="H112" s="739">
        <f t="shared" si="5"/>
        <v>40</v>
      </c>
    </row>
    <row r="113" spans="2:10" ht="17.100000000000001" customHeight="1">
      <c r="B113" s="179">
        <v>722539</v>
      </c>
      <c r="C113" s="103" t="s">
        <v>579</v>
      </c>
      <c r="D113" s="158">
        <v>10</v>
      </c>
      <c r="E113" s="158">
        <v>10</v>
      </c>
      <c r="F113" s="158">
        <v>4</v>
      </c>
      <c r="G113" s="158">
        <v>10</v>
      </c>
      <c r="H113" s="739">
        <f t="shared" si="5"/>
        <v>100</v>
      </c>
    </row>
    <row r="114" spans="2:10" ht="17.100000000000001" customHeight="1">
      <c r="B114" s="195">
        <v>722540</v>
      </c>
      <c r="C114" s="200" t="s">
        <v>356</v>
      </c>
      <c r="D114" s="192">
        <f>D115</f>
        <v>1200</v>
      </c>
      <c r="E114" s="192">
        <f>E115</f>
        <v>1200</v>
      </c>
      <c r="F114" s="192">
        <f>F115</f>
        <v>170</v>
      </c>
      <c r="G114" s="192">
        <f>G115</f>
        <v>200</v>
      </c>
      <c r="H114" s="738">
        <f t="shared" si="5"/>
        <v>16.666666666666664</v>
      </c>
    </row>
    <row r="115" spans="2:10" ht="17.100000000000001" customHeight="1">
      <c r="B115" s="179">
        <v>722541</v>
      </c>
      <c r="C115" s="103" t="s">
        <v>357</v>
      </c>
      <c r="D115" s="158">
        <v>1200</v>
      </c>
      <c r="E115" s="158">
        <v>1200</v>
      </c>
      <c r="F115" s="158">
        <v>170</v>
      </c>
      <c r="G115" s="158">
        <v>200</v>
      </c>
      <c r="H115" s="739">
        <f t="shared" si="5"/>
        <v>16.666666666666664</v>
      </c>
    </row>
    <row r="116" spans="2:10" ht="17.100000000000001" customHeight="1">
      <c r="B116" s="195">
        <v>722550</v>
      </c>
      <c r="C116" s="200" t="s">
        <v>358</v>
      </c>
      <c r="D116" s="192">
        <f>D117+D119+D121</f>
        <v>180000</v>
      </c>
      <c r="E116" s="192">
        <f>E117+E119+E121</f>
        <v>180000</v>
      </c>
      <c r="F116" s="192">
        <f>F117+F119+F121</f>
        <v>188224</v>
      </c>
      <c r="G116" s="192">
        <f>G117+G119+G121</f>
        <v>180000</v>
      </c>
      <c r="H116" s="738">
        <f t="shared" si="5"/>
        <v>100</v>
      </c>
      <c r="J116" s="344"/>
    </row>
    <row r="117" spans="2:10" ht="17.100000000000001" customHeight="1">
      <c r="B117" s="179">
        <v>722551</v>
      </c>
      <c r="C117" s="103" t="s">
        <v>359</v>
      </c>
      <c r="D117" s="158">
        <f>D118</f>
        <v>11000</v>
      </c>
      <c r="E117" s="158">
        <f>E118</f>
        <v>11000</v>
      </c>
      <c r="F117" s="158">
        <f>F118</f>
        <v>48635</v>
      </c>
      <c r="G117" s="158">
        <f>G118</f>
        <v>48700</v>
      </c>
      <c r="H117" s="739">
        <f t="shared" si="5"/>
        <v>442.72727272727275</v>
      </c>
      <c r="J117" s="345"/>
    </row>
    <row r="118" spans="2:10" ht="17.100000000000001" customHeight="1">
      <c r="B118" s="185"/>
      <c r="C118" s="294" t="s">
        <v>563</v>
      </c>
      <c r="D118" s="158">
        <v>11000</v>
      </c>
      <c r="E118" s="158">
        <v>11000</v>
      </c>
      <c r="F118" s="158">
        <v>48635</v>
      </c>
      <c r="G118" s="158">
        <v>48700</v>
      </c>
      <c r="H118" s="739">
        <f t="shared" si="5"/>
        <v>442.72727272727275</v>
      </c>
    </row>
    <row r="119" spans="2:10" ht="25.5">
      <c r="B119" s="179">
        <v>722555</v>
      </c>
      <c r="C119" s="102" t="s">
        <v>365</v>
      </c>
      <c r="D119" s="158">
        <f>D120</f>
        <v>81450</v>
      </c>
      <c r="E119" s="158">
        <f>E120</f>
        <v>81450</v>
      </c>
      <c r="F119" s="158">
        <f>F120</f>
        <v>47181</v>
      </c>
      <c r="G119" s="158">
        <f>G120</f>
        <v>84250</v>
      </c>
      <c r="H119" s="739">
        <f t="shared" si="5"/>
        <v>103.43769183548189</v>
      </c>
    </row>
    <row r="120" spans="2:10" ht="17.100000000000001" customHeight="1">
      <c r="B120" s="185"/>
      <c r="C120" s="294" t="s">
        <v>563</v>
      </c>
      <c r="D120" s="158">
        <f>61000+20450</f>
        <v>81450</v>
      </c>
      <c r="E120" s="158">
        <f>61000+20450</f>
        <v>81450</v>
      </c>
      <c r="F120" s="158">
        <v>47181</v>
      </c>
      <c r="G120" s="158">
        <f>21220+53030+10000</f>
        <v>84250</v>
      </c>
      <c r="H120" s="739">
        <f t="shared" si="5"/>
        <v>103.43769183548189</v>
      </c>
    </row>
    <row r="121" spans="2:10" ht="25.5">
      <c r="B121" s="179">
        <v>722556</v>
      </c>
      <c r="C121" s="102" t="s">
        <v>366</v>
      </c>
      <c r="D121" s="158">
        <f>D122</f>
        <v>87550</v>
      </c>
      <c r="E121" s="158">
        <f>E122</f>
        <v>87550</v>
      </c>
      <c r="F121" s="158">
        <f>F122</f>
        <v>92408</v>
      </c>
      <c r="G121" s="158">
        <f>G122</f>
        <v>47050</v>
      </c>
      <c r="H121" s="739">
        <f t="shared" si="5"/>
        <v>53.7407195888064</v>
      </c>
    </row>
    <row r="122" spans="2:10" ht="17.100000000000001" customHeight="1">
      <c r="B122" s="185"/>
      <c r="C122" s="294" t="s">
        <v>563</v>
      </c>
      <c r="D122" s="158">
        <f>180000-11000-81450</f>
        <v>87550</v>
      </c>
      <c r="E122" s="158">
        <f>180000-11000-81450</f>
        <v>87550</v>
      </c>
      <c r="F122" s="158">
        <v>92408</v>
      </c>
      <c r="G122" s="158">
        <v>47050</v>
      </c>
      <c r="H122" s="739">
        <f t="shared" si="5"/>
        <v>53.7407195888064</v>
      </c>
    </row>
    <row r="123" spans="2:10" ht="17.100000000000001" customHeight="1">
      <c r="B123" s="195">
        <v>722580</v>
      </c>
      <c r="C123" s="200" t="s">
        <v>367</v>
      </c>
      <c r="D123" s="192">
        <f>D124+D126+D127+D128+D129</f>
        <v>29880</v>
      </c>
      <c r="E123" s="192">
        <f>E124+E126+E127+E128+E129</f>
        <v>29880</v>
      </c>
      <c r="F123" s="192">
        <f>F124+F126+F127+F128+F129</f>
        <v>52631</v>
      </c>
      <c r="G123" s="192">
        <f>G124+G126+G127+G128+G129</f>
        <v>29790</v>
      </c>
      <c r="H123" s="738">
        <f t="shared" si="5"/>
        <v>99.698795180722882</v>
      </c>
    </row>
    <row r="124" spans="2:10" ht="25.5">
      <c r="B124" s="179">
        <v>722581</v>
      </c>
      <c r="C124" s="102" t="s">
        <v>696</v>
      </c>
      <c r="D124" s="158">
        <f>D125</f>
        <v>22780</v>
      </c>
      <c r="E124" s="158">
        <f>E125</f>
        <v>22780</v>
      </c>
      <c r="F124" s="158">
        <f>F125</f>
        <v>43481</v>
      </c>
      <c r="G124" s="158">
        <f>G125</f>
        <v>18690</v>
      </c>
      <c r="H124" s="739">
        <f t="shared" si="5"/>
        <v>82.045654082528529</v>
      </c>
    </row>
    <row r="125" spans="2:10" ht="17.100000000000001" customHeight="1">
      <c r="B125" s="185"/>
      <c r="C125" s="294" t="s">
        <v>565</v>
      </c>
      <c r="D125" s="158">
        <v>22780</v>
      </c>
      <c r="E125" s="158">
        <v>22780</v>
      </c>
      <c r="F125" s="158">
        <v>43481</v>
      </c>
      <c r="G125" s="158">
        <f>19310-560-60</f>
        <v>18690</v>
      </c>
      <c r="H125" s="739">
        <f t="shared" si="5"/>
        <v>82.045654082528529</v>
      </c>
      <c r="J125" s="344"/>
    </row>
    <row r="126" spans="2:10" ht="37.5" customHeight="1">
      <c r="B126" s="179">
        <v>722582</v>
      </c>
      <c r="C126" s="419" t="s">
        <v>693</v>
      </c>
      <c r="D126" s="158">
        <v>3700</v>
      </c>
      <c r="E126" s="158">
        <v>3700</v>
      </c>
      <c r="F126" s="158">
        <v>7298</v>
      </c>
      <c r="G126" s="158">
        <v>8900</v>
      </c>
      <c r="H126" s="739">
        <f t="shared" si="5"/>
        <v>240.54054054054052</v>
      </c>
    </row>
    <row r="127" spans="2:10" ht="26.25" customHeight="1">
      <c r="B127" s="179">
        <v>722583</v>
      </c>
      <c r="C127" s="102" t="s">
        <v>368</v>
      </c>
      <c r="D127" s="158">
        <v>1700</v>
      </c>
      <c r="E127" s="158">
        <v>1700</v>
      </c>
      <c r="F127" s="158">
        <v>894</v>
      </c>
      <c r="G127" s="158">
        <v>1050</v>
      </c>
      <c r="H127" s="739">
        <f t="shared" si="5"/>
        <v>61.764705882352942</v>
      </c>
    </row>
    <row r="128" spans="2:10" ht="25.5">
      <c r="B128" s="179">
        <v>722584</v>
      </c>
      <c r="C128" s="102" t="s">
        <v>369</v>
      </c>
      <c r="D128" s="158">
        <v>1200</v>
      </c>
      <c r="E128" s="158">
        <v>1200</v>
      </c>
      <c r="F128" s="158">
        <v>508</v>
      </c>
      <c r="G128" s="158">
        <v>620</v>
      </c>
      <c r="H128" s="739">
        <f t="shared" si="5"/>
        <v>51.666666666666671</v>
      </c>
    </row>
    <row r="129" spans="2:8" ht="25.5">
      <c r="B129" s="179">
        <v>722585</v>
      </c>
      <c r="C129" s="102" t="s">
        <v>370</v>
      </c>
      <c r="D129" s="158">
        <v>500</v>
      </c>
      <c r="E129" s="158">
        <v>500</v>
      </c>
      <c r="F129" s="158">
        <v>450</v>
      </c>
      <c r="G129" s="158">
        <v>530</v>
      </c>
      <c r="H129" s="739">
        <f t="shared" si="5"/>
        <v>106</v>
      </c>
    </row>
    <row r="130" spans="2:8" ht="17.100000000000001" customHeight="1">
      <c r="B130" s="182">
        <v>722600</v>
      </c>
      <c r="C130" s="65" t="s">
        <v>360</v>
      </c>
      <c r="D130" s="198">
        <f>SUM(D131:D136)</f>
        <v>404720</v>
      </c>
      <c r="E130" s="198">
        <f>SUM(E131:E136)</f>
        <v>404720</v>
      </c>
      <c r="F130" s="198">
        <f>SUM(F131:F136)</f>
        <v>356273</v>
      </c>
      <c r="G130" s="198">
        <f>SUM(G131:G136)</f>
        <v>486480</v>
      </c>
      <c r="H130" s="738">
        <f t="shared" si="5"/>
        <v>120.20162087369046</v>
      </c>
    </row>
    <row r="131" spans="2:8" ht="17.100000000000001" customHeight="1">
      <c r="B131" s="185">
        <v>722611</v>
      </c>
      <c r="C131" s="103" t="s">
        <v>371</v>
      </c>
      <c r="D131" s="158">
        <v>140500</v>
      </c>
      <c r="E131" s="158">
        <v>140500</v>
      </c>
      <c r="F131" s="158">
        <v>103222</v>
      </c>
      <c r="G131" s="158">
        <v>143130</v>
      </c>
      <c r="H131" s="739">
        <f t="shared" si="5"/>
        <v>101.87188612099645</v>
      </c>
    </row>
    <row r="132" spans="2:8" ht="17.100000000000001" customHeight="1">
      <c r="B132" s="185">
        <v>722612</v>
      </c>
      <c r="C132" s="103" t="s">
        <v>372</v>
      </c>
      <c r="D132" s="158">
        <v>49800</v>
      </c>
      <c r="E132" s="158">
        <v>49800</v>
      </c>
      <c r="F132" s="158">
        <v>32570</v>
      </c>
      <c r="G132" s="158">
        <v>41430</v>
      </c>
      <c r="H132" s="739">
        <f t="shared" si="5"/>
        <v>83.192771084337352</v>
      </c>
    </row>
    <row r="133" spans="2:8" ht="17.100000000000001" customHeight="1">
      <c r="B133" s="185">
        <v>722613</v>
      </c>
      <c r="C133" s="103" t="s">
        <v>373</v>
      </c>
      <c r="D133" s="158">
        <v>9500</v>
      </c>
      <c r="E133" s="158">
        <v>9500</v>
      </c>
      <c r="F133" s="158">
        <v>6770</v>
      </c>
      <c r="G133" s="158">
        <v>9400</v>
      </c>
      <c r="H133" s="739">
        <f t="shared" si="5"/>
        <v>98.94736842105263</v>
      </c>
    </row>
    <row r="134" spans="2:8" ht="17.100000000000001" customHeight="1">
      <c r="B134" s="185">
        <v>722621</v>
      </c>
      <c r="C134" s="103" t="s">
        <v>374</v>
      </c>
      <c r="D134" s="158">
        <v>149900</v>
      </c>
      <c r="E134" s="158">
        <v>149900</v>
      </c>
      <c r="F134" s="158">
        <v>105522</v>
      </c>
      <c r="G134" s="158">
        <v>166100</v>
      </c>
      <c r="H134" s="739">
        <f t="shared" si="5"/>
        <v>110.80720480320214</v>
      </c>
    </row>
    <row r="135" spans="2:8" ht="17.100000000000001" customHeight="1">
      <c r="B135" s="185">
        <v>722631</v>
      </c>
      <c r="C135" s="103" t="s">
        <v>375</v>
      </c>
      <c r="D135" s="158">
        <v>55000</v>
      </c>
      <c r="E135" s="158">
        <v>55000</v>
      </c>
      <c r="F135" s="158">
        <v>108009</v>
      </c>
      <c r="G135" s="158">
        <v>126200</v>
      </c>
      <c r="H135" s="739">
        <f t="shared" si="5"/>
        <v>229.45454545454544</v>
      </c>
    </row>
    <row r="136" spans="2:8" ht="17.100000000000001" customHeight="1">
      <c r="B136" s="185">
        <v>722632</v>
      </c>
      <c r="C136" s="103" t="s">
        <v>580</v>
      </c>
      <c r="D136" s="158">
        <v>20</v>
      </c>
      <c r="E136" s="158">
        <v>20</v>
      </c>
      <c r="F136" s="158">
        <v>180</v>
      </c>
      <c r="G136" s="158">
        <v>220</v>
      </c>
      <c r="H136" s="739">
        <f t="shared" si="5"/>
        <v>1100</v>
      </c>
    </row>
    <row r="137" spans="2:8" ht="17.100000000000001" customHeight="1">
      <c r="B137" s="195">
        <v>722700</v>
      </c>
      <c r="C137" s="65" t="s">
        <v>376</v>
      </c>
      <c r="D137" s="198">
        <f>SUM(D138:D141)</f>
        <v>1070</v>
      </c>
      <c r="E137" s="198">
        <f t="shared" ref="E137:G137" si="8">SUM(E138:E141)</f>
        <v>1070</v>
      </c>
      <c r="F137" s="198">
        <f t="shared" si="8"/>
        <v>2498</v>
      </c>
      <c r="G137" s="198">
        <f t="shared" si="8"/>
        <v>3170</v>
      </c>
      <c r="H137" s="738">
        <f t="shared" si="5"/>
        <v>296.26168224299067</v>
      </c>
    </row>
    <row r="138" spans="2:8" ht="17.100000000000001" customHeight="1">
      <c r="B138" s="185">
        <v>722715</v>
      </c>
      <c r="C138" s="103" t="s">
        <v>720</v>
      </c>
      <c r="D138" s="158">
        <v>0</v>
      </c>
      <c r="E138" s="158">
        <v>0</v>
      </c>
      <c r="F138" s="158">
        <v>1677</v>
      </c>
      <c r="G138" s="158">
        <v>1700</v>
      </c>
      <c r="H138" s="739" t="str">
        <f t="shared" ref="H138" si="9">IF(E138=0,"",G138/E138*100)</f>
        <v/>
      </c>
    </row>
    <row r="139" spans="2:8" ht="17.100000000000001" customHeight="1">
      <c r="B139" s="185">
        <v>722719</v>
      </c>
      <c r="C139" s="103" t="s">
        <v>566</v>
      </c>
      <c r="D139" s="158">
        <v>50</v>
      </c>
      <c r="E139" s="158">
        <v>50</v>
      </c>
      <c r="F139" s="158">
        <v>0</v>
      </c>
      <c r="G139" s="158">
        <v>50</v>
      </c>
      <c r="H139" s="739">
        <f t="shared" si="5"/>
        <v>100</v>
      </c>
    </row>
    <row r="140" spans="2:8" ht="17.100000000000001" customHeight="1">
      <c r="B140" s="185">
        <v>722732</v>
      </c>
      <c r="C140" s="103" t="s">
        <v>377</v>
      </c>
      <c r="D140" s="158">
        <v>20</v>
      </c>
      <c r="E140" s="158">
        <v>20</v>
      </c>
      <c r="F140" s="158">
        <v>413</v>
      </c>
      <c r="G140" s="158">
        <v>420</v>
      </c>
      <c r="H140" s="739">
        <f t="shared" si="5"/>
        <v>2100</v>
      </c>
    </row>
    <row r="141" spans="2:8" ht="17.100000000000001" customHeight="1">
      <c r="B141" s="185">
        <v>722791</v>
      </c>
      <c r="C141" s="103" t="s">
        <v>378</v>
      </c>
      <c r="D141" s="158">
        <v>1000</v>
      </c>
      <c r="E141" s="158">
        <v>1000</v>
      </c>
      <c r="F141" s="158">
        <v>408</v>
      </c>
      <c r="G141" s="158">
        <v>1000</v>
      </c>
      <c r="H141" s="739">
        <f t="shared" si="5"/>
        <v>100</v>
      </c>
    </row>
    <row r="142" spans="2:8" ht="17.100000000000001" customHeight="1">
      <c r="B142" s="323">
        <v>723000</v>
      </c>
      <c r="C142" s="324" t="s">
        <v>193</v>
      </c>
      <c r="D142" s="325">
        <f>D143</f>
        <v>484070</v>
      </c>
      <c r="E142" s="325">
        <f>E143</f>
        <v>484070</v>
      </c>
      <c r="F142" s="325">
        <f>F143</f>
        <v>309094</v>
      </c>
      <c r="G142" s="325">
        <f>G143</f>
        <v>452250</v>
      </c>
      <c r="H142" s="737">
        <f t="shared" si="5"/>
        <v>93.42657053731898</v>
      </c>
    </row>
    <row r="143" spans="2:8" ht="17.100000000000001" customHeight="1">
      <c r="B143" s="188">
        <v>723100</v>
      </c>
      <c r="C143" s="199" t="s">
        <v>379</v>
      </c>
      <c r="D143" s="192">
        <f>SUM(D144:D147)</f>
        <v>484070</v>
      </c>
      <c r="E143" s="192">
        <f>SUM(E144:E147)</f>
        <v>484070</v>
      </c>
      <c r="F143" s="192">
        <f>SUM(F144:F147)</f>
        <v>309094</v>
      </c>
      <c r="G143" s="192">
        <f>SUM(G144:G147)</f>
        <v>452250</v>
      </c>
      <c r="H143" s="739">
        <f t="shared" si="5"/>
        <v>93.42657053731898</v>
      </c>
    </row>
    <row r="144" spans="2:8" ht="17.100000000000001" customHeight="1">
      <c r="B144" s="185">
        <v>723121</v>
      </c>
      <c r="C144" s="29" t="s">
        <v>380</v>
      </c>
      <c r="D144" s="187">
        <v>50</v>
      </c>
      <c r="E144" s="187">
        <v>50</v>
      </c>
      <c r="F144" s="187">
        <v>100</v>
      </c>
      <c r="G144" s="187">
        <v>150</v>
      </c>
      <c r="H144" s="739">
        <f t="shared" si="5"/>
        <v>300</v>
      </c>
    </row>
    <row r="145" spans="2:8" ht="17.100000000000001" customHeight="1">
      <c r="B145" s="185">
        <v>723122</v>
      </c>
      <c r="C145" s="29" t="s">
        <v>381</v>
      </c>
      <c r="D145" s="184">
        <v>20</v>
      </c>
      <c r="E145" s="184">
        <v>20</v>
      </c>
      <c r="F145" s="184">
        <v>70</v>
      </c>
      <c r="G145" s="184">
        <v>90</v>
      </c>
      <c r="H145" s="739">
        <f t="shared" si="5"/>
        <v>450</v>
      </c>
    </row>
    <row r="146" spans="2:8" ht="25.5">
      <c r="B146" s="185">
        <v>723123</v>
      </c>
      <c r="C146" s="63" t="s">
        <v>383</v>
      </c>
      <c r="D146" s="187">
        <v>480000</v>
      </c>
      <c r="E146" s="187">
        <v>480000</v>
      </c>
      <c r="F146" s="187">
        <v>303574</v>
      </c>
      <c r="G146" s="187">
        <f>439800+4920-1320</f>
        <v>443400</v>
      </c>
      <c r="H146" s="739">
        <f t="shared" si="5"/>
        <v>92.375</v>
      </c>
    </row>
    <row r="147" spans="2:8" ht="17.100000000000001" customHeight="1">
      <c r="B147" s="300">
        <v>723129</v>
      </c>
      <c r="C147" s="301" t="s">
        <v>382</v>
      </c>
      <c r="D147" s="302">
        <v>4000</v>
      </c>
      <c r="E147" s="302">
        <v>4000</v>
      </c>
      <c r="F147" s="302">
        <v>5350</v>
      </c>
      <c r="G147" s="302">
        <v>8610</v>
      </c>
      <c r="H147" s="740">
        <f t="shared" ref="H147:H207" si="10">IF(E147=0,"",G147/E147*100)</f>
        <v>215.25</v>
      </c>
    </row>
    <row r="148" spans="2:8">
      <c r="B148" s="185"/>
      <c r="C148" s="178"/>
      <c r="D148" s="187"/>
      <c r="E148" s="187"/>
      <c r="F148" s="187"/>
      <c r="G148" s="187"/>
      <c r="H148" s="741" t="str">
        <f t="shared" si="10"/>
        <v/>
      </c>
    </row>
    <row r="149" spans="2:8" ht="15">
      <c r="B149" s="774" t="s">
        <v>424</v>
      </c>
      <c r="C149" s="775"/>
      <c r="D149" s="203">
        <f>D5+D57</f>
        <v>39404570</v>
      </c>
      <c r="E149" s="203">
        <f>E5+E57</f>
        <v>39404570</v>
      </c>
      <c r="F149" s="203">
        <f>F5+F57</f>
        <v>29282545</v>
      </c>
      <c r="G149" s="203">
        <f>G5+G57</f>
        <v>37957590</v>
      </c>
      <c r="H149" s="742">
        <f t="shared" si="10"/>
        <v>96.327887856662315</v>
      </c>
    </row>
    <row r="150" spans="2:8">
      <c r="B150" s="66"/>
      <c r="C150" s="64"/>
      <c r="D150" s="83"/>
      <c r="E150" s="83"/>
      <c r="F150" s="83"/>
      <c r="G150" s="83"/>
      <c r="H150" s="741" t="str">
        <f t="shared" si="10"/>
        <v/>
      </c>
    </row>
    <row r="151" spans="2:8" ht="17.100000000000001" customHeight="1">
      <c r="B151" s="320">
        <v>730000</v>
      </c>
      <c r="C151" s="329" t="s">
        <v>477</v>
      </c>
      <c r="D151" s="322">
        <f>D152+D159+D174</f>
        <v>2828310</v>
      </c>
      <c r="E151" s="322">
        <f>E152+E159+E174</f>
        <v>2843110</v>
      </c>
      <c r="F151" s="322">
        <f>F152+F159+F174</f>
        <v>1341099</v>
      </c>
      <c r="G151" s="322">
        <f>G152+G159+G174</f>
        <v>3112340</v>
      </c>
      <c r="H151" s="737">
        <f t="shared" si="10"/>
        <v>109.46955974267615</v>
      </c>
    </row>
    <row r="152" spans="2:8" ht="25.5">
      <c r="B152" s="330">
        <v>731000</v>
      </c>
      <c r="C152" s="331" t="s">
        <v>459</v>
      </c>
      <c r="D152" s="332">
        <f>D153</f>
        <v>0</v>
      </c>
      <c r="E152" s="332">
        <f>E153</f>
        <v>0</v>
      </c>
      <c r="F152" s="332">
        <f>F153</f>
        <v>88345</v>
      </c>
      <c r="G152" s="332">
        <f>G153</f>
        <v>139470</v>
      </c>
      <c r="H152" s="737" t="str">
        <f t="shared" si="10"/>
        <v/>
      </c>
    </row>
    <row r="153" spans="2:8" ht="17.100000000000001" customHeight="1">
      <c r="B153" s="195">
        <v>731100</v>
      </c>
      <c r="C153" s="293" t="s">
        <v>460</v>
      </c>
      <c r="D153" s="192">
        <f>D154+D155</f>
        <v>0</v>
      </c>
      <c r="E153" s="192">
        <f>E154+E155</f>
        <v>0</v>
      </c>
      <c r="F153" s="192">
        <f>F154+F155</f>
        <v>88345</v>
      </c>
      <c r="G153" s="192">
        <f>G154+G155</f>
        <v>139470</v>
      </c>
      <c r="H153" s="742" t="str">
        <f t="shared" si="10"/>
        <v/>
      </c>
    </row>
    <row r="154" spans="2:8" ht="17.100000000000001" customHeight="1">
      <c r="B154" s="347">
        <v>731111</v>
      </c>
      <c r="C154" s="286" t="s">
        <v>598</v>
      </c>
      <c r="D154" s="348">
        <v>0</v>
      </c>
      <c r="E154" s="348">
        <v>0</v>
      </c>
      <c r="F154" s="348">
        <v>0</v>
      </c>
      <c r="G154" s="348">
        <v>0</v>
      </c>
      <c r="H154" s="741" t="str">
        <f>IF(E154=0,"",G154/E154*100)</f>
        <v/>
      </c>
    </row>
    <row r="155" spans="2:8" ht="17.100000000000001" customHeight="1">
      <c r="B155" s="347">
        <v>731121</v>
      </c>
      <c r="C155" s="286" t="s">
        <v>461</v>
      </c>
      <c r="D155" s="348">
        <f t="shared" ref="D155:F155" si="11">SUM(D156:D158)</f>
        <v>0</v>
      </c>
      <c r="E155" s="348">
        <f t="shared" si="11"/>
        <v>0</v>
      </c>
      <c r="F155" s="348">
        <f t="shared" si="11"/>
        <v>88345</v>
      </c>
      <c r="G155" s="348">
        <f>SUM(G156:G158)</f>
        <v>139470</v>
      </c>
      <c r="H155" s="741" t="str">
        <f t="shared" si="10"/>
        <v/>
      </c>
    </row>
    <row r="156" spans="2:8" ht="17.100000000000001" customHeight="1">
      <c r="B156" s="347"/>
      <c r="C156" s="294" t="s">
        <v>800</v>
      </c>
      <c r="D156" s="349">
        <v>0</v>
      </c>
      <c r="E156" s="349">
        <v>0</v>
      </c>
      <c r="F156" s="349">
        <v>0</v>
      </c>
      <c r="G156" s="349">
        <v>50000</v>
      </c>
      <c r="H156" s="741" t="str">
        <f t="shared" ref="H156" si="12">IF(E156=0,"",G156/E156*100)</f>
        <v/>
      </c>
    </row>
    <row r="157" spans="2:8" ht="17.100000000000001" customHeight="1">
      <c r="B157" s="347"/>
      <c r="C157" s="294" t="s">
        <v>686</v>
      </c>
      <c r="D157" s="349">
        <v>0</v>
      </c>
      <c r="E157" s="349">
        <v>0</v>
      </c>
      <c r="F157" s="349">
        <v>0</v>
      </c>
      <c r="G157" s="349">
        <v>1120</v>
      </c>
      <c r="H157" s="741" t="str">
        <f t="shared" si="10"/>
        <v/>
      </c>
    </row>
    <row r="158" spans="2:8" ht="17.100000000000001" customHeight="1">
      <c r="B158" s="347"/>
      <c r="C158" s="294" t="s">
        <v>567</v>
      </c>
      <c r="D158" s="349">
        <v>0</v>
      </c>
      <c r="E158" s="349">
        <v>0</v>
      </c>
      <c r="F158" s="349">
        <v>88345</v>
      </c>
      <c r="G158" s="349">
        <v>88350</v>
      </c>
      <c r="H158" s="741" t="str">
        <f t="shared" si="10"/>
        <v/>
      </c>
    </row>
    <row r="159" spans="2:8" ht="17.100000000000001" customHeight="1">
      <c r="B159" s="333">
        <v>732000</v>
      </c>
      <c r="C159" s="331" t="s">
        <v>462</v>
      </c>
      <c r="D159" s="332">
        <f>D160</f>
        <v>2828310</v>
      </c>
      <c r="E159" s="332">
        <f>E160</f>
        <v>2843110</v>
      </c>
      <c r="F159" s="332">
        <f>F160</f>
        <v>1252354</v>
      </c>
      <c r="G159" s="332">
        <f>G160</f>
        <v>2972470</v>
      </c>
      <c r="H159" s="737">
        <f t="shared" si="10"/>
        <v>104.5499470650098</v>
      </c>
    </row>
    <row r="160" spans="2:8" ht="17.100000000000001" customHeight="1">
      <c r="B160" s="195">
        <v>732100</v>
      </c>
      <c r="C160" s="293" t="s">
        <v>463</v>
      </c>
      <c r="D160" s="192">
        <f>D161+D169+D171</f>
        <v>2828310</v>
      </c>
      <c r="E160" s="192">
        <f>E161+E169+E171</f>
        <v>2843110</v>
      </c>
      <c r="F160" s="192">
        <f>F161+F169+F171</f>
        <v>1252354</v>
      </c>
      <c r="G160" s="192">
        <f>G161+G169+G171</f>
        <v>2972470</v>
      </c>
      <c r="H160" s="742">
        <f t="shared" si="10"/>
        <v>104.5499470650098</v>
      </c>
    </row>
    <row r="161" spans="2:9" ht="17.100000000000001" customHeight="1">
      <c r="B161" s="182">
        <v>732110</v>
      </c>
      <c r="C161" s="191" t="s">
        <v>464</v>
      </c>
      <c r="D161" s="198">
        <f>D162+D168</f>
        <v>2782400</v>
      </c>
      <c r="E161" s="198">
        <f>E162+E168</f>
        <v>2797200</v>
      </c>
      <c r="F161" s="198">
        <f>F162+F168</f>
        <v>1214902</v>
      </c>
      <c r="G161" s="198">
        <f>G162+G168</f>
        <v>2931700</v>
      </c>
      <c r="H161" s="742">
        <f t="shared" si="10"/>
        <v>104.8083798083798</v>
      </c>
    </row>
    <row r="162" spans="2:9" ht="17.100000000000001" customHeight="1">
      <c r="B162" s="347">
        <v>732112</v>
      </c>
      <c r="C162" s="286" t="s">
        <v>465</v>
      </c>
      <c r="D162" s="348">
        <f>SUM(D163:D167)</f>
        <v>2782400</v>
      </c>
      <c r="E162" s="348">
        <f>SUM(E163:E167)</f>
        <v>2792200</v>
      </c>
      <c r="F162" s="348">
        <f>SUM(F163:F167)</f>
        <v>1209902</v>
      </c>
      <c r="G162" s="348">
        <f>SUM(G163:G167)</f>
        <v>2926700</v>
      </c>
      <c r="H162" s="741">
        <f t="shared" si="10"/>
        <v>104.81699018694937</v>
      </c>
    </row>
    <row r="163" spans="2:9" ht="17.100000000000001" customHeight="1">
      <c r="B163" s="347"/>
      <c r="C163" s="294" t="s">
        <v>581</v>
      </c>
      <c r="D163" s="349">
        <v>9400</v>
      </c>
      <c r="E163" s="349">
        <v>9400</v>
      </c>
      <c r="F163" s="349">
        <v>0</v>
      </c>
      <c r="G163" s="349">
        <v>0</v>
      </c>
      <c r="H163" s="741"/>
    </row>
    <row r="164" spans="2:9" ht="25.5">
      <c r="B164" s="347"/>
      <c r="C164" s="294" t="s">
        <v>421</v>
      </c>
      <c r="D164" s="349">
        <v>273000</v>
      </c>
      <c r="E164" s="349">
        <v>273000</v>
      </c>
      <c r="F164" s="349">
        <v>200102</v>
      </c>
      <c r="G164" s="349">
        <v>266900</v>
      </c>
      <c r="H164" s="741">
        <f t="shared" si="10"/>
        <v>97.765567765567766</v>
      </c>
    </row>
    <row r="165" spans="2:9" ht="25.5">
      <c r="B165" s="347"/>
      <c r="C165" s="294" t="s">
        <v>801</v>
      </c>
      <c r="D165" s="349">
        <v>0</v>
      </c>
      <c r="E165" s="349">
        <v>0</v>
      </c>
      <c r="F165" s="349">
        <v>0</v>
      </c>
      <c r="G165" s="349">
        <v>150000</v>
      </c>
      <c r="H165" s="741" t="str">
        <f t="shared" ref="H165" si="13">IF(E165=0,"",G165/E165*100)</f>
        <v/>
      </c>
    </row>
    <row r="166" spans="2:9" ht="25.5">
      <c r="B166" s="347"/>
      <c r="C166" s="294" t="s">
        <v>805</v>
      </c>
      <c r="D166" s="349">
        <v>0</v>
      </c>
      <c r="E166" s="349">
        <v>9800</v>
      </c>
      <c r="F166" s="349">
        <v>9800</v>
      </c>
      <c r="G166" s="349">
        <v>9800</v>
      </c>
      <c r="H166" s="741">
        <f>IF(E166=0,"",G166/E166*100)</f>
        <v>100</v>
      </c>
    </row>
    <row r="167" spans="2:9" ht="17.100000000000001" customHeight="1">
      <c r="B167" s="347"/>
      <c r="C167" s="294" t="s">
        <v>422</v>
      </c>
      <c r="D167" s="349">
        <v>2500000</v>
      </c>
      <c r="E167" s="349">
        <v>2500000</v>
      </c>
      <c r="F167" s="349">
        <v>1000000</v>
      </c>
      <c r="G167" s="349">
        <v>2500000</v>
      </c>
      <c r="H167" s="741">
        <f t="shared" si="10"/>
        <v>100</v>
      </c>
    </row>
    <row r="168" spans="2:9" ht="17.100000000000001" customHeight="1">
      <c r="B168" s="347">
        <v>732115</v>
      </c>
      <c r="C168" s="286" t="s">
        <v>729</v>
      </c>
      <c r="D168" s="348">
        <v>0</v>
      </c>
      <c r="E168" s="348">
        <v>5000</v>
      </c>
      <c r="F168" s="348">
        <v>5000</v>
      </c>
      <c r="G168" s="348">
        <v>5000</v>
      </c>
      <c r="H168" s="741">
        <f t="shared" ref="H168" si="14">IF(E168=0,"",G168/E168*100)</f>
        <v>100</v>
      </c>
    </row>
    <row r="169" spans="2:9" ht="17.100000000000001" customHeight="1">
      <c r="B169" s="182">
        <v>732120</v>
      </c>
      <c r="C169" s="191" t="s">
        <v>466</v>
      </c>
      <c r="D169" s="198">
        <f>SUM(D170:D170)</f>
        <v>20710</v>
      </c>
      <c r="E169" s="198">
        <f>SUM(E170:E170)</f>
        <v>20710</v>
      </c>
      <c r="F169" s="198">
        <f>SUM(F170:F170)</f>
        <v>17842</v>
      </c>
      <c r="G169" s="198">
        <f>SUM(G170:G170)</f>
        <v>18160</v>
      </c>
      <c r="H169" s="742">
        <f t="shared" si="10"/>
        <v>87.687107677450498</v>
      </c>
    </row>
    <row r="170" spans="2:9" ht="17.100000000000001" customHeight="1">
      <c r="B170" s="189">
        <v>732125</v>
      </c>
      <c r="C170" s="292" t="s">
        <v>687</v>
      </c>
      <c r="D170" s="158">
        <v>20710</v>
      </c>
      <c r="E170" s="158">
        <v>20710</v>
      </c>
      <c r="F170" s="158">
        <v>17842</v>
      </c>
      <c r="G170" s="158">
        <v>18160</v>
      </c>
      <c r="H170" s="741">
        <f t="shared" si="10"/>
        <v>87.687107677450498</v>
      </c>
      <c r="I170" s="420"/>
    </row>
    <row r="171" spans="2:9" ht="17.100000000000001" customHeight="1">
      <c r="B171" s="182">
        <v>732130</v>
      </c>
      <c r="C171" s="191" t="s">
        <v>669</v>
      </c>
      <c r="D171" s="198">
        <f>SUM(D172:D173)</f>
        <v>25200</v>
      </c>
      <c r="E171" s="198">
        <f>SUM(E172:E173)</f>
        <v>25200</v>
      </c>
      <c r="F171" s="198">
        <f t="shared" ref="F171" si="15">SUM(F172:F173)</f>
        <v>19610</v>
      </c>
      <c r="G171" s="198">
        <f>SUM(G172:G173)</f>
        <v>22610</v>
      </c>
      <c r="H171" s="742">
        <f t="shared" ref="H171:H172" si="16">IF(E171=0,"",G171/E171*100)</f>
        <v>89.722222222222229</v>
      </c>
    </row>
    <row r="172" spans="2:9" ht="17.100000000000001" customHeight="1">
      <c r="B172" s="189">
        <v>732131</v>
      </c>
      <c r="C172" s="292" t="s">
        <v>708</v>
      </c>
      <c r="D172" s="158">
        <v>18000</v>
      </c>
      <c r="E172" s="158">
        <v>18000</v>
      </c>
      <c r="F172" s="158">
        <v>19610</v>
      </c>
      <c r="G172" s="733">
        <f>19610+3000</f>
        <v>22610</v>
      </c>
      <c r="H172" s="741">
        <f t="shared" si="16"/>
        <v>125.61111111111111</v>
      </c>
    </row>
    <row r="173" spans="2:9" ht="17.100000000000001" customHeight="1">
      <c r="B173" s="189">
        <v>732131</v>
      </c>
      <c r="C173" s="292" t="s">
        <v>709</v>
      </c>
      <c r="D173" s="158">
        <v>7200</v>
      </c>
      <c r="E173" s="158">
        <v>7200</v>
      </c>
      <c r="F173" s="158">
        <v>0</v>
      </c>
      <c r="G173" s="733">
        <v>0</v>
      </c>
      <c r="H173" s="741">
        <f t="shared" ref="H173" si="17">IF(E173=0,"",G173/E173*100)</f>
        <v>0</v>
      </c>
    </row>
    <row r="174" spans="2:9" ht="17.100000000000001" customHeight="1">
      <c r="B174" s="333">
        <v>733000</v>
      </c>
      <c r="C174" s="331" t="s">
        <v>384</v>
      </c>
      <c r="D174" s="332">
        <f>D175</f>
        <v>0</v>
      </c>
      <c r="E174" s="332">
        <f>E175</f>
        <v>0</v>
      </c>
      <c r="F174" s="332">
        <f>F175</f>
        <v>400</v>
      </c>
      <c r="G174" s="332">
        <f>G175</f>
        <v>400</v>
      </c>
      <c r="H174" s="737" t="str">
        <f t="shared" si="10"/>
        <v/>
      </c>
    </row>
    <row r="175" spans="2:9" ht="17.100000000000001" customHeight="1">
      <c r="B175" s="195">
        <v>733100</v>
      </c>
      <c r="C175" s="293" t="s">
        <v>385</v>
      </c>
      <c r="D175" s="192">
        <f>D176+D177</f>
        <v>0</v>
      </c>
      <c r="E175" s="192">
        <f>E176+E177</f>
        <v>0</v>
      </c>
      <c r="F175" s="192">
        <f>F176+F177</f>
        <v>400</v>
      </c>
      <c r="G175" s="192">
        <f>G176+G177</f>
        <v>400</v>
      </c>
      <c r="H175" s="742" t="str">
        <f t="shared" si="10"/>
        <v/>
      </c>
    </row>
    <row r="176" spans="2:9" ht="17.100000000000001" customHeight="1">
      <c r="B176" s="182">
        <v>733110</v>
      </c>
      <c r="C176" s="191" t="s">
        <v>386</v>
      </c>
      <c r="D176" s="198">
        <v>0</v>
      </c>
      <c r="E176" s="198">
        <v>0</v>
      </c>
      <c r="F176" s="198">
        <v>400</v>
      </c>
      <c r="G176" s="198">
        <v>400</v>
      </c>
      <c r="H176" s="742" t="str">
        <f t="shared" si="10"/>
        <v/>
      </c>
    </row>
    <row r="177" spans="2:8" ht="17.100000000000001" customHeight="1">
      <c r="B177" s="182">
        <v>733120</v>
      </c>
      <c r="C177" s="191" t="s">
        <v>387</v>
      </c>
      <c r="D177" s="198">
        <v>0</v>
      </c>
      <c r="E177" s="198">
        <v>0</v>
      </c>
      <c r="F177" s="198">
        <v>0</v>
      </c>
      <c r="G177" s="198">
        <v>0</v>
      </c>
      <c r="H177" s="742" t="str">
        <f t="shared" si="10"/>
        <v/>
      </c>
    </row>
    <row r="178" spans="2:8">
      <c r="B178" s="44"/>
      <c r="C178" s="65"/>
      <c r="D178" s="82"/>
      <c r="E178" s="82"/>
      <c r="F178" s="82"/>
      <c r="G178" s="82"/>
      <c r="H178" s="741" t="str">
        <f t="shared" si="10"/>
        <v/>
      </c>
    </row>
    <row r="179" spans="2:8" ht="15">
      <c r="B179" s="320">
        <v>740000</v>
      </c>
      <c r="C179" s="329" t="s">
        <v>467</v>
      </c>
      <c r="D179" s="322">
        <f>D180+D189</f>
        <v>210200</v>
      </c>
      <c r="E179" s="322">
        <f>E180+E189</f>
        <v>255762</v>
      </c>
      <c r="F179" s="322">
        <f>F180+F189</f>
        <v>55524</v>
      </c>
      <c r="G179" s="322">
        <f>G180+G189</f>
        <v>1015200</v>
      </c>
      <c r="H179" s="737">
        <f t="shared" si="10"/>
        <v>396.93152227461468</v>
      </c>
    </row>
    <row r="180" spans="2:8" ht="25.5">
      <c r="B180" s="333">
        <v>741000</v>
      </c>
      <c r="C180" s="331" t="s">
        <v>468</v>
      </c>
      <c r="D180" s="332">
        <f t="shared" ref="D180:G181" si="18">D181</f>
        <v>100000</v>
      </c>
      <c r="E180" s="332">
        <f t="shared" si="18"/>
        <v>131562</v>
      </c>
      <c r="F180" s="332">
        <f t="shared" si="18"/>
        <v>36709</v>
      </c>
      <c r="G180" s="332">
        <f t="shared" si="18"/>
        <v>286180</v>
      </c>
      <c r="H180" s="737">
        <f t="shared" si="10"/>
        <v>217.5248171964549</v>
      </c>
    </row>
    <row r="181" spans="2:8" ht="25.5">
      <c r="B181" s="195">
        <v>741100</v>
      </c>
      <c r="C181" s="295" t="s">
        <v>469</v>
      </c>
      <c r="D181" s="192">
        <f>D182</f>
        <v>100000</v>
      </c>
      <c r="E181" s="192">
        <f t="shared" si="18"/>
        <v>131562</v>
      </c>
      <c r="F181" s="192">
        <f t="shared" si="18"/>
        <v>36709</v>
      </c>
      <c r="G181" s="192">
        <f t="shared" si="18"/>
        <v>286180</v>
      </c>
      <c r="H181" s="742">
        <f t="shared" si="10"/>
        <v>217.5248171964549</v>
      </c>
    </row>
    <row r="182" spans="2:8" ht="17.100000000000001" customHeight="1">
      <c r="B182" s="189">
        <v>741111</v>
      </c>
      <c r="C182" s="286" t="s">
        <v>470</v>
      </c>
      <c r="D182" s="91">
        <f>SUM(D183:D188)</f>
        <v>100000</v>
      </c>
      <c r="E182" s="91">
        <f>SUM(E183:E188)</f>
        <v>131562</v>
      </c>
      <c r="F182" s="91">
        <f>SUM(F183:F188)</f>
        <v>36709</v>
      </c>
      <c r="G182" s="91">
        <f>SUM(G183:G188)</f>
        <v>286180</v>
      </c>
      <c r="H182" s="741">
        <f t="shared" si="10"/>
        <v>217.5248171964549</v>
      </c>
    </row>
    <row r="183" spans="2:8" ht="17.100000000000001" customHeight="1">
      <c r="B183" s="347"/>
      <c r="C183" s="294" t="s">
        <v>583</v>
      </c>
      <c r="D183" s="349">
        <v>100000</v>
      </c>
      <c r="E183" s="349">
        <v>100000</v>
      </c>
      <c r="F183" s="349">
        <v>0</v>
      </c>
      <c r="G183" s="349">
        <f>77530+171920</f>
        <v>249450</v>
      </c>
      <c r="H183" s="741">
        <f t="shared" ref="H183:H188" si="19">IF(E183=0,"",G183/E183*100)</f>
        <v>249.45</v>
      </c>
    </row>
    <row r="184" spans="2:8" ht="17.100000000000001" customHeight="1">
      <c r="B184" s="347"/>
      <c r="C184" s="294" t="s">
        <v>688</v>
      </c>
      <c r="D184" s="349">
        <v>0</v>
      </c>
      <c r="E184" s="349">
        <v>6430</v>
      </c>
      <c r="F184" s="349">
        <v>6434</v>
      </c>
      <c r="G184" s="349">
        <v>6440</v>
      </c>
      <c r="H184" s="741">
        <f t="shared" si="19"/>
        <v>100.15552099533438</v>
      </c>
    </row>
    <row r="185" spans="2:8" ht="17.100000000000001" customHeight="1">
      <c r="B185" s="347"/>
      <c r="C185" s="294" t="s">
        <v>721</v>
      </c>
      <c r="D185" s="349">
        <v>0</v>
      </c>
      <c r="E185" s="349">
        <v>0</v>
      </c>
      <c r="F185" s="349">
        <v>5143</v>
      </c>
      <c r="G185" s="349">
        <v>5150</v>
      </c>
      <c r="H185" s="741" t="str">
        <f t="shared" si="19"/>
        <v/>
      </c>
    </row>
    <row r="186" spans="2:8" ht="17.100000000000001" customHeight="1">
      <c r="B186" s="347"/>
      <c r="C186" s="294" t="s">
        <v>722</v>
      </c>
      <c r="D186" s="349">
        <v>0</v>
      </c>
      <c r="E186" s="349">
        <v>5140</v>
      </c>
      <c r="F186" s="349">
        <v>5140</v>
      </c>
      <c r="G186" s="349">
        <v>5140</v>
      </c>
      <c r="H186" s="741">
        <f t="shared" si="19"/>
        <v>100</v>
      </c>
    </row>
    <row r="187" spans="2:8" ht="17.100000000000001" customHeight="1">
      <c r="B187" s="347"/>
      <c r="C187" s="294" t="s">
        <v>689</v>
      </c>
      <c r="D187" s="349">
        <v>0</v>
      </c>
      <c r="E187" s="349">
        <v>0</v>
      </c>
      <c r="F187" s="349">
        <v>0</v>
      </c>
      <c r="G187" s="349">
        <v>0</v>
      </c>
      <c r="H187" s="741" t="str">
        <f t="shared" si="19"/>
        <v/>
      </c>
    </row>
    <row r="188" spans="2:8" ht="17.100000000000001" customHeight="1">
      <c r="B188" s="347"/>
      <c r="C188" s="294" t="s">
        <v>723</v>
      </c>
      <c r="D188" s="349">
        <v>0</v>
      </c>
      <c r="E188" s="349">
        <v>19992</v>
      </c>
      <c r="F188" s="349">
        <v>19992</v>
      </c>
      <c r="G188" s="349">
        <v>20000</v>
      </c>
      <c r="H188" s="741">
        <f t="shared" si="19"/>
        <v>100.04001600640255</v>
      </c>
    </row>
    <row r="189" spans="2:8" ht="25.5" customHeight="1">
      <c r="B189" s="333">
        <v>742000</v>
      </c>
      <c r="C189" s="331" t="s">
        <v>471</v>
      </c>
      <c r="D189" s="332">
        <f>D190+D198</f>
        <v>110200</v>
      </c>
      <c r="E189" s="332">
        <f>E190+E198</f>
        <v>124200</v>
      </c>
      <c r="F189" s="332">
        <f>F190+F198</f>
        <v>18815</v>
      </c>
      <c r="G189" s="332">
        <f>G190+G198</f>
        <v>729020</v>
      </c>
      <c r="H189" s="737">
        <f t="shared" si="10"/>
        <v>586.97262479871176</v>
      </c>
    </row>
    <row r="190" spans="2:8" ht="17.100000000000001" customHeight="1">
      <c r="B190" s="195">
        <v>742100</v>
      </c>
      <c r="C190" s="295" t="s">
        <v>472</v>
      </c>
      <c r="D190" s="192">
        <f>D191+D192+D197</f>
        <v>110200</v>
      </c>
      <c r="E190" s="192">
        <f>E191+E192+E197</f>
        <v>110200</v>
      </c>
      <c r="F190" s="192">
        <f>F191+F192+F197</f>
        <v>4815</v>
      </c>
      <c r="G190" s="192">
        <f>G191+G192+G197</f>
        <v>715020</v>
      </c>
      <c r="H190" s="742">
        <f t="shared" si="10"/>
        <v>648.83847549909262</v>
      </c>
    </row>
    <row r="191" spans="2:8" ht="17.100000000000001" customHeight="1">
      <c r="B191" s="189">
        <v>742111</v>
      </c>
      <c r="C191" s="286" t="s">
        <v>599</v>
      </c>
      <c r="D191" s="91">
        <v>0</v>
      </c>
      <c r="E191" s="91">
        <v>0</v>
      </c>
      <c r="F191" s="91">
        <v>0</v>
      </c>
      <c r="G191" s="91">
        <v>0</v>
      </c>
      <c r="H191" s="741" t="str">
        <f>IF(E191=0,"",G191/E191*100)</f>
        <v/>
      </c>
    </row>
    <row r="192" spans="2:8" ht="17.100000000000001" customHeight="1">
      <c r="B192" s="189">
        <v>742112</v>
      </c>
      <c r="C192" s="286" t="s">
        <v>473</v>
      </c>
      <c r="D192" s="91">
        <f>SUM(D193:D196)</f>
        <v>110200</v>
      </c>
      <c r="E192" s="91">
        <f>SUM(E193:E196)</f>
        <v>110200</v>
      </c>
      <c r="F192" s="91">
        <f>SUM(F193:F196)</f>
        <v>4815</v>
      </c>
      <c r="G192" s="91">
        <f>SUM(G193:G196)</f>
        <v>715020</v>
      </c>
      <c r="H192" s="741">
        <f t="shared" si="10"/>
        <v>648.83847549909262</v>
      </c>
    </row>
    <row r="193" spans="2:8" ht="17.100000000000001" customHeight="1">
      <c r="B193" s="182"/>
      <c r="C193" s="294" t="s">
        <v>665</v>
      </c>
      <c r="D193" s="158">
        <v>100000</v>
      </c>
      <c r="E193" s="158">
        <v>100000</v>
      </c>
      <c r="F193" s="158">
        <v>0</v>
      </c>
      <c r="G193" s="158">
        <v>200000</v>
      </c>
      <c r="H193" s="741">
        <f t="shared" ref="H193" si="20">IF(E193=0,"",G193/E193*100)</f>
        <v>200</v>
      </c>
    </row>
    <row r="194" spans="2:8" ht="25.5">
      <c r="B194" s="347"/>
      <c r="C194" s="294" t="s">
        <v>802</v>
      </c>
      <c r="D194" s="349">
        <v>0</v>
      </c>
      <c r="E194" s="349">
        <v>0</v>
      </c>
      <c r="F194" s="349">
        <v>0</v>
      </c>
      <c r="G194" s="349">
        <v>500000</v>
      </c>
      <c r="H194" s="741" t="str">
        <f>IF(E194=0,"",G194/E194*100)</f>
        <v/>
      </c>
    </row>
    <row r="195" spans="2:8" ht="25.5">
      <c r="B195" s="347"/>
      <c r="C195" s="294" t="s">
        <v>724</v>
      </c>
      <c r="D195" s="349">
        <v>0</v>
      </c>
      <c r="E195" s="349">
        <v>0</v>
      </c>
      <c r="F195" s="349">
        <v>4815</v>
      </c>
      <c r="G195" s="349">
        <v>4820</v>
      </c>
      <c r="H195" s="741" t="str">
        <f>IF(E195=0,"",G195/E195*100)</f>
        <v/>
      </c>
    </row>
    <row r="196" spans="2:8" ht="25.5">
      <c r="B196" s="347"/>
      <c r="C196" s="294" t="s">
        <v>690</v>
      </c>
      <c r="D196" s="349">
        <v>10200</v>
      </c>
      <c r="E196" s="349">
        <v>10200</v>
      </c>
      <c r="F196" s="349">
        <v>0</v>
      </c>
      <c r="G196" s="349">
        <v>10200</v>
      </c>
      <c r="H196" s="741">
        <f>IF(E196=0,"",G196/E196*100)</f>
        <v>100</v>
      </c>
    </row>
    <row r="197" spans="2:8" ht="17.100000000000001" customHeight="1">
      <c r="B197" s="189">
        <v>742116</v>
      </c>
      <c r="C197" s="286" t="s">
        <v>582</v>
      </c>
      <c r="D197" s="91">
        <v>0</v>
      </c>
      <c r="E197" s="91">
        <v>0</v>
      </c>
      <c r="F197" s="91">
        <v>0</v>
      </c>
      <c r="G197" s="91">
        <v>0</v>
      </c>
      <c r="H197" s="741" t="str">
        <f>IF(E197=0,"",G197/E197*100)</f>
        <v/>
      </c>
    </row>
    <row r="198" spans="2:8" ht="17.100000000000001" customHeight="1">
      <c r="B198" s="195">
        <v>742200</v>
      </c>
      <c r="C198" s="295" t="s">
        <v>725</v>
      </c>
      <c r="D198" s="192">
        <f>D199</f>
        <v>0</v>
      </c>
      <c r="E198" s="192">
        <f t="shared" ref="E198:G198" si="21">E199</f>
        <v>14000</v>
      </c>
      <c r="F198" s="192">
        <f t="shared" si="21"/>
        <v>14000</v>
      </c>
      <c r="G198" s="192">
        <f t="shared" si="21"/>
        <v>14000</v>
      </c>
      <c r="H198" s="742">
        <f t="shared" ref="H198" si="22">IF(E198=0,"",G198/E198*100)</f>
        <v>100</v>
      </c>
    </row>
    <row r="199" spans="2:8" ht="17.100000000000001" customHeight="1">
      <c r="B199" s="189">
        <v>742212</v>
      </c>
      <c r="C199" s="286" t="s">
        <v>726</v>
      </c>
      <c r="D199" s="91">
        <f>SUM(D200:D201)</f>
        <v>0</v>
      </c>
      <c r="E199" s="91">
        <f t="shared" ref="E199:G199" si="23">SUM(E200:E201)</f>
        <v>14000</v>
      </c>
      <c r="F199" s="91">
        <f t="shared" si="23"/>
        <v>14000</v>
      </c>
      <c r="G199" s="91">
        <f t="shared" si="23"/>
        <v>14000</v>
      </c>
      <c r="H199" s="741">
        <f>IF(E199=0,"",G199/E199*100)</f>
        <v>100</v>
      </c>
    </row>
    <row r="200" spans="2:8" ht="17.100000000000001" customHeight="1">
      <c r="B200" s="182"/>
      <c r="C200" s="294" t="s">
        <v>727</v>
      </c>
      <c r="D200" s="158">
        <v>0</v>
      </c>
      <c r="E200" s="158">
        <v>9000</v>
      </c>
      <c r="F200" s="158">
        <v>9000</v>
      </c>
      <c r="G200" s="158">
        <v>9000</v>
      </c>
      <c r="H200" s="741">
        <f t="shared" ref="H200:H201" si="24">IF(E200=0,"",G200/E200*100)</f>
        <v>100</v>
      </c>
    </row>
    <row r="201" spans="2:8" ht="17.100000000000001" customHeight="1">
      <c r="B201" s="182"/>
      <c r="C201" s="294" t="s">
        <v>728</v>
      </c>
      <c r="D201" s="158">
        <v>0</v>
      </c>
      <c r="E201" s="158">
        <v>5000</v>
      </c>
      <c r="F201" s="158">
        <v>5000</v>
      </c>
      <c r="G201" s="158">
        <v>5000</v>
      </c>
      <c r="H201" s="741">
        <f t="shared" si="24"/>
        <v>100</v>
      </c>
    </row>
    <row r="202" spans="2:8">
      <c r="B202" s="182"/>
      <c r="C202" s="294"/>
      <c r="D202" s="158"/>
      <c r="E202" s="158"/>
      <c r="F202" s="158"/>
      <c r="G202" s="158"/>
      <c r="H202" s="741" t="str">
        <f t="shared" si="10"/>
        <v/>
      </c>
    </row>
    <row r="203" spans="2:8" ht="17.100000000000001" customHeight="1">
      <c r="B203" s="320">
        <v>777000</v>
      </c>
      <c r="C203" s="321" t="s">
        <v>388</v>
      </c>
      <c r="D203" s="334">
        <f>SUM(D204:D205)</f>
        <v>920</v>
      </c>
      <c r="E203" s="334">
        <f>SUM(E204:E205)</f>
        <v>920</v>
      </c>
      <c r="F203" s="334">
        <f>SUM(F204:F205)</f>
        <v>10929</v>
      </c>
      <c r="G203" s="334">
        <f>SUM(G204:G205)</f>
        <v>10960</v>
      </c>
      <c r="H203" s="737">
        <f t="shared" si="10"/>
        <v>1191.304347826087</v>
      </c>
    </row>
    <row r="204" spans="2:8" ht="17.100000000000001" customHeight="1">
      <c r="B204" s="179">
        <v>777778</v>
      </c>
      <c r="C204" s="292" t="s">
        <v>389</v>
      </c>
      <c r="D204" s="83">
        <f>60*12</f>
        <v>720</v>
      </c>
      <c r="E204" s="83">
        <f>60*12</f>
        <v>720</v>
      </c>
      <c r="F204" s="83">
        <v>10929</v>
      </c>
      <c r="G204" s="83">
        <v>10940</v>
      </c>
      <c r="H204" s="741">
        <f t="shared" si="10"/>
        <v>1519.4444444444446</v>
      </c>
    </row>
    <row r="205" spans="2:8" ht="17.100000000000001" customHeight="1">
      <c r="B205" s="179">
        <v>777779</v>
      </c>
      <c r="C205" s="286" t="s">
        <v>390</v>
      </c>
      <c r="D205" s="234">
        <v>200</v>
      </c>
      <c r="E205" s="234">
        <v>200</v>
      </c>
      <c r="F205" s="83">
        <v>0</v>
      </c>
      <c r="G205" s="234">
        <v>20</v>
      </c>
      <c r="H205" s="741">
        <f t="shared" si="10"/>
        <v>10</v>
      </c>
    </row>
    <row r="206" spans="2:8" ht="15" customHeight="1">
      <c r="B206" s="89"/>
      <c r="C206" s="90"/>
      <c r="D206" s="158"/>
      <c r="E206" s="158"/>
      <c r="F206" s="158"/>
      <c r="G206" s="158"/>
      <c r="H206" s="741" t="str">
        <f t="shared" si="10"/>
        <v/>
      </c>
    </row>
    <row r="207" spans="2:8" ht="15" customHeight="1">
      <c r="B207" s="774" t="s">
        <v>425</v>
      </c>
      <c r="C207" s="775"/>
      <c r="D207" s="203">
        <f>D149+D151+D179+D203</f>
        <v>42444000</v>
      </c>
      <c r="E207" s="203">
        <f>E149+E151+E179+E203</f>
        <v>42504362</v>
      </c>
      <c r="F207" s="203">
        <f>F149+F151+F179+F203</f>
        <v>30690097</v>
      </c>
      <c r="G207" s="203">
        <f>G149+G151+G179+G203</f>
        <v>42096090</v>
      </c>
      <c r="H207" s="742">
        <f t="shared" si="10"/>
        <v>99.039458585450589</v>
      </c>
    </row>
    <row r="208" spans="2:8" ht="15" customHeight="1">
      <c r="B208" s="201"/>
      <c r="C208" s="202"/>
      <c r="D208" s="203"/>
      <c r="E208" s="203"/>
      <c r="F208" s="203"/>
      <c r="G208" s="203"/>
      <c r="H208" s="741" t="str">
        <f t="shared" ref="H208:H216" si="25">IF(E208=0,"",G208/E208*100)</f>
        <v/>
      </c>
    </row>
    <row r="209" spans="2:8" ht="17.100000000000001" customHeight="1">
      <c r="B209" s="320">
        <v>810000</v>
      </c>
      <c r="C209" s="321" t="s">
        <v>391</v>
      </c>
      <c r="D209" s="322">
        <f>D210</f>
        <v>0</v>
      </c>
      <c r="E209" s="322">
        <f>E210</f>
        <v>0</v>
      </c>
      <c r="F209" s="322">
        <f>F210</f>
        <v>801</v>
      </c>
      <c r="G209" s="322">
        <f>G210</f>
        <v>810</v>
      </c>
      <c r="H209" s="737" t="str">
        <f t="shared" si="25"/>
        <v/>
      </c>
    </row>
    <row r="210" spans="2:8" ht="17.100000000000001" customHeight="1">
      <c r="B210" s="330">
        <v>811000</v>
      </c>
      <c r="C210" s="331" t="s">
        <v>393</v>
      </c>
      <c r="D210" s="332">
        <f>SUM(D211:D211)</f>
        <v>0</v>
      </c>
      <c r="E210" s="332">
        <f>SUM(E211:E211)</f>
        <v>0</v>
      </c>
      <c r="F210" s="332">
        <f>SUM(F211:F211)</f>
        <v>801</v>
      </c>
      <c r="G210" s="332">
        <f>SUM(G211:G211)</f>
        <v>810</v>
      </c>
      <c r="H210" s="737" t="str">
        <f t="shared" si="25"/>
        <v/>
      </c>
    </row>
    <row r="211" spans="2:8" ht="17.100000000000001" customHeight="1">
      <c r="B211" s="195">
        <v>811100</v>
      </c>
      <c r="C211" s="200" t="s">
        <v>392</v>
      </c>
      <c r="D211" s="198">
        <f>D212+D213</f>
        <v>0</v>
      </c>
      <c r="E211" s="198">
        <f>E212+E213</f>
        <v>0</v>
      </c>
      <c r="F211" s="198">
        <f>F212+F213</f>
        <v>801</v>
      </c>
      <c r="G211" s="198">
        <f>G212+G213</f>
        <v>810</v>
      </c>
      <c r="H211" s="742" t="str">
        <f t="shared" si="25"/>
        <v/>
      </c>
    </row>
    <row r="212" spans="2:8" ht="17.100000000000001" customHeight="1">
      <c r="B212" s="179">
        <v>811111</v>
      </c>
      <c r="C212" s="292" t="s">
        <v>588</v>
      </c>
      <c r="D212" s="83">
        <v>0</v>
      </c>
      <c r="E212" s="83">
        <v>0</v>
      </c>
      <c r="F212" s="83">
        <v>0</v>
      </c>
      <c r="G212" s="83">
        <v>0</v>
      </c>
      <c r="H212" s="741" t="str">
        <f t="shared" si="25"/>
        <v/>
      </c>
    </row>
    <row r="213" spans="2:8" ht="17.100000000000001" customHeight="1">
      <c r="B213" s="179">
        <v>811114</v>
      </c>
      <c r="C213" s="286" t="s">
        <v>589</v>
      </c>
      <c r="D213" s="83">
        <f>SUM(D214:D214)</f>
        <v>0</v>
      </c>
      <c r="E213" s="83">
        <f>SUM(E214:E214)</f>
        <v>0</v>
      </c>
      <c r="F213" s="83">
        <f>SUM(F214:F214)</f>
        <v>801</v>
      </c>
      <c r="G213" s="83">
        <f>SUM(G214:G214)</f>
        <v>810</v>
      </c>
      <c r="H213" s="741" t="str">
        <f t="shared" si="25"/>
        <v/>
      </c>
    </row>
    <row r="214" spans="2:8" ht="17.100000000000001" customHeight="1">
      <c r="B214" s="179"/>
      <c r="C214" s="294" t="s">
        <v>730</v>
      </c>
      <c r="D214" s="83">
        <v>0</v>
      </c>
      <c r="E214" s="83">
        <v>0</v>
      </c>
      <c r="F214" s="83">
        <v>801</v>
      </c>
      <c r="G214" s="83">
        <v>810</v>
      </c>
      <c r="H214" s="741" t="str">
        <f>IF(E214=0,"",G214/E214*100)</f>
        <v/>
      </c>
    </row>
    <row r="215" spans="2:8" ht="15" customHeight="1" thickBot="1">
      <c r="B215" s="253"/>
      <c r="C215" s="254"/>
      <c r="D215" s="254"/>
      <c r="E215" s="254"/>
      <c r="F215" s="254"/>
      <c r="G215" s="254"/>
      <c r="H215" s="744" t="str">
        <f t="shared" si="25"/>
        <v/>
      </c>
    </row>
    <row r="216" spans="2:8" ht="15" customHeight="1" thickBot="1">
      <c r="B216" s="776" t="s">
        <v>474</v>
      </c>
      <c r="C216" s="777"/>
      <c r="D216" s="335">
        <f>D207+D209</f>
        <v>42444000</v>
      </c>
      <c r="E216" s="335">
        <f>E207+E209</f>
        <v>42504362</v>
      </c>
      <c r="F216" s="335">
        <f>F207+F209</f>
        <v>30690898</v>
      </c>
      <c r="G216" s="335">
        <f>G207+G209</f>
        <v>42096900</v>
      </c>
      <c r="H216" s="745">
        <f t="shared" si="25"/>
        <v>99.041364272212817</v>
      </c>
    </row>
    <row r="218" spans="2:8">
      <c r="G218" s="92"/>
    </row>
    <row r="219" spans="2:8">
      <c r="D219" s="92"/>
      <c r="E219" s="92"/>
      <c r="F219" s="92"/>
    </row>
  </sheetData>
  <mergeCells count="4">
    <mergeCell ref="B2:H2"/>
    <mergeCell ref="B149:C149"/>
    <mergeCell ref="B207:C207"/>
    <mergeCell ref="B216:C216"/>
  </mergeCells>
  <pageMargins left="0.43307086614173229" right="0.15748031496062992" top="0.39370078740157483" bottom="0.62992125984251968" header="0.31496062992125984" footer="0.43307086614173229"/>
  <pageSetup paperSize="9" scale="80" firstPageNumber="2" orientation="portrait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M116"/>
  <sheetViews>
    <sheetView topLeftCell="C73" zoomScaleNormal="100" workbookViewId="0">
      <selection activeCell="O102" sqref="O102"/>
    </sheetView>
  </sheetViews>
  <sheetFormatPr defaultRowHeight="12" customHeight="1"/>
  <cols>
    <col min="1" max="1" width="0.5703125" style="13" hidden="1" customWidth="1"/>
    <col min="2" max="2" width="5.7109375" style="13" hidden="1" customWidth="1"/>
    <col min="3" max="3" width="9.7109375" style="24" customWidth="1"/>
    <col min="4" max="4" width="54" style="13" customWidth="1"/>
    <col min="5" max="8" width="12.7109375" style="13" customWidth="1"/>
    <col min="9" max="9" width="7.7109375" style="124" customWidth="1"/>
    <col min="10" max="10" width="9.140625" style="13"/>
    <col min="11" max="11" width="13.140625" style="13" bestFit="1" customWidth="1"/>
    <col min="12" max="13" width="10.140625" style="13" bestFit="1" customWidth="1"/>
    <col min="14" max="16384" width="9.140625" style="13"/>
  </cols>
  <sheetData>
    <row r="2" spans="2:13" ht="2.25" customHeight="1"/>
    <row r="3" spans="2:13" s="1" customFormat="1" ht="20.25" customHeight="1" thickBot="1">
      <c r="C3" s="781" t="s">
        <v>77</v>
      </c>
      <c r="D3" s="781"/>
      <c r="E3" s="122"/>
      <c r="F3" s="122"/>
      <c r="G3" s="122"/>
      <c r="H3" s="779"/>
      <c r="I3" s="780"/>
    </row>
    <row r="4" spans="2:13" s="1" customFormat="1" ht="51.75" customHeight="1">
      <c r="B4" s="3" t="s">
        <v>78</v>
      </c>
      <c r="C4" s="37" t="s">
        <v>654</v>
      </c>
      <c r="D4" s="38" t="s">
        <v>80</v>
      </c>
      <c r="E4" s="155" t="s">
        <v>653</v>
      </c>
      <c r="F4" s="155" t="s">
        <v>714</v>
      </c>
      <c r="G4" s="155" t="s">
        <v>715</v>
      </c>
      <c r="H4" s="155" t="s">
        <v>789</v>
      </c>
      <c r="I4" s="125" t="s">
        <v>682</v>
      </c>
    </row>
    <row r="5" spans="2:13" s="2" customFormat="1" ht="14.1" customHeight="1">
      <c r="B5" s="8">
        <v>1</v>
      </c>
      <c r="C5" s="8">
        <v>1</v>
      </c>
      <c r="D5" s="9">
        <v>2</v>
      </c>
      <c r="E5" s="33">
        <v>3</v>
      </c>
      <c r="F5" s="33">
        <v>4</v>
      </c>
      <c r="G5" s="33">
        <v>5</v>
      </c>
      <c r="H5" s="9">
        <v>6</v>
      </c>
      <c r="I5" s="132">
        <v>7</v>
      </c>
    </row>
    <row r="6" spans="2:13" s="2" customFormat="1" ht="15" customHeight="1">
      <c r="B6" s="8"/>
      <c r="C6" s="8"/>
      <c r="D6" s="27" t="s">
        <v>159</v>
      </c>
      <c r="E6" s="25">
        <f>E8+E14+E20+E23+E45+E86+E89+E94+E100</f>
        <v>42441870</v>
      </c>
      <c r="F6" s="25">
        <f>F8+F14+F20+F23+F45+F86+F89+F94+F100</f>
        <v>42502232</v>
      </c>
      <c r="G6" s="25">
        <f>G8+G14+G20+G23+G45+G86+G89+G94+G100</f>
        <v>27669338</v>
      </c>
      <c r="H6" s="25">
        <f>H8+H14+H20+H23+H45+H86+H89+H94+H100</f>
        <v>42094170</v>
      </c>
      <c r="I6" s="150">
        <f>IF(F6=0,"",H6/F6*100)</f>
        <v>99.039904539601594</v>
      </c>
      <c r="K6" s="246"/>
    </row>
    <row r="7" spans="2:13" s="2" customFormat="1" ht="9" customHeight="1">
      <c r="B7" s="8"/>
      <c r="C7" s="8"/>
      <c r="D7" s="27"/>
      <c r="E7" s="25"/>
      <c r="F7" s="25"/>
      <c r="G7" s="25"/>
      <c r="H7" s="25"/>
      <c r="I7" s="154" t="str">
        <f>IF(E7=0,"",H7/E7*100)</f>
        <v/>
      </c>
      <c r="K7" s="121"/>
    </row>
    <row r="8" spans="2:13" s="2" customFormat="1" ht="15" customHeight="1">
      <c r="B8" s="8"/>
      <c r="C8" s="371">
        <v>600000</v>
      </c>
      <c r="D8" s="27" t="s">
        <v>120</v>
      </c>
      <c r="E8" s="25">
        <f>E9+E10+E11+E12</f>
        <v>660000</v>
      </c>
      <c r="F8" s="25">
        <f t="shared" ref="F8:G8" si="0">F9+F10+F11+F12</f>
        <v>660000</v>
      </c>
      <c r="G8" s="25">
        <f t="shared" si="0"/>
        <v>476102</v>
      </c>
      <c r="H8" s="25">
        <f>H9+H10+H11+H12</f>
        <v>660000</v>
      </c>
      <c r="I8" s="150">
        <f>IF(F8=0,"",H8/F8*100)</f>
        <v>100</v>
      </c>
      <c r="K8" s="246"/>
    </row>
    <row r="9" spans="2:13" s="2" customFormat="1" ht="15" customHeight="1">
      <c r="B9" s="8"/>
      <c r="C9" s="372">
        <v>600000</v>
      </c>
      <c r="D9" s="51" t="s">
        <v>97</v>
      </c>
      <c r="E9" s="58">
        <f>'3'!G8</f>
        <v>600000</v>
      </c>
      <c r="F9" s="58">
        <f>'3'!H8</f>
        <v>600000</v>
      </c>
      <c r="G9" s="58">
        <f>'3'!I8</f>
        <v>429502</v>
      </c>
      <c r="H9" s="346">
        <f>'3'!J8</f>
        <v>600000</v>
      </c>
      <c r="I9" s="154">
        <f>IF(F9=0,"",H9/F9*100)</f>
        <v>100</v>
      </c>
      <c r="M9" s="121"/>
    </row>
    <row r="10" spans="2:13" s="2" customFormat="1" ht="15" customHeight="1">
      <c r="B10" s="8"/>
      <c r="C10" s="372">
        <v>600000</v>
      </c>
      <c r="D10" s="51" t="s">
        <v>98</v>
      </c>
      <c r="E10" s="58">
        <f>'3'!G9</f>
        <v>30000</v>
      </c>
      <c r="F10" s="58">
        <f>'3'!H9</f>
        <v>30000</v>
      </c>
      <c r="G10" s="58">
        <f>'3'!I9</f>
        <v>25250</v>
      </c>
      <c r="H10" s="58">
        <f>'3'!J9</f>
        <v>30000</v>
      </c>
      <c r="I10" s="154">
        <f t="shared" ref="I10:I72" si="1">IF(F10=0,"",H10/F10*100)</f>
        <v>100</v>
      </c>
      <c r="L10" s="121"/>
    </row>
    <row r="11" spans="2:13" s="2" customFormat="1" ht="15" customHeight="1">
      <c r="B11" s="8"/>
      <c r="C11" s="372">
        <v>600000</v>
      </c>
      <c r="D11" s="51" t="s">
        <v>121</v>
      </c>
      <c r="E11" s="58">
        <f>'3'!G10</f>
        <v>15000</v>
      </c>
      <c r="F11" s="58">
        <f>'3'!H10</f>
        <v>15000</v>
      </c>
      <c r="G11" s="58">
        <f>'3'!I10</f>
        <v>13150</v>
      </c>
      <c r="H11" s="58">
        <f>'3'!J10</f>
        <v>15000</v>
      </c>
      <c r="I11" s="154">
        <f t="shared" si="1"/>
        <v>100</v>
      </c>
      <c r="M11" s="121"/>
    </row>
    <row r="12" spans="2:13" s="2" customFormat="1" ht="15" customHeight="1">
      <c r="B12" s="8"/>
      <c r="C12" s="372">
        <v>600000</v>
      </c>
      <c r="D12" s="51" t="s">
        <v>109</v>
      </c>
      <c r="E12" s="58">
        <f>'16'!G8</f>
        <v>15000</v>
      </c>
      <c r="F12" s="58">
        <f>'16'!H8</f>
        <v>15000</v>
      </c>
      <c r="G12" s="58">
        <f>'16'!I8</f>
        <v>8200</v>
      </c>
      <c r="H12" s="58">
        <f>'16'!J8</f>
        <v>15000</v>
      </c>
      <c r="I12" s="154">
        <f t="shared" si="1"/>
        <v>100</v>
      </c>
    </row>
    <row r="13" spans="2:13" s="2" customFormat="1" ht="10.5" customHeight="1">
      <c r="B13" s="8"/>
      <c r="C13" s="372"/>
      <c r="D13" s="51"/>
      <c r="E13" s="118"/>
      <c r="F13" s="118"/>
      <c r="G13" s="118"/>
      <c r="H13" s="118"/>
      <c r="I13" s="154" t="str">
        <f t="shared" si="1"/>
        <v/>
      </c>
    </row>
    <row r="14" spans="2:13" s="1" customFormat="1" ht="15" customHeight="1">
      <c r="B14" s="10"/>
      <c r="C14" s="371">
        <v>611000</v>
      </c>
      <c r="D14" s="12" t="s">
        <v>163</v>
      </c>
      <c r="E14" s="96">
        <f>E15+E16</f>
        <v>20818240</v>
      </c>
      <c r="F14" s="96">
        <f t="shared" ref="F14:G14" si="2">F15+F16</f>
        <v>20818240</v>
      </c>
      <c r="G14" s="96">
        <f t="shared" si="2"/>
        <v>14877695</v>
      </c>
      <c r="H14" s="96">
        <f>H15+H16</f>
        <v>20480610</v>
      </c>
      <c r="I14" s="418">
        <f t="shared" si="1"/>
        <v>98.378201039088793</v>
      </c>
      <c r="K14" s="81"/>
      <c r="L14" s="81"/>
    </row>
    <row r="15" spans="2:13" ht="15" customHeight="1">
      <c r="B15" s="14"/>
      <c r="C15" s="373">
        <v>611100</v>
      </c>
      <c r="D15" s="26" t="s">
        <v>204</v>
      </c>
      <c r="E15" s="40">
        <f>'1'!G8+'3'!G13+'4'!G8+'5'!G8+'6'!G8+'8'!G8+'9'!G8+'10'!G8+'11'!G8+'12'!G8+'13'!G8+'14'!G8+'15'!G8+'16'!G11+'17'!G8+'18'!G8+'19'!G8+'20'!G8+'22'!G8+'23'!G8+'21'!G8+'24'!G8+'25'!G8+'26'!G8+'27'!G8+'28'!G8+'29'!G8+'30'!G8+'31'!G8+'32'!G8+'33'!G8+'34'!G8+'35'!G8+'36'!G8+'37'!G8+'7'!G8</f>
        <v>17008050</v>
      </c>
      <c r="F15" s="711">
        <f>'1'!H8+'3'!H13+'4'!H8+'5'!H8+'6'!H8+'8'!H8+'9'!H8+'10'!H8+'11'!H8+'12'!H8+'13'!H8+'14'!H8+'15'!H8+'16'!H11+'17'!H8+'18'!H8+'19'!H8+'20'!H8+'22'!H8+'23'!H8+'21'!H8+'24'!H8+'25'!H8+'26'!H8+'27'!H8+'28'!H8+'29'!H8+'30'!H8+'31'!H8+'32'!H8+'33'!H8+'34'!H8+'35'!H8+'36'!H8+'37'!H8+'7'!H8</f>
        <v>17008050</v>
      </c>
      <c r="G15" s="711">
        <f>'1'!I8+'3'!I13+'4'!I8+'5'!I8+'6'!I8+'8'!I8+'9'!I8+'10'!I8+'11'!I8+'12'!I8+'13'!I8+'14'!I8+'15'!I8+'16'!I11+'17'!I8+'18'!I8+'19'!I8+'20'!I8+'22'!I8+'23'!I8+'21'!I8+'24'!I8+'25'!I8+'26'!I8+'27'!I8+'28'!I8+'29'!I8+'30'!I8+'31'!I8+'32'!I8+'33'!I8+'34'!I8+'35'!I8+'36'!I8+'37'!I8+'7'!I8</f>
        <v>12313774</v>
      </c>
      <c r="H15" s="711">
        <f>'1'!J8+'3'!J13+'4'!J8+'5'!J8+'6'!J8+'8'!J8+'9'!J8+'10'!J8+'11'!J8+'12'!J8+'13'!J8+'14'!J8+'15'!J8+'16'!J11+'17'!J8+'18'!J8+'19'!J8+'20'!J8+'22'!J8+'23'!J8+'21'!J8+'24'!J8+'25'!J8+'26'!J8+'27'!J8+'28'!J8+'29'!J8+'30'!J8+'31'!J8+'32'!J8+'33'!J8+'34'!J8+'35'!J8+'36'!J8+'37'!J8+'7'!J8</f>
        <v>16720340</v>
      </c>
      <c r="I15" s="154">
        <f t="shared" si="1"/>
        <v>98.308389262731467</v>
      </c>
      <c r="K15" s="80"/>
    </row>
    <row r="16" spans="2:13" ht="15" customHeight="1">
      <c r="B16" s="14"/>
      <c r="C16" s="373">
        <v>611200</v>
      </c>
      <c r="D16" s="26" t="s">
        <v>205</v>
      </c>
      <c r="E16" s="40">
        <f>E17+E18</f>
        <v>3810190</v>
      </c>
      <c r="F16" s="711">
        <f t="shared" ref="F16:H16" si="3">F17+F18</f>
        <v>3810190</v>
      </c>
      <c r="G16" s="711">
        <f t="shared" si="3"/>
        <v>2563921</v>
      </c>
      <c r="H16" s="711">
        <f t="shared" si="3"/>
        <v>3760270</v>
      </c>
      <c r="I16" s="154">
        <f t="shared" si="1"/>
        <v>98.689829116133325</v>
      </c>
      <c r="K16" s="80"/>
    </row>
    <row r="17" spans="2:12" ht="15" customHeight="1">
      <c r="B17" s="14"/>
      <c r="C17" s="374">
        <v>611200</v>
      </c>
      <c r="D17" s="357" t="s">
        <v>205</v>
      </c>
      <c r="E17" s="358">
        <f>'1'!G9+'3'!G14+'4'!G9+'5'!G9+'6'!G9+'8'!G9+'9'!G9+'10'!G9+'11'!G9+'12'!G9+'13'!G9+'14'!G9+'15'!G9+'16'!G12+'17'!G9+'18'!G9+'19'!G9+'20'!G9+'22'!G9+'23'!G9+'21'!G9+'24'!G9+'25'!G9+'26'!G9+'27'!G9+'28'!G9+'29'!G9+'30'!G9+'31'!G9+'32'!G9+'33'!G9+'34'!G9+'35'!G9+'36'!G9+'37'!G9+'7'!G9</f>
        <v>3608290</v>
      </c>
      <c r="F17" s="719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3608290</v>
      </c>
      <c r="G17" s="719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2492626</v>
      </c>
      <c r="H17" s="719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3653280</v>
      </c>
      <c r="I17" s="359">
        <f t="shared" si="1"/>
        <v>101.2468510014439</v>
      </c>
      <c r="K17" s="80"/>
    </row>
    <row r="18" spans="2:12" ht="15" customHeight="1">
      <c r="B18" s="14"/>
      <c r="C18" s="374">
        <v>611200</v>
      </c>
      <c r="D18" s="357" t="s">
        <v>701</v>
      </c>
      <c r="E18" s="358">
        <f>'1'!G10+'3'!G15+'4'!G10+'5'!G10+'6'!G10+'8'!G10+'9'!G10+'10'!G10+'11'!G10+'12'!G10+'13'!G10+'14'!G10+'15'!G10+'16'!G13+'17'!G10+'18'!G10+'19'!G10+'20'!G10+'22'!G10+'23'!G10+'21'!G10+'24'!G10+'25'!G10+'26'!G10+'27'!G10+'28'!G10+'29'!G10+'30'!G10+'31'!G10+'32'!G10+'33'!G10+'34'!G10+'35'!G10+'36'!G10+'37'!G10+'7'!G10</f>
        <v>201900</v>
      </c>
      <c r="F18" s="719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201900</v>
      </c>
      <c r="G18" s="719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71295</v>
      </c>
      <c r="H18" s="719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106990</v>
      </c>
      <c r="I18" s="359">
        <f t="shared" si="1"/>
        <v>52.99157999009411</v>
      </c>
      <c r="K18" s="80"/>
    </row>
    <row r="19" spans="2:12" ht="9" customHeight="1">
      <c r="B19" s="14"/>
      <c r="C19" s="373"/>
      <c r="D19" s="15"/>
      <c r="E19" s="72"/>
      <c r="F19" s="72"/>
      <c r="G19" s="72"/>
      <c r="H19" s="72"/>
      <c r="I19" s="154" t="str">
        <f t="shared" si="1"/>
        <v/>
      </c>
      <c r="K19" s="80"/>
    </row>
    <row r="20" spans="2:12" ht="15" customHeight="1">
      <c r="B20" s="14"/>
      <c r="C20" s="371">
        <v>612000</v>
      </c>
      <c r="D20" s="12" t="s">
        <v>162</v>
      </c>
      <c r="E20" s="20">
        <f>E21</f>
        <v>2016960</v>
      </c>
      <c r="F20" s="20">
        <f t="shared" ref="F20:G20" si="4">F21</f>
        <v>2016960</v>
      </c>
      <c r="G20" s="20">
        <f t="shared" si="4"/>
        <v>1475848</v>
      </c>
      <c r="H20" s="20">
        <f>H21</f>
        <v>2008110</v>
      </c>
      <c r="I20" s="418">
        <f t="shared" si="1"/>
        <v>99.561220847215608</v>
      </c>
      <c r="K20" s="80"/>
      <c r="L20" s="80"/>
    </row>
    <row r="21" spans="2:12" s="1" customFormat="1" ht="15" customHeight="1">
      <c r="B21" s="17"/>
      <c r="C21" s="373">
        <v>612100</v>
      </c>
      <c r="D21" s="18" t="s">
        <v>83</v>
      </c>
      <c r="E21" s="40">
        <f>'1'!G13+'3'!G18+'4'!G13+'5'!G13+'6'!G13+'8'!G13+'9'!G13+'10'!G13+'11'!G13+'12'!G13+'13'!G13+'14'!G13+'15'!G13+'16'!G16+'17'!G13+'18'!G13+'19'!G13+'20'!G13+'22'!G13+'23'!G13+'21'!G13+'24'!G13+'25'!G13+'26'!G13+'27'!G13+'28'!G13+'29'!G13+'30'!G13+'31'!G13+'32'!G13+'33'!G13+'34'!G13+'35'!G13+'36'!G13+'37'!G13+'7'!G13</f>
        <v>2016960</v>
      </c>
      <c r="F21" s="711">
        <f>'1'!H13+'3'!H18+'4'!H13+'5'!H13+'6'!H13+'8'!H13+'9'!H13+'10'!H13+'11'!H13+'12'!H13+'13'!H13+'14'!H13+'15'!H13+'16'!H16+'17'!H13+'18'!H13+'19'!H13+'20'!H13+'22'!H13+'23'!H13+'21'!H13+'24'!H13+'25'!H13+'26'!H13+'27'!H13+'28'!H13+'29'!H13+'30'!H13+'31'!H13+'32'!H13+'33'!H13+'34'!H13+'35'!H13+'36'!H13+'37'!H13+'7'!H13</f>
        <v>2016960</v>
      </c>
      <c r="G21" s="711">
        <f>'1'!I13+'3'!I18+'4'!I13+'5'!I13+'6'!I13+'8'!I13+'9'!I13+'10'!I13+'11'!I13+'12'!I13+'13'!I13+'14'!I13+'15'!I13+'16'!I16+'17'!I13+'18'!I13+'19'!I13+'20'!I13+'22'!I13+'23'!I13+'21'!I13+'24'!I13+'25'!I13+'26'!I13+'27'!I13+'28'!I13+'29'!I13+'30'!I13+'31'!I13+'32'!I13+'33'!I13+'34'!I13+'35'!I13+'36'!I13+'37'!I13+'7'!I13</f>
        <v>1475848</v>
      </c>
      <c r="H21" s="711">
        <f>'1'!J13+'3'!J18+'4'!J13+'5'!J13+'6'!J13+'8'!J13+'9'!J13+'10'!J13+'11'!J13+'12'!J13+'13'!J13+'14'!J13+'15'!J13+'16'!J16+'17'!J13+'18'!J13+'19'!J13+'20'!J13+'22'!J13+'23'!J13+'21'!J13+'24'!J13+'25'!J13+'26'!J13+'27'!J13+'28'!J13+'29'!J13+'30'!J13+'31'!J13+'32'!J13+'33'!J13+'34'!J13+'35'!J13+'36'!J13+'37'!J13+'7'!J13</f>
        <v>2008110</v>
      </c>
      <c r="I21" s="154">
        <f t="shared" si="1"/>
        <v>99.561220847215608</v>
      </c>
    </row>
    <row r="22" spans="2:12" ht="11.25" customHeight="1">
      <c r="B22" s="14"/>
      <c r="C22" s="373"/>
      <c r="D22" s="26"/>
      <c r="E22" s="40"/>
      <c r="F22" s="40"/>
      <c r="G22" s="40"/>
      <c r="H22" s="40"/>
      <c r="I22" s="154" t="str">
        <f t="shared" si="1"/>
        <v/>
      </c>
    </row>
    <row r="23" spans="2:12" ht="15" customHeight="1">
      <c r="B23" s="14"/>
      <c r="C23" s="371">
        <v>613000</v>
      </c>
      <c r="D23" s="12" t="s">
        <v>164</v>
      </c>
      <c r="E23" s="20">
        <f>E24+E25+E26+E27+E28+E29+E30+E33+E36</f>
        <v>4531970</v>
      </c>
      <c r="F23" s="20">
        <f t="shared" ref="F23:G23" si="5">F24+F25+F26+F27+F28+F29+F30+F33+F36</f>
        <v>4546770</v>
      </c>
      <c r="G23" s="20">
        <f t="shared" si="5"/>
        <v>2916031</v>
      </c>
      <c r="H23" s="20">
        <f>H24+H25+H26+H27+H28+H29+H30+H33+H36</f>
        <v>4462290</v>
      </c>
      <c r="I23" s="418">
        <f t="shared" si="1"/>
        <v>98.141977711650256</v>
      </c>
      <c r="K23" s="124"/>
    </row>
    <row r="24" spans="2:12" s="1" customFormat="1" ht="15" customHeight="1">
      <c r="B24" s="17"/>
      <c r="C24" s="373">
        <v>613100</v>
      </c>
      <c r="D24" s="15" t="s">
        <v>84</v>
      </c>
      <c r="E24" s="40">
        <f>'1'!G16+'3'!G21+'4'!G16+'5'!G16+'6'!G16+'8'!G16+'9'!G16+'10'!G16+'11'!G16+'12'!G16+'13'!G16+'14'!G16+'15'!G16+'16'!G19+'17'!G16+'18'!G16+'19'!G16+'20'!G16+'22'!G16+'23'!G16+'21'!G16+'24'!G16+'25'!G16+'26'!G16+'27'!G16+'28'!G16+'29'!G16+'30'!G16+'31'!G16+'32'!G16+'33'!G16+'34'!G16+'35'!G16+'36'!G16+'37'!G16+'7'!G16</f>
        <v>160910</v>
      </c>
      <c r="F24" s="711">
        <f>'1'!H16+'3'!H21+'4'!H16+'5'!H16+'6'!H16+'8'!H16+'9'!H16+'10'!H16+'11'!H16+'12'!H16+'13'!H16+'14'!H16+'15'!H16+'16'!H19+'17'!H16+'18'!H16+'19'!H16+'20'!H16+'22'!H16+'23'!H16+'21'!H16+'24'!H16+'25'!H16+'26'!H16+'27'!H16+'28'!H16+'29'!H16+'30'!H16+'31'!H16+'32'!H16+'33'!H16+'34'!H16+'35'!H16+'36'!H16+'37'!H16+'7'!H16</f>
        <v>171660</v>
      </c>
      <c r="G24" s="711">
        <f>'1'!I16+'3'!I21+'4'!I16+'5'!I16+'6'!I16+'8'!I16+'9'!I16+'10'!I16+'11'!I16+'12'!I16+'13'!I16+'14'!I16+'15'!I16+'16'!I19+'17'!I16+'18'!I16+'19'!I16+'20'!I16+'22'!I16+'23'!I16+'21'!I16+'24'!I16+'25'!I16+'26'!I16+'27'!I16+'28'!I16+'29'!I16+'30'!I16+'31'!I16+'32'!I16+'33'!I16+'34'!I16+'35'!I16+'36'!I16+'37'!I16+'7'!I16</f>
        <v>108472</v>
      </c>
      <c r="H24" s="711">
        <f>'1'!J16+'3'!J21+'4'!J16+'5'!J16+'6'!J16+'8'!J16+'9'!J16+'10'!J16+'11'!J16+'12'!J16+'13'!J16+'14'!J16+'15'!J16+'16'!J19+'17'!J16+'18'!J16+'19'!J16+'20'!J16+'22'!J16+'23'!J16+'21'!J16+'24'!J16+'25'!J16+'26'!J16+'27'!J16+'28'!J16+'29'!J16+'30'!J16+'31'!J16+'32'!J16+'33'!J16+'34'!J16+'35'!J16+'36'!J16+'37'!J16+'7'!J16</f>
        <v>167700</v>
      </c>
      <c r="I24" s="154">
        <f t="shared" si="1"/>
        <v>97.693114295700795</v>
      </c>
      <c r="K24" s="81"/>
    </row>
    <row r="25" spans="2:12" ht="15" customHeight="1">
      <c r="B25" s="14"/>
      <c r="C25" s="373">
        <v>613200</v>
      </c>
      <c r="D25" s="15" t="s">
        <v>85</v>
      </c>
      <c r="E25" s="40">
        <f>'1'!G17+'3'!G22+'4'!G17+'5'!G17+'6'!G17+'8'!G17+'9'!G17+'10'!G17+'11'!G17+'12'!G17+'13'!G17+'14'!G17+'15'!G17+'16'!G20+'17'!G17+'18'!G17+'19'!G17+'20'!G17+'22'!G17+'23'!G17+'21'!G17+'24'!G17+'25'!G17+'26'!G17+'27'!G17+'28'!G17+'29'!G17+'30'!G17+'31'!G17+'32'!G17+'33'!G17+'34'!G17+'35'!G17+'36'!G17+'37'!G17+'7'!G17</f>
        <v>752100</v>
      </c>
      <c r="F25" s="711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721600</v>
      </c>
      <c r="G25" s="711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393240</v>
      </c>
      <c r="H25" s="711">
        <f>'1'!J17+'3'!J22+'4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725800</v>
      </c>
      <c r="I25" s="154">
        <f t="shared" si="1"/>
        <v>100.58203991130821</v>
      </c>
    </row>
    <row r="26" spans="2:12" ht="15" customHeight="1">
      <c r="B26" s="14"/>
      <c r="C26" s="373">
        <v>613300</v>
      </c>
      <c r="D26" s="26" t="s">
        <v>206</v>
      </c>
      <c r="E26" s="40">
        <f>'1'!G18+'3'!G23+'4'!G18+'5'!G18+'6'!G18+'8'!G18+'9'!G18+'10'!G18+'11'!G18+'12'!G18+'13'!G18+'14'!G18+'15'!G18+'16'!G21+'17'!G18+'18'!G18+'19'!G18+'20'!G18+'22'!G18+'23'!G18+'21'!G18+'24'!G18+'25'!G18+'26'!G18+'27'!G18+'28'!G18+'29'!G18+'30'!G18+'31'!G18+'32'!G18+'33'!G18+'34'!G18+'35'!G18+'36'!G18+'37'!G18+'7'!G18</f>
        <v>439600</v>
      </c>
      <c r="F26" s="711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433950</v>
      </c>
      <c r="G26" s="711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282985</v>
      </c>
      <c r="H26" s="711">
        <f>'1'!J18+'3'!J23+'4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416600</v>
      </c>
      <c r="I26" s="154">
        <f t="shared" si="1"/>
        <v>96.001843530360645</v>
      </c>
    </row>
    <row r="27" spans="2:12" ht="15" customHeight="1">
      <c r="B27" s="14"/>
      <c r="C27" s="373">
        <v>613400</v>
      </c>
      <c r="D27" s="26" t="s">
        <v>165</v>
      </c>
      <c r="E27" s="40">
        <f>'1'!G19+'3'!G24+'4'!G19+'5'!G19+'6'!G19+'8'!G19+'9'!G19+'10'!G19+'11'!G19+'12'!G19+'13'!G19+'14'!G19+'15'!G19+'16'!G22+'17'!G19+'18'!G19+'19'!G19+'20'!G19+'22'!G19+'23'!G19+'21'!G19+'24'!G19+'25'!G19+'26'!G19+'27'!G19+'28'!G19+'29'!G19+'30'!G19+'31'!G19+'32'!G19+'33'!G19+'34'!G19+'35'!G19+'36'!G19+'37'!G19+'7'!G19</f>
        <v>520600</v>
      </c>
      <c r="F27" s="711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528600</v>
      </c>
      <c r="G27" s="711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380419</v>
      </c>
      <c r="H27" s="711">
        <f>'1'!J19+'3'!J24+'4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568670</v>
      </c>
      <c r="I27" s="154">
        <f t="shared" si="1"/>
        <v>107.58040105940219</v>
      </c>
    </row>
    <row r="28" spans="2:12" ht="15" customHeight="1">
      <c r="B28" s="14"/>
      <c r="C28" s="373">
        <v>613500</v>
      </c>
      <c r="D28" s="19" t="s">
        <v>86</v>
      </c>
      <c r="E28" s="105">
        <f>'1'!G20+'3'!G25+'4'!G20+'5'!G20+'6'!G20+'8'!G20+'9'!G20+'10'!G20+'11'!G20+'12'!G20+'13'!G20+'14'!G20+'15'!G20+'16'!G23+'17'!G20+'18'!G20+'19'!G20+'20'!G20+'22'!G20+'23'!G20+'21'!G20+'24'!G20+'25'!G20+'26'!G20+'27'!G20+'28'!G20+'29'!G20+'30'!G20+'31'!G20+'32'!G20+'33'!G20+'34'!G20+'35'!G20+'36'!G20+'37'!G20+'7'!G20</f>
        <v>204490</v>
      </c>
      <c r="F28" s="714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218390</v>
      </c>
      <c r="G28" s="714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163449</v>
      </c>
      <c r="H28" s="714">
        <f>'1'!J20+'3'!J25+'4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221590</v>
      </c>
      <c r="I28" s="154">
        <f t="shared" si="1"/>
        <v>101.46526855625257</v>
      </c>
    </row>
    <row r="29" spans="2:12" ht="15" customHeight="1">
      <c r="B29" s="14"/>
      <c r="C29" s="373">
        <v>613600</v>
      </c>
      <c r="D29" s="98" t="s">
        <v>207</v>
      </c>
      <c r="E29" s="105">
        <f>'1'!G21+'3'!G26+'4'!G21+'5'!G21+'6'!G21+'8'!G21+'9'!G21+'10'!G21+'11'!G21+'12'!G21+'13'!G21+'14'!G21+'15'!G21+'16'!G24+'17'!G21+'18'!G21+'19'!G21+'20'!G21+'22'!G21+'23'!G21+'21'!G21+'24'!G21+'25'!G21+'26'!G21+'27'!G21+'28'!G21+'29'!G21+'30'!G21+'31'!G21+'32'!G21+'33'!G21+'34'!G21+'35'!G21+'36'!G21+'37'!G21+'7'!G21</f>
        <v>38500</v>
      </c>
      <c r="F29" s="714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38500</v>
      </c>
      <c r="G29" s="714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27669</v>
      </c>
      <c r="H29" s="714">
        <f>'1'!J21+'3'!J26+'4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38500</v>
      </c>
      <c r="I29" s="154">
        <f t="shared" si="1"/>
        <v>100</v>
      </c>
    </row>
    <row r="30" spans="2:12" ht="15" customHeight="1">
      <c r="B30" s="14"/>
      <c r="C30" s="373">
        <v>613700</v>
      </c>
      <c r="D30" s="19" t="s">
        <v>87</v>
      </c>
      <c r="E30" s="105">
        <f>E31+E32</f>
        <v>533600</v>
      </c>
      <c r="F30" s="714">
        <f t="shared" ref="F30:H30" si="6">F31+F32</f>
        <v>521350</v>
      </c>
      <c r="G30" s="714">
        <f t="shared" si="6"/>
        <v>299083</v>
      </c>
      <c r="H30" s="714">
        <f t="shared" si="6"/>
        <v>496800</v>
      </c>
      <c r="I30" s="154">
        <f t="shared" si="1"/>
        <v>95.291071257312737</v>
      </c>
    </row>
    <row r="31" spans="2:12" ht="15" customHeight="1">
      <c r="B31" s="14"/>
      <c r="C31" s="374">
        <v>613700</v>
      </c>
      <c r="D31" s="360" t="s">
        <v>607</v>
      </c>
      <c r="E31" s="361">
        <f>'1'!G22+'3'!G27+'4'!G22+'5'!G22+'6'!G22+'8'!G22+'9'!G22+'10'!G22+'11'!G22+'12'!G22+'13'!G22+'14'!G22+'15'!G22+'16'!G25+'17'!G22+'18'!G22+'19'!G22+'20'!G22+'22'!G22+'23'!G22+'21'!G22+'24'!G22+'25'!G22+'26'!G22+'27'!G22+'28'!G22+'29'!G22+'30'!G22+'31'!G22+'32'!G22+'33'!G22+'34'!G22+'35'!G22+'36'!G22+'37'!G22+'7'!G22</f>
        <v>333600</v>
      </c>
      <c r="F31" s="720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321350</v>
      </c>
      <c r="G31" s="720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188648</v>
      </c>
      <c r="H31" s="720">
        <f>'1'!J22+'3'!J27+'4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299800</v>
      </c>
      <c r="I31" s="359">
        <f t="shared" si="1"/>
        <v>93.293916290648824</v>
      </c>
    </row>
    <row r="32" spans="2:12" ht="15" customHeight="1">
      <c r="B32" s="14"/>
      <c r="C32" s="374">
        <v>613700</v>
      </c>
      <c r="D32" s="360" t="s">
        <v>608</v>
      </c>
      <c r="E32" s="361">
        <f>'18'!G23</f>
        <v>200000</v>
      </c>
      <c r="F32" s="361">
        <f>'18'!H23</f>
        <v>200000</v>
      </c>
      <c r="G32" s="361">
        <f>'18'!I23</f>
        <v>110435</v>
      </c>
      <c r="H32" s="361">
        <f>'18'!J23</f>
        <v>197000</v>
      </c>
      <c r="I32" s="359">
        <f t="shared" si="1"/>
        <v>98.5</v>
      </c>
    </row>
    <row r="33" spans="2:11" ht="15" customHeight="1">
      <c r="B33" s="14"/>
      <c r="C33" s="373">
        <v>613800</v>
      </c>
      <c r="D33" s="98" t="s">
        <v>166</v>
      </c>
      <c r="E33" s="105">
        <f>E34+E35</f>
        <v>51360</v>
      </c>
      <c r="F33" s="105">
        <f t="shared" ref="F33:G33" si="7">F34+F35</f>
        <v>50510</v>
      </c>
      <c r="G33" s="105">
        <f t="shared" si="7"/>
        <v>24532</v>
      </c>
      <c r="H33" s="105">
        <f>H34+H35</f>
        <v>41040</v>
      </c>
      <c r="I33" s="154">
        <f t="shared" si="1"/>
        <v>81.251237378736889</v>
      </c>
    </row>
    <row r="34" spans="2:11" ht="15" customHeight="1">
      <c r="B34" s="14"/>
      <c r="C34" s="374">
        <v>613800</v>
      </c>
      <c r="D34" s="360" t="s">
        <v>609</v>
      </c>
      <c r="E34" s="361">
        <f>'1'!G23+'3'!G28+'4'!G23+'5'!G23+'6'!G23+'8'!G23+'9'!G23+'10'!G23+'11'!G23+'12'!G23+'13'!G23+'14'!G23+'15'!G23+'16'!G26+'17'!G23+'18'!G24+'19'!G23+'20'!G23+'22'!G23+'23'!G23+'21'!G23+'24'!G23+'25'!G23+'26'!G23+'27'!G23+'28'!G23+'29'!G23+'30'!G23+'31'!G23+'32'!G23+'33'!G23+'34'!G23+'35'!G23+'36'!G23+'37'!G23+'7'!G23</f>
        <v>51360</v>
      </c>
      <c r="F34" s="720">
        <f>'1'!H23+'3'!H28+'4'!H23+'5'!H23+'6'!H23+'8'!H23+'9'!H23+'10'!H23+'11'!H23+'12'!H23+'13'!H23+'14'!H23+'15'!H23+'16'!H26+'17'!H23+'18'!H24+'19'!H23+'20'!H23+'22'!H23+'23'!H23+'21'!H23+'24'!H23+'25'!H23+'26'!H23+'27'!H23+'28'!H23+'29'!H23+'30'!H23+'31'!H23+'32'!H23+'33'!H23+'34'!H23+'35'!H23+'36'!H23+'37'!H23+'7'!H23</f>
        <v>50510</v>
      </c>
      <c r="G34" s="720">
        <f>'1'!I23+'3'!I28+'4'!I23+'5'!I23+'6'!I23+'8'!I23+'9'!I23+'10'!I23+'11'!I23+'12'!I23+'13'!I23+'14'!I23+'15'!I23+'16'!I26+'17'!I23+'18'!I24+'19'!I23+'20'!I23+'22'!I23+'23'!I23+'21'!I23+'24'!I23+'25'!I23+'26'!I23+'27'!I23+'28'!I23+'29'!I23+'30'!I23+'31'!I23+'32'!I23+'33'!I23+'34'!I23+'35'!I23+'36'!I23+'37'!I23+'7'!I23</f>
        <v>24532</v>
      </c>
      <c r="H34" s="720">
        <f>'1'!J23+'3'!J28+'4'!J23+'5'!J23+'6'!J23+'8'!J23+'9'!J23+'10'!J23+'11'!J23+'12'!J23+'13'!J23+'14'!J23+'15'!J23+'16'!J26+'17'!J23+'18'!J24+'19'!J23+'20'!J23+'22'!J23+'23'!J23+'21'!J23+'24'!J23+'25'!J23+'26'!J23+'27'!J23+'28'!J23+'29'!J23+'30'!J23+'31'!J23+'32'!J23+'33'!J23+'34'!J23+'35'!J23+'36'!J23+'37'!J23+'7'!J23</f>
        <v>41040</v>
      </c>
      <c r="I34" s="359">
        <f t="shared" si="1"/>
        <v>81.251237378736889</v>
      </c>
    </row>
    <row r="35" spans="2:11" ht="15" customHeight="1">
      <c r="B35" s="14"/>
      <c r="C35" s="374">
        <v>613800</v>
      </c>
      <c r="D35" s="357" t="s">
        <v>610</v>
      </c>
      <c r="E35" s="358">
        <f>'20'!G24</f>
        <v>0</v>
      </c>
      <c r="F35" s="358">
        <f>'20'!H24</f>
        <v>0</v>
      </c>
      <c r="G35" s="358">
        <f>'20'!I24</f>
        <v>0</v>
      </c>
      <c r="H35" s="358">
        <f>'20'!J24</f>
        <v>0</v>
      </c>
      <c r="I35" s="359" t="str">
        <f t="shared" si="1"/>
        <v/>
      </c>
    </row>
    <row r="36" spans="2:11" ht="15" customHeight="1">
      <c r="B36" s="14"/>
      <c r="C36" s="375">
        <v>613900</v>
      </c>
      <c r="D36" s="98" t="s">
        <v>167</v>
      </c>
      <c r="E36" s="108">
        <f>SUM(E37:E43)</f>
        <v>1830810</v>
      </c>
      <c r="F36" s="108">
        <f t="shared" ref="F36:G36" si="8">SUM(F37:F43)</f>
        <v>1862210</v>
      </c>
      <c r="G36" s="108">
        <f t="shared" si="8"/>
        <v>1236182</v>
      </c>
      <c r="H36" s="108">
        <f>SUM(H37:H43)</f>
        <v>1785590</v>
      </c>
      <c r="I36" s="154">
        <f t="shared" si="1"/>
        <v>95.885533854935801</v>
      </c>
    </row>
    <row r="37" spans="2:11" ht="15" customHeight="1">
      <c r="B37" s="14"/>
      <c r="C37" s="376">
        <v>613900</v>
      </c>
      <c r="D37" s="360" t="s">
        <v>611</v>
      </c>
      <c r="E37" s="362">
        <f>'1'!G24+'3'!G29+'4'!G24+'5'!G24+'6'!G24+'8'!G24+'9'!G24+'10'!G24+'11'!G24+'12'!G24+'13'!G24+'14'!G24+'15'!G24+'16'!G27+'17'!G24+'18'!G25+'19'!G24+'20'!G25+'22'!G24+'23'!G24+'21'!G24+'24'!G24+'25'!G24+'26'!G24+'27'!G24+'28'!G24+'29'!G24+'30'!G24+'31'!G24+'32'!G24+'33'!G24+'34'!G24+'35'!G24+'36'!G24+'37'!G24+'7'!G24</f>
        <v>1386900</v>
      </c>
      <c r="F37" s="721">
        <f>'1'!H24+'3'!H29+'4'!H24+'5'!H24+'6'!H24+'8'!H24+'9'!H24+'10'!H24+'11'!H24+'12'!H24+'13'!H24+'14'!H24+'15'!H24+'16'!H27+'17'!H24+'18'!H25+'19'!H24+'20'!H25+'22'!H24+'23'!H24+'21'!H24+'24'!H24+'25'!H24+'26'!H24+'27'!H24+'28'!H24+'29'!H24+'30'!H24+'31'!H24+'32'!H24+'33'!H24+'34'!H24+'35'!H24+'36'!H24+'37'!H24+'7'!H24</f>
        <v>1418300</v>
      </c>
      <c r="G37" s="721">
        <f>'1'!I24+'3'!I29+'4'!I24+'5'!I24+'6'!I24+'8'!I24+'9'!I24+'10'!I24+'11'!I24+'12'!I24+'13'!I24+'14'!I24+'15'!I24+'16'!I27+'17'!I24+'18'!I25+'19'!I24+'20'!I25+'22'!I24+'23'!I24+'21'!I24+'24'!I24+'25'!I24+'26'!I24+'27'!I24+'28'!I24+'29'!I24+'30'!I24+'31'!I24+'32'!I24+'33'!I24+'34'!I24+'35'!I24+'36'!I24+'37'!I24+'7'!I24</f>
        <v>1020703</v>
      </c>
      <c r="H37" s="721">
        <f>'1'!J24+'3'!J29+'4'!J24+'5'!J24+'6'!J24+'8'!J24+'9'!J24+'10'!J24+'11'!J24+'12'!J24+'13'!J24+'14'!J24+'15'!J24+'16'!J27+'17'!J24+'18'!J25+'19'!J24+'20'!J25+'22'!J24+'23'!J24+'21'!J24+'24'!J24+'25'!J24+'26'!J24+'27'!J24+'28'!J24+'29'!J24+'30'!J24+'31'!J24+'32'!J24+'33'!J24+'34'!J24+'35'!J24+'36'!J24+'37'!J24+'7'!J24</f>
        <v>1413000</v>
      </c>
      <c r="I37" s="359">
        <f t="shared" si="1"/>
        <v>99.626313191849405</v>
      </c>
    </row>
    <row r="38" spans="2:11" ht="15" customHeight="1">
      <c r="B38" s="14"/>
      <c r="C38" s="374">
        <v>613900</v>
      </c>
      <c r="D38" s="357" t="s">
        <v>612</v>
      </c>
      <c r="E38" s="358">
        <f>'3'!G30</f>
        <v>29500</v>
      </c>
      <c r="F38" s="358">
        <f>'3'!H30</f>
        <v>29500</v>
      </c>
      <c r="G38" s="358">
        <f>'3'!I30</f>
        <v>27140</v>
      </c>
      <c r="H38" s="358">
        <f>'3'!J30</f>
        <v>42630</v>
      </c>
      <c r="I38" s="359">
        <f t="shared" si="1"/>
        <v>144.5084745762712</v>
      </c>
    </row>
    <row r="39" spans="2:11" ht="15" customHeight="1">
      <c r="B39" s="14"/>
      <c r="C39" s="374">
        <v>613900</v>
      </c>
      <c r="D39" s="357" t="s">
        <v>613</v>
      </c>
      <c r="E39" s="358">
        <f>'16'!G28</f>
        <v>80000</v>
      </c>
      <c r="F39" s="358">
        <f>'16'!H28</f>
        <v>80000</v>
      </c>
      <c r="G39" s="358">
        <f>'16'!I28</f>
        <v>42022</v>
      </c>
      <c r="H39" s="358">
        <f>'16'!J28</f>
        <v>65500</v>
      </c>
      <c r="I39" s="359">
        <f t="shared" si="1"/>
        <v>81.875</v>
      </c>
    </row>
    <row r="40" spans="2:11" ht="15" customHeight="1">
      <c r="B40" s="14"/>
      <c r="C40" s="374">
        <v>613900</v>
      </c>
      <c r="D40" s="357" t="s">
        <v>614</v>
      </c>
      <c r="E40" s="358">
        <f>'20'!G26</f>
        <v>55000</v>
      </c>
      <c r="F40" s="358">
        <f>'20'!H26</f>
        <v>55000</v>
      </c>
      <c r="G40" s="358">
        <f>'20'!I26</f>
        <v>48512</v>
      </c>
      <c r="H40" s="358">
        <f>'20'!J26</f>
        <v>60000</v>
      </c>
      <c r="I40" s="359">
        <f t="shared" si="1"/>
        <v>109.09090909090908</v>
      </c>
    </row>
    <row r="41" spans="2:11" ht="15" customHeight="1">
      <c r="B41" s="14"/>
      <c r="C41" s="374">
        <v>613900</v>
      </c>
      <c r="D41" s="357" t="s">
        <v>702</v>
      </c>
      <c r="E41" s="358">
        <f>'1'!G25+'3'!G31+'4'!G25+'5'!G25+'6'!G25+'8'!G25+'9'!G25+'10'!G25+'11'!G25+'12'!G25+'13'!G25+'14'!G25+'15'!G25+'16'!G29+'17'!G25+'18'!G26+'19'!G25+'20'!G27+'22'!G25+'23'!G25+'21'!G25+'24'!G25+'25'!G25+'26'!G25+'27'!G25+'28'!G25+'29'!G25+'30'!G25+'31'!G25+'32'!G25+'33'!G25+'34'!G25+'35'!G25+'36'!G25+'37'!G25+'7'!G25</f>
        <v>208700</v>
      </c>
      <c r="F41" s="719">
        <f>'1'!H25+'3'!H31+'4'!H25+'5'!H25+'6'!H25+'8'!H25+'9'!H25+'10'!H25+'11'!H25+'12'!H25+'13'!H25+'14'!H25+'15'!H25+'16'!H29+'17'!H25+'18'!H26+'19'!H25+'20'!H27+'22'!H25+'23'!H25+'21'!H25+'24'!H25+'25'!H25+'26'!H25+'27'!H25+'28'!H25+'29'!H25+'30'!H25+'31'!H25+'32'!H25+'33'!H25+'34'!H25+'35'!H25+'36'!H25+'37'!H25+'7'!H25</f>
        <v>208700</v>
      </c>
      <c r="G41" s="719">
        <f>'1'!I25+'3'!I31+'4'!I25+'5'!I25+'6'!I25+'8'!I25+'9'!I25+'10'!I25+'11'!I25+'12'!I25+'13'!I25+'14'!I25+'15'!I25+'16'!I29+'17'!I25+'18'!I26+'19'!I25+'20'!I27+'22'!I25+'23'!I25+'21'!I25+'24'!I25+'25'!I25+'26'!I25+'27'!I25+'28'!I25+'29'!I25+'30'!I25+'31'!I25+'32'!I25+'33'!I25+'34'!I25+'35'!I25+'36'!I25+'37'!I25+'7'!I25</f>
        <v>79695</v>
      </c>
      <c r="H41" s="719">
        <f>'1'!J25+'3'!J31+'4'!J25+'5'!J25+'6'!J25+'8'!J25+'9'!J25+'10'!J25+'11'!J25+'12'!J25+'13'!J25+'14'!J25+'15'!J25+'16'!J29+'17'!J25+'18'!J26+'19'!J25+'20'!J27+'22'!J25+'23'!J25+'21'!J25+'24'!J25+'25'!J25+'26'!J25+'27'!J25+'28'!J25+'29'!J25+'30'!J25+'31'!J25+'32'!J25+'33'!J25+'34'!J25+'35'!J25+'36'!J25+'37'!J25+'7'!J25</f>
        <v>136300</v>
      </c>
      <c r="I41" s="359">
        <f t="shared" si="1"/>
        <v>65.309056061332058</v>
      </c>
    </row>
    <row r="42" spans="2:11" ht="15" customHeight="1">
      <c r="B42" s="14"/>
      <c r="C42" s="374">
        <v>613900</v>
      </c>
      <c r="D42" s="357" t="s">
        <v>615</v>
      </c>
      <c r="E42" s="358">
        <f>'15'!G26</f>
        <v>50000</v>
      </c>
      <c r="F42" s="358">
        <f>'15'!H26</f>
        <v>50000</v>
      </c>
      <c r="G42" s="358">
        <f>'15'!I26</f>
        <v>0</v>
      </c>
      <c r="H42" s="358">
        <f>'15'!J26</f>
        <v>50000</v>
      </c>
      <c r="I42" s="359">
        <f t="shared" si="1"/>
        <v>100</v>
      </c>
    </row>
    <row r="43" spans="2:11" ht="15" customHeight="1">
      <c r="B43" s="14"/>
      <c r="C43" s="374">
        <v>613900</v>
      </c>
      <c r="D43" s="357" t="s">
        <v>616</v>
      </c>
      <c r="E43" s="358">
        <f>'23'!G26</f>
        <v>20710</v>
      </c>
      <c r="F43" s="358">
        <f>'23'!H26</f>
        <v>20710</v>
      </c>
      <c r="G43" s="358">
        <f>'23'!I26</f>
        <v>18110</v>
      </c>
      <c r="H43" s="358">
        <f>'23'!J26</f>
        <v>18160</v>
      </c>
      <c r="I43" s="359">
        <f t="shared" si="1"/>
        <v>87.687107677450498</v>
      </c>
    </row>
    <row r="44" spans="2:11" ht="11.25" customHeight="1">
      <c r="B44" s="14"/>
      <c r="C44" s="373"/>
      <c r="D44" s="15"/>
      <c r="E44" s="72"/>
      <c r="F44" s="72"/>
      <c r="G44" s="72"/>
      <c r="H44" s="72"/>
      <c r="I44" s="154" t="str">
        <f t="shared" si="1"/>
        <v/>
      </c>
    </row>
    <row r="45" spans="2:11" ht="15" customHeight="1">
      <c r="B45" s="14"/>
      <c r="C45" s="371">
        <v>614000</v>
      </c>
      <c r="D45" s="12" t="s">
        <v>208</v>
      </c>
      <c r="E45" s="96">
        <f>E46+E57+E65+E77+E82</f>
        <v>11566000</v>
      </c>
      <c r="F45" s="96">
        <f>F46+F57+F65+F77+F82</f>
        <v>11566000</v>
      </c>
      <c r="G45" s="96">
        <f>G46+G57+G65+G77+G82</f>
        <v>7063773</v>
      </c>
      <c r="H45" s="96">
        <f>H46+H57+H65+H77+H82</f>
        <v>11585500</v>
      </c>
      <c r="I45" s="418">
        <f t="shared" si="1"/>
        <v>100.16859761369533</v>
      </c>
      <c r="K45" s="124"/>
    </row>
    <row r="46" spans="2:11" s="71" customFormat="1" ht="15" customHeight="1">
      <c r="B46" s="384"/>
      <c r="C46" s="385">
        <v>614100</v>
      </c>
      <c r="D46" s="26" t="s">
        <v>647</v>
      </c>
      <c r="E46" s="148">
        <f>SUM(E47:E56)</f>
        <v>2465000</v>
      </c>
      <c r="F46" s="148">
        <f t="shared" ref="F46:G46" si="9">SUM(F47:F56)</f>
        <v>2550000</v>
      </c>
      <c r="G46" s="148">
        <f t="shared" si="9"/>
        <v>1690110</v>
      </c>
      <c r="H46" s="148">
        <f>SUM(H47:H56)</f>
        <v>2437000</v>
      </c>
      <c r="I46" s="154">
        <f t="shared" si="1"/>
        <v>95.568627450980387</v>
      </c>
      <c r="K46" s="84"/>
    </row>
    <row r="47" spans="2:11" s="85" customFormat="1" ht="15" customHeight="1">
      <c r="B47" s="86"/>
      <c r="C47" s="374">
        <v>614100</v>
      </c>
      <c r="D47" s="357" t="s">
        <v>617</v>
      </c>
      <c r="E47" s="361">
        <f>'3'!G34</f>
        <v>100000</v>
      </c>
      <c r="F47" s="361">
        <f>'3'!H34</f>
        <v>100000</v>
      </c>
      <c r="G47" s="361">
        <f>'3'!I34</f>
        <v>0</v>
      </c>
      <c r="H47" s="361">
        <f>'3'!J34</f>
        <v>100000</v>
      </c>
      <c r="I47" s="359">
        <f t="shared" si="1"/>
        <v>100</v>
      </c>
      <c r="K47" s="156"/>
    </row>
    <row r="48" spans="2:11" s="85" customFormat="1" ht="15" customHeight="1">
      <c r="B48" s="86"/>
      <c r="C48" s="374">
        <v>614100</v>
      </c>
      <c r="D48" s="360" t="s">
        <v>618</v>
      </c>
      <c r="E48" s="361">
        <f>'3'!G35</f>
        <v>200000</v>
      </c>
      <c r="F48" s="361">
        <f>'3'!H35</f>
        <v>200000</v>
      </c>
      <c r="G48" s="361">
        <f>'3'!I35</f>
        <v>150000</v>
      </c>
      <c r="H48" s="361">
        <f>'3'!J35</f>
        <v>200000</v>
      </c>
      <c r="I48" s="359">
        <f t="shared" si="1"/>
        <v>100</v>
      </c>
    </row>
    <row r="49" spans="2:9" s="1" customFormat="1" ht="15" customHeight="1">
      <c r="B49" s="17"/>
      <c r="C49" s="374">
        <v>614100</v>
      </c>
      <c r="D49" s="363" t="s">
        <v>619</v>
      </c>
      <c r="E49" s="358">
        <f>'16'!G32</f>
        <v>350000</v>
      </c>
      <c r="F49" s="358">
        <f>'16'!H32</f>
        <v>435000</v>
      </c>
      <c r="G49" s="358">
        <f>'16'!I32</f>
        <v>435000</v>
      </c>
      <c r="H49" s="358">
        <f>'16'!J32</f>
        <v>435000</v>
      </c>
      <c r="I49" s="359">
        <f t="shared" si="1"/>
        <v>100</v>
      </c>
    </row>
    <row r="50" spans="2:9" s="1" customFormat="1" ht="15" customHeight="1">
      <c r="B50" s="17"/>
      <c r="C50" s="377">
        <v>614100</v>
      </c>
      <c r="D50" s="357" t="s">
        <v>620</v>
      </c>
      <c r="E50" s="358">
        <f>'17'!G28</f>
        <v>650000</v>
      </c>
      <c r="F50" s="358">
        <f>'17'!H28</f>
        <v>650000</v>
      </c>
      <c r="G50" s="358">
        <f>'17'!I28</f>
        <v>486000</v>
      </c>
      <c r="H50" s="358">
        <f>'17'!J28</f>
        <v>550000</v>
      </c>
      <c r="I50" s="359">
        <f t="shared" si="1"/>
        <v>84.615384615384613</v>
      </c>
    </row>
    <row r="51" spans="2:9" s="1" customFormat="1" ht="15" customHeight="1">
      <c r="B51" s="17"/>
      <c r="C51" s="374">
        <v>614100</v>
      </c>
      <c r="D51" s="364" t="s">
        <v>621</v>
      </c>
      <c r="E51" s="358">
        <f>'18'!G29</f>
        <v>180000</v>
      </c>
      <c r="F51" s="358">
        <f>'18'!H29</f>
        <v>180000</v>
      </c>
      <c r="G51" s="358">
        <f>'18'!I29</f>
        <v>40000</v>
      </c>
      <c r="H51" s="358">
        <f>'18'!J29</f>
        <v>180000</v>
      </c>
      <c r="I51" s="359">
        <f t="shared" si="1"/>
        <v>100</v>
      </c>
    </row>
    <row r="52" spans="2:9" s="1" customFormat="1" ht="15" customHeight="1">
      <c r="B52" s="17"/>
      <c r="C52" s="374">
        <v>614100</v>
      </c>
      <c r="D52" s="364" t="s">
        <v>622</v>
      </c>
      <c r="E52" s="358">
        <f>'18'!G30</f>
        <v>30000</v>
      </c>
      <c r="F52" s="358">
        <f>'18'!H30</f>
        <v>30000</v>
      </c>
      <c r="G52" s="358">
        <f>'18'!I30</f>
        <v>0</v>
      </c>
      <c r="H52" s="361">
        <f>'18'!J30</f>
        <v>0</v>
      </c>
      <c r="I52" s="359">
        <f t="shared" si="1"/>
        <v>0</v>
      </c>
    </row>
    <row r="53" spans="2:9" s="1" customFormat="1" ht="15" customHeight="1">
      <c r="B53" s="17"/>
      <c r="C53" s="374">
        <v>614100</v>
      </c>
      <c r="D53" s="360" t="s">
        <v>623</v>
      </c>
      <c r="E53" s="358">
        <f>'19'!G28</f>
        <v>150000</v>
      </c>
      <c r="F53" s="358">
        <f>'19'!H28</f>
        <v>150000</v>
      </c>
      <c r="G53" s="358">
        <f>'19'!I28</f>
        <v>3500</v>
      </c>
      <c r="H53" s="358">
        <f>'19'!J28</f>
        <v>150000</v>
      </c>
      <c r="I53" s="359">
        <f t="shared" si="1"/>
        <v>100</v>
      </c>
    </row>
    <row r="54" spans="2:9" s="1" customFormat="1" ht="24.75" customHeight="1">
      <c r="B54" s="17"/>
      <c r="C54" s="377">
        <v>614100</v>
      </c>
      <c r="D54" s="365" t="s">
        <v>624</v>
      </c>
      <c r="E54" s="358">
        <f>'20'!G30</f>
        <v>160000</v>
      </c>
      <c r="F54" s="358">
        <f>'20'!H30</f>
        <v>160000</v>
      </c>
      <c r="G54" s="358">
        <f>'20'!I30</f>
        <v>111950</v>
      </c>
      <c r="H54" s="358">
        <f>'20'!J30</f>
        <v>127000</v>
      </c>
      <c r="I54" s="359">
        <f t="shared" si="1"/>
        <v>79.375</v>
      </c>
    </row>
    <row r="55" spans="2:9" s="1" customFormat="1" ht="15" customHeight="1">
      <c r="B55" s="17"/>
      <c r="C55" s="378" t="s">
        <v>108</v>
      </c>
      <c r="D55" s="366" t="s">
        <v>625</v>
      </c>
      <c r="E55" s="361">
        <f>'20'!G31</f>
        <v>350000</v>
      </c>
      <c r="F55" s="361">
        <f>'20'!H31</f>
        <v>350000</v>
      </c>
      <c r="G55" s="361">
        <f>'20'!I31</f>
        <v>264550</v>
      </c>
      <c r="H55" s="361">
        <f>'20'!J31</f>
        <v>350000</v>
      </c>
      <c r="I55" s="359">
        <f t="shared" si="1"/>
        <v>100</v>
      </c>
    </row>
    <row r="56" spans="2:9" s="1" customFormat="1" ht="15" customHeight="1">
      <c r="B56" s="17"/>
      <c r="C56" s="378" t="s">
        <v>108</v>
      </c>
      <c r="D56" s="366" t="s">
        <v>626</v>
      </c>
      <c r="E56" s="361">
        <f>'20'!G32</f>
        <v>295000</v>
      </c>
      <c r="F56" s="361">
        <f>'20'!H32</f>
        <v>295000</v>
      </c>
      <c r="G56" s="361">
        <f>'20'!I32</f>
        <v>199110</v>
      </c>
      <c r="H56" s="361">
        <f>'20'!J32</f>
        <v>345000</v>
      </c>
      <c r="I56" s="359">
        <f t="shared" si="1"/>
        <v>116.94915254237289</v>
      </c>
    </row>
    <row r="57" spans="2:9" s="71" customFormat="1" ht="15" customHeight="1">
      <c r="B57" s="384"/>
      <c r="C57" s="386" t="s">
        <v>106</v>
      </c>
      <c r="D57" s="387" t="s">
        <v>648</v>
      </c>
      <c r="E57" s="148">
        <f>SUM(E58:E64)</f>
        <v>4895000</v>
      </c>
      <c r="F57" s="148">
        <f t="shared" ref="F57:G57" si="10">SUM(F58:F64)</f>
        <v>4960000</v>
      </c>
      <c r="G57" s="148">
        <f t="shared" si="10"/>
        <v>3340429</v>
      </c>
      <c r="H57" s="148">
        <f>SUM(H58:H64)</f>
        <v>5051000</v>
      </c>
      <c r="I57" s="154">
        <f t="shared" si="1"/>
        <v>101.83467741935483</v>
      </c>
    </row>
    <row r="58" spans="2:9" s="1" customFormat="1" ht="15" customHeight="1">
      <c r="B58" s="17"/>
      <c r="C58" s="378" t="s">
        <v>106</v>
      </c>
      <c r="D58" s="367" t="s">
        <v>627</v>
      </c>
      <c r="E58" s="361">
        <f>'3'!G36</f>
        <v>150000</v>
      </c>
      <c r="F58" s="361">
        <f>'3'!H36</f>
        <v>215000</v>
      </c>
      <c r="G58" s="361">
        <f>'3'!I36</f>
        <v>204500</v>
      </c>
      <c r="H58" s="361">
        <f>'3'!J36</f>
        <v>206000</v>
      </c>
      <c r="I58" s="359">
        <f t="shared" si="1"/>
        <v>95.813953488372093</v>
      </c>
    </row>
    <row r="59" spans="2:9" s="1" customFormat="1" ht="15" customHeight="1">
      <c r="B59" s="17"/>
      <c r="C59" s="377">
        <v>614200</v>
      </c>
      <c r="D59" s="363" t="s">
        <v>628</v>
      </c>
      <c r="E59" s="358">
        <f>'4'!G28</f>
        <v>20000</v>
      </c>
      <c r="F59" s="358">
        <f>'4'!H28</f>
        <v>20000</v>
      </c>
      <c r="G59" s="358">
        <f>'4'!I28</f>
        <v>0</v>
      </c>
      <c r="H59" s="358">
        <f>'4'!J28</f>
        <v>20000</v>
      </c>
      <c r="I59" s="359">
        <f t="shared" si="1"/>
        <v>100</v>
      </c>
    </row>
    <row r="60" spans="2:9" s="1" customFormat="1" ht="15" customHeight="1">
      <c r="B60" s="17"/>
      <c r="C60" s="377" t="s">
        <v>106</v>
      </c>
      <c r="D60" s="357" t="s">
        <v>629</v>
      </c>
      <c r="E60" s="358">
        <f>'17'!G29</f>
        <v>3430000</v>
      </c>
      <c r="F60" s="358">
        <f>'17'!H29</f>
        <v>3430000</v>
      </c>
      <c r="G60" s="358">
        <f>'17'!I29</f>
        <v>2290502</v>
      </c>
      <c r="H60" s="358">
        <f>'17'!J29</f>
        <v>3530000</v>
      </c>
      <c r="I60" s="359">
        <f t="shared" si="1"/>
        <v>102.91545189504374</v>
      </c>
    </row>
    <row r="61" spans="2:9" s="1" customFormat="1" ht="15" customHeight="1">
      <c r="B61" s="17"/>
      <c r="C61" s="377" t="s">
        <v>106</v>
      </c>
      <c r="D61" s="363" t="s">
        <v>630</v>
      </c>
      <c r="E61" s="358">
        <f>'20'!G33</f>
        <v>150000</v>
      </c>
      <c r="F61" s="358">
        <f>'20'!H33</f>
        <v>150000</v>
      </c>
      <c r="G61" s="358">
        <f>'20'!I33</f>
        <v>116400</v>
      </c>
      <c r="H61" s="358">
        <f>'20'!J33</f>
        <v>150000</v>
      </c>
      <c r="I61" s="359">
        <f t="shared" si="1"/>
        <v>100</v>
      </c>
    </row>
    <row r="62" spans="2:9" s="1" customFormat="1" ht="24.75" customHeight="1">
      <c r="B62" s="17"/>
      <c r="C62" s="377" t="s">
        <v>106</v>
      </c>
      <c r="D62" s="368" t="s">
        <v>631</v>
      </c>
      <c r="E62" s="358">
        <f>'20'!G34</f>
        <v>15000</v>
      </c>
      <c r="F62" s="358">
        <f>'20'!H34</f>
        <v>15000</v>
      </c>
      <c r="G62" s="358">
        <f>'20'!I34</f>
        <v>10000</v>
      </c>
      <c r="H62" s="358">
        <f>'20'!J34</f>
        <v>15000</v>
      </c>
      <c r="I62" s="359">
        <f t="shared" si="1"/>
        <v>100</v>
      </c>
    </row>
    <row r="63" spans="2:9" s="1" customFormat="1" ht="15" customHeight="1">
      <c r="B63" s="17"/>
      <c r="C63" s="377">
        <v>614200</v>
      </c>
      <c r="D63" s="363" t="s">
        <v>632</v>
      </c>
      <c r="E63" s="358">
        <f>'31'!G28</f>
        <v>1100000</v>
      </c>
      <c r="F63" s="358">
        <f>'31'!H28</f>
        <v>1100000</v>
      </c>
      <c r="G63" s="358">
        <f>'31'!I28</f>
        <v>715166</v>
      </c>
      <c r="H63" s="358">
        <f>'31'!J28</f>
        <v>1100000</v>
      </c>
      <c r="I63" s="359">
        <f t="shared" si="1"/>
        <v>100</v>
      </c>
    </row>
    <row r="64" spans="2:9" s="1" customFormat="1" ht="15" customHeight="1">
      <c r="B64" s="17"/>
      <c r="C64" s="377" t="s">
        <v>106</v>
      </c>
      <c r="D64" s="357" t="s">
        <v>633</v>
      </c>
      <c r="E64" s="358">
        <f>'33'!G28</f>
        <v>30000</v>
      </c>
      <c r="F64" s="358">
        <f>'33'!H28</f>
        <v>30000</v>
      </c>
      <c r="G64" s="358">
        <f>'33'!I28</f>
        <v>3861</v>
      </c>
      <c r="H64" s="358">
        <f>'33'!J28</f>
        <v>30000</v>
      </c>
      <c r="I64" s="359">
        <f t="shared" si="1"/>
        <v>100</v>
      </c>
    </row>
    <row r="65" spans="2:9" s="71" customFormat="1" ht="15" customHeight="1">
      <c r="B65" s="384"/>
      <c r="C65" s="388" t="s">
        <v>107</v>
      </c>
      <c r="D65" s="369" t="s">
        <v>649</v>
      </c>
      <c r="E65" s="389">
        <f>SUM(E66:E76)</f>
        <v>795000</v>
      </c>
      <c r="F65" s="389">
        <f t="shared" ref="F65:H65" si="11">SUM(F66:F76)</f>
        <v>645000</v>
      </c>
      <c r="G65" s="389">
        <f t="shared" si="11"/>
        <v>510339</v>
      </c>
      <c r="H65" s="389">
        <f t="shared" si="11"/>
        <v>645000</v>
      </c>
      <c r="I65" s="154">
        <f t="shared" si="1"/>
        <v>100</v>
      </c>
    </row>
    <row r="66" spans="2:9" s="1" customFormat="1" ht="15" customHeight="1">
      <c r="B66" s="17"/>
      <c r="C66" s="377" t="s">
        <v>107</v>
      </c>
      <c r="D66" s="363" t="s">
        <v>634</v>
      </c>
      <c r="E66" s="358">
        <f>'3'!G44</f>
        <v>160000</v>
      </c>
      <c r="F66" s="358">
        <f>'3'!H44</f>
        <v>160000</v>
      </c>
      <c r="G66" s="358">
        <f>'3'!I44</f>
        <v>106667</v>
      </c>
      <c r="H66" s="358">
        <f>'3'!J44</f>
        <v>160000</v>
      </c>
      <c r="I66" s="359">
        <f t="shared" si="1"/>
        <v>100</v>
      </c>
    </row>
    <row r="67" spans="2:9" s="1" customFormat="1" ht="15" customHeight="1">
      <c r="B67" s="17"/>
      <c r="C67" s="377" t="s">
        <v>107</v>
      </c>
      <c r="D67" s="360" t="s">
        <v>635</v>
      </c>
      <c r="E67" s="358">
        <f>'3'!G37</f>
        <v>70000</v>
      </c>
      <c r="F67" s="358">
        <f>'3'!H37</f>
        <v>70000</v>
      </c>
      <c r="G67" s="358">
        <f>'3'!I37</f>
        <v>70000</v>
      </c>
      <c r="H67" s="358">
        <f>'3'!J37</f>
        <v>70000</v>
      </c>
      <c r="I67" s="359">
        <f t="shared" si="1"/>
        <v>100</v>
      </c>
    </row>
    <row r="68" spans="2:9" ht="15" customHeight="1">
      <c r="B68" s="14"/>
      <c r="C68" s="377" t="s">
        <v>107</v>
      </c>
      <c r="D68" s="360" t="s">
        <v>636</v>
      </c>
      <c r="E68" s="361">
        <f>'3'!G38</f>
        <v>35000</v>
      </c>
      <c r="F68" s="361">
        <f>'3'!H38</f>
        <v>35000</v>
      </c>
      <c r="G68" s="361">
        <f>'3'!I38</f>
        <v>23336</v>
      </c>
      <c r="H68" s="361">
        <f>'3'!J38</f>
        <v>35000</v>
      </c>
      <c r="I68" s="359">
        <f t="shared" si="1"/>
        <v>100</v>
      </c>
    </row>
    <row r="69" spans="2:9" s="1" customFormat="1" ht="15" customHeight="1">
      <c r="B69" s="17"/>
      <c r="C69" s="378" t="s">
        <v>107</v>
      </c>
      <c r="D69" s="360" t="s">
        <v>637</v>
      </c>
      <c r="E69" s="361">
        <f>'3'!G39</f>
        <v>40000</v>
      </c>
      <c r="F69" s="361">
        <f>'3'!H39</f>
        <v>40000</v>
      </c>
      <c r="G69" s="361">
        <f>'3'!I39</f>
        <v>26668</v>
      </c>
      <c r="H69" s="361">
        <f>'3'!J39</f>
        <v>40000</v>
      </c>
      <c r="I69" s="359">
        <f t="shared" si="1"/>
        <v>100</v>
      </c>
    </row>
    <row r="70" spans="2:9" s="1" customFormat="1" ht="25.5" customHeight="1">
      <c r="B70" s="28"/>
      <c r="C70" s="378" t="s">
        <v>107</v>
      </c>
      <c r="D70" s="367" t="s">
        <v>706</v>
      </c>
      <c r="E70" s="361">
        <f>'3'!G40</f>
        <v>40000</v>
      </c>
      <c r="F70" s="361">
        <f>'3'!H40</f>
        <v>40000</v>
      </c>
      <c r="G70" s="361">
        <f>'3'!I40</f>
        <v>26668</v>
      </c>
      <c r="H70" s="361">
        <f>'3'!J40</f>
        <v>40000</v>
      </c>
      <c r="I70" s="359">
        <f t="shared" si="1"/>
        <v>100</v>
      </c>
    </row>
    <row r="71" spans="2:9" s="1" customFormat="1" ht="26.25" customHeight="1">
      <c r="B71" s="28"/>
      <c r="C71" s="378" t="s">
        <v>107</v>
      </c>
      <c r="D71" s="367" t="s">
        <v>638</v>
      </c>
      <c r="E71" s="361">
        <f>'3'!G41</f>
        <v>15000</v>
      </c>
      <c r="F71" s="361">
        <f>'3'!H41</f>
        <v>15000</v>
      </c>
      <c r="G71" s="361">
        <f>'3'!I41</f>
        <v>10000</v>
      </c>
      <c r="H71" s="361">
        <f>'3'!J41</f>
        <v>15000</v>
      </c>
      <c r="I71" s="359">
        <f t="shared" si="1"/>
        <v>100</v>
      </c>
    </row>
    <row r="72" spans="2:9" s="1" customFormat="1" ht="15" customHeight="1">
      <c r="B72" s="28"/>
      <c r="C72" s="378" t="s">
        <v>107</v>
      </c>
      <c r="D72" s="360" t="s">
        <v>639</v>
      </c>
      <c r="E72" s="361">
        <f>'3'!G42</f>
        <v>30000</v>
      </c>
      <c r="F72" s="361">
        <f>'3'!H42</f>
        <v>30000</v>
      </c>
      <c r="G72" s="361">
        <f>'3'!I42</f>
        <v>20000</v>
      </c>
      <c r="H72" s="361">
        <f>'3'!J42</f>
        <v>30000</v>
      </c>
      <c r="I72" s="359">
        <f t="shared" si="1"/>
        <v>100</v>
      </c>
    </row>
    <row r="73" spans="2:9" s="1" customFormat="1" ht="15" customHeight="1">
      <c r="B73" s="28"/>
      <c r="C73" s="378" t="s">
        <v>107</v>
      </c>
      <c r="D73" s="360" t="s">
        <v>704</v>
      </c>
      <c r="E73" s="361">
        <f>'3'!G43</f>
        <v>15000</v>
      </c>
      <c r="F73" s="361">
        <f>'3'!H43</f>
        <v>15000</v>
      </c>
      <c r="G73" s="361">
        <f>'3'!I43</f>
        <v>10000</v>
      </c>
      <c r="H73" s="361">
        <f>'3'!J43</f>
        <v>15000</v>
      </c>
      <c r="I73" s="359">
        <f t="shared" ref="I73" si="12">IF(F73=0,"",H73/F73*100)</f>
        <v>100</v>
      </c>
    </row>
    <row r="74" spans="2:9" ht="15" customHeight="1" thickBot="1">
      <c r="B74" s="21"/>
      <c r="C74" s="378" t="s">
        <v>107</v>
      </c>
      <c r="D74" s="366" t="s">
        <v>640</v>
      </c>
      <c r="E74" s="361">
        <f>'20'!G35</f>
        <v>40000</v>
      </c>
      <c r="F74" s="361">
        <f>'20'!H35</f>
        <v>40000</v>
      </c>
      <c r="G74" s="361">
        <f>'20'!I35</f>
        <v>28500</v>
      </c>
      <c r="H74" s="361">
        <f>'20'!J35</f>
        <v>40000</v>
      </c>
      <c r="I74" s="359">
        <f t="shared" ref="I74:I106" si="13">IF(F74=0,"",H74/F74*100)</f>
        <v>100</v>
      </c>
    </row>
    <row r="75" spans="2:9" ht="15" customHeight="1">
      <c r="C75" s="378" t="s">
        <v>107</v>
      </c>
      <c r="D75" s="366" t="s">
        <v>641</v>
      </c>
      <c r="E75" s="361">
        <f>'20'!G36</f>
        <v>200000</v>
      </c>
      <c r="F75" s="361">
        <f>'20'!H36</f>
        <v>200000</v>
      </c>
      <c r="G75" s="361">
        <f>'20'!I36</f>
        <v>188500</v>
      </c>
      <c r="H75" s="361">
        <f>'20'!J36</f>
        <v>200000</v>
      </c>
      <c r="I75" s="359">
        <f t="shared" si="13"/>
        <v>100</v>
      </c>
    </row>
    <row r="76" spans="2:9" ht="15" customHeight="1">
      <c r="C76" s="378" t="s">
        <v>107</v>
      </c>
      <c r="D76" s="366" t="s">
        <v>672</v>
      </c>
      <c r="E76" s="361">
        <f>'33'!G29</f>
        <v>150000</v>
      </c>
      <c r="F76" s="361">
        <f>'33'!H29</f>
        <v>0</v>
      </c>
      <c r="G76" s="361">
        <f>'33'!I29</f>
        <v>0</v>
      </c>
      <c r="H76" s="361">
        <f>'33'!J29</f>
        <v>0</v>
      </c>
      <c r="I76" s="359" t="str">
        <f t="shared" si="13"/>
        <v/>
      </c>
    </row>
    <row r="77" spans="2:9" s="71" customFormat="1" ht="15" customHeight="1">
      <c r="C77" s="386" t="s">
        <v>212</v>
      </c>
      <c r="D77" s="370" t="s">
        <v>650</v>
      </c>
      <c r="E77" s="148">
        <f>SUM(E78:E81)</f>
        <v>3300000</v>
      </c>
      <c r="F77" s="148">
        <f t="shared" ref="F77:G77" si="14">SUM(F78:F81)</f>
        <v>3300000</v>
      </c>
      <c r="G77" s="148">
        <f t="shared" si="14"/>
        <v>1428373</v>
      </c>
      <c r="H77" s="148">
        <f>SUM(H78:H81)</f>
        <v>3300000</v>
      </c>
      <c r="I77" s="154">
        <f t="shared" si="13"/>
        <v>100</v>
      </c>
    </row>
    <row r="78" spans="2:9" ht="15" customHeight="1">
      <c r="C78" s="378" t="s">
        <v>212</v>
      </c>
      <c r="D78" s="366" t="s">
        <v>712</v>
      </c>
      <c r="E78" s="361">
        <f>'15'!G29</f>
        <v>1300000</v>
      </c>
      <c r="F78" s="361">
        <f>'15'!H29</f>
        <v>1300000</v>
      </c>
      <c r="G78" s="361">
        <f>'15'!I29</f>
        <v>133070</v>
      </c>
      <c r="H78" s="361">
        <f>'15'!J29</f>
        <v>1150000</v>
      </c>
      <c r="I78" s="359">
        <f t="shared" si="13"/>
        <v>88.461538461538453</v>
      </c>
    </row>
    <row r="79" spans="2:9" ht="15" customHeight="1">
      <c r="C79" s="377" t="s">
        <v>212</v>
      </c>
      <c r="D79" s="363" t="s">
        <v>642</v>
      </c>
      <c r="E79" s="358">
        <f>'19'!G29</f>
        <v>1100000</v>
      </c>
      <c r="F79" s="358">
        <f>'19'!H29</f>
        <v>1100000</v>
      </c>
      <c r="G79" s="358">
        <f>'19'!I29</f>
        <v>959868</v>
      </c>
      <c r="H79" s="358">
        <f>'19'!J29</f>
        <v>1250000</v>
      </c>
      <c r="I79" s="359">
        <f t="shared" si="13"/>
        <v>113.63636363636364</v>
      </c>
    </row>
    <row r="80" spans="2:9" ht="15" customHeight="1">
      <c r="C80" s="377" t="s">
        <v>212</v>
      </c>
      <c r="D80" s="363" t="s">
        <v>643</v>
      </c>
      <c r="E80" s="358">
        <f>'19'!G30</f>
        <v>500000</v>
      </c>
      <c r="F80" s="358">
        <f>'19'!H30</f>
        <v>500000</v>
      </c>
      <c r="G80" s="358">
        <f>'19'!I30</f>
        <v>263722</v>
      </c>
      <c r="H80" s="358">
        <f>'19'!J30</f>
        <v>500000</v>
      </c>
      <c r="I80" s="359">
        <f t="shared" si="13"/>
        <v>100</v>
      </c>
    </row>
    <row r="81" spans="3:9" ht="15" customHeight="1">
      <c r="C81" s="377" t="s">
        <v>212</v>
      </c>
      <c r="D81" s="363" t="s">
        <v>644</v>
      </c>
      <c r="E81" s="358">
        <f>'19'!G31</f>
        <v>400000</v>
      </c>
      <c r="F81" s="358">
        <f>'19'!H31</f>
        <v>400000</v>
      </c>
      <c r="G81" s="358">
        <f>'19'!I31</f>
        <v>71713</v>
      </c>
      <c r="H81" s="358">
        <f>'19'!J31</f>
        <v>400000</v>
      </c>
      <c r="I81" s="359">
        <f t="shared" si="13"/>
        <v>100</v>
      </c>
    </row>
    <row r="82" spans="3:9" s="71" customFormat="1" ht="15" customHeight="1">
      <c r="C82" s="388">
        <v>614800</v>
      </c>
      <c r="D82" s="369" t="s">
        <v>651</v>
      </c>
      <c r="E82" s="389">
        <f>SUM(E83:E84)</f>
        <v>111000</v>
      </c>
      <c r="F82" s="389">
        <f>SUM(F83:F84)</f>
        <v>111000</v>
      </c>
      <c r="G82" s="389">
        <f>SUM(G83:G84)</f>
        <v>94522</v>
      </c>
      <c r="H82" s="389">
        <f>SUM(H83:H84)</f>
        <v>152500</v>
      </c>
      <c r="I82" s="154">
        <f t="shared" si="13"/>
        <v>137.38738738738738</v>
      </c>
    </row>
    <row r="83" spans="3:9" ht="15" customHeight="1">
      <c r="C83" s="377">
        <v>614800</v>
      </c>
      <c r="D83" s="363" t="s">
        <v>645</v>
      </c>
      <c r="E83" s="358">
        <f>'16'!G33</f>
        <v>51000</v>
      </c>
      <c r="F83" s="358">
        <f>'16'!H33</f>
        <v>51000</v>
      </c>
      <c r="G83" s="358">
        <f>'16'!I33</f>
        <v>51000</v>
      </c>
      <c r="H83" s="358">
        <f>'16'!J33</f>
        <v>107500</v>
      </c>
      <c r="I83" s="359">
        <f t="shared" si="13"/>
        <v>210.78431372549019</v>
      </c>
    </row>
    <row r="84" spans="3:9" ht="27" customHeight="1">
      <c r="C84" s="377">
        <v>614800</v>
      </c>
      <c r="D84" s="368" t="s">
        <v>646</v>
      </c>
      <c r="E84" s="358">
        <f>'16'!G34</f>
        <v>60000</v>
      </c>
      <c r="F84" s="358">
        <f>'16'!H34</f>
        <v>60000</v>
      </c>
      <c r="G84" s="358">
        <f>'16'!I34</f>
        <v>43522</v>
      </c>
      <c r="H84" s="358">
        <f>'16'!J34</f>
        <v>45000</v>
      </c>
      <c r="I84" s="359">
        <f t="shared" si="13"/>
        <v>75</v>
      </c>
    </row>
    <row r="85" spans="3:9" ht="7.5" customHeight="1">
      <c r="C85" s="379"/>
      <c r="D85" s="12"/>
      <c r="E85" s="20"/>
      <c r="F85" s="20"/>
      <c r="G85" s="20"/>
      <c r="H85" s="20"/>
      <c r="I85" s="154" t="str">
        <f t="shared" si="13"/>
        <v/>
      </c>
    </row>
    <row r="86" spans="3:9" ht="15" customHeight="1">
      <c r="C86" s="380">
        <v>615000</v>
      </c>
      <c r="D86" s="32" t="s">
        <v>89</v>
      </c>
      <c r="E86" s="20">
        <f>SUM(E87:E88)</f>
        <v>700000</v>
      </c>
      <c r="F86" s="20">
        <f t="shared" ref="F86:G86" si="15">SUM(F87:F88)</f>
        <v>700000</v>
      </c>
      <c r="G86" s="20">
        <f t="shared" si="15"/>
        <v>0</v>
      </c>
      <c r="H86" s="20">
        <f>SUM(H87:H88)</f>
        <v>600000</v>
      </c>
      <c r="I86" s="418">
        <f t="shared" si="13"/>
        <v>85.714285714285708</v>
      </c>
    </row>
    <row r="87" spans="3:9" ht="15" customHeight="1">
      <c r="C87" s="381" t="s">
        <v>214</v>
      </c>
      <c r="D87" s="59" t="s">
        <v>89</v>
      </c>
      <c r="E87" s="40">
        <f>'3'!G47+'20'!G39</f>
        <v>700000</v>
      </c>
      <c r="F87" s="40">
        <f>'3'!H47+'20'!H39</f>
        <v>700000</v>
      </c>
      <c r="G87" s="40">
        <f>'3'!I47+'20'!I39</f>
        <v>0</v>
      </c>
      <c r="H87" s="40">
        <f>'3'!J47+'20'!J39</f>
        <v>600000</v>
      </c>
      <c r="I87" s="154">
        <f t="shared" si="13"/>
        <v>85.714285714285708</v>
      </c>
    </row>
    <row r="88" spans="3:9" ht="9.75" customHeight="1">
      <c r="C88" s="382"/>
      <c r="D88" s="29"/>
      <c r="E88" s="40"/>
      <c r="F88" s="40"/>
      <c r="G88" s="40"/>
      <c r="H88" s="40"/>
      <c r="I88" s="154" t="str">
        <f t="shared" si="13"/>
        <v/>
      </c>
    </row>
    <row r="89" spans="3:9" ht="15" customHeight="1">
      <c r="C89" s="383" t="s">
        <v>103</v>
      </c>
      <c r="D89" s="32" t="s">
        <v>209</v>
      </c>
      <c r="E89" s="20">
        <f>SUM(E90:E92)</f>
        <v>72000</v>
      </c>
      <c r="F89" s="20">
        <f t="shared" ref="F89:G89" si="16">SUM(F90:F92)</f>
        <v>72000</v>
      </c>
      <c r="G89" s="20">
        <f t="shared" si="16"/>
        <v>52630</v>
      </c>
      <c r="H89" s="20">
        <f>SUM(H90:H92)</f>
        <v>60860</v>
      </c>
      <c r="I89" s="418">
        <f t="shared" si="13"/>
        <v>84.527777777777786</v>
      </c>
    </row>
    <row r="90" spans="3:9" ht="15" customHeight="1">
      <c r="C90" s="373">
        <v>616300</v>
      </c>
      <c r="D90" s="59" t="s">
        <v>194</v>
      </c>
      <c r="E90" s="40">
        <f>'20'!G42</f>
        <v>6500</v>
      </c>
      <c r="F90" s="40">
        <f>'20'!H42</f>
        <v>6500</v>
      </c>
      <c r="G90" s="40">
        <f>'20'!I42</f>
        <v>5438</v>
      </c>
      <c r="H90" s="40">
        <f>'20'!J42</f>
        <v>5440</v>
      </c>
      <c r="I90" s="154">
        <f t="shared" si="13"/>
        <v>83.692307692307693</v>
      </c>
    </row>
    <row r="91" spans="3:9" ht="15" customHeight="1">
      <c r="C91" s="373">
        <v>616300</v>
      </c>
      <c r="D91" s="59" t="s">
        <v>216</v>
      </c>
      <c r="E91" s="40">
        <f>'16'!G37</f>
        <v>24000</v>
      </c>
      <c r="F91" s="40">
        <f>'16'!H37</f>
        <v>24000</v>
      </c>
      <c r="G91" s="40">
        <f>'16'!I37</f>
        <v>21708</v>
      </c>
      <c r="H91" s="40">
        <f>'16'!J37</f>
        <v>21710</v>
      </c>
      <c r="I91" s="154">
        <f t="shared" si="13"/>
        <v>90.458333333333329</v>
      </c>
    </row>
    <row r="92" spans="3:9" ht="15" customHeight="1">
      <c r="C92" s="373">
        <v>616300</v>
      </c>
      <c r="D92" s="59" t="s">
        <v>220</v>
      </c>
      <c r="E92" s="40">
        <f>'16'!G38</f>
        <v>41500</v>
      </c>
      <c r="F92" s="40">
        <f>'16'!H38</f>
        <v>41500</v>
      </c>
      <c r="G92" s="40">
        <f>'16'!I38</f>
        <v>25484</v>
      </c>
      <c r="H92" s="40">
        <f>'16'!J38</f>
        <v>33710</v>
      </c>
      <c r="I92" s="154">
        <f t="shared" si="13"/>
        <v>81.228915662650607</v>
      </c>
    </row>
    <row r="93" spans="3:9" ht="7.5" customHeight="1">
      <c r="C93" s="373"/>
      <c r="D93" s="59"/>
      <c r="E93" s="40"/>
      <c r="F93" s="40"/>
      <c r="G93" s="40"/>
      <c r="H93" s="40"/>
      <c r="I93" s="154" t="str">
        <f t="shared" si="13"/>
        <v/>
      </c>
    </row>
    <row r="94" spans="3:9" ht="15" customHeight="1">
      <c r="C94" s="371">
        <v>821000</v>
      </c>
      <c r="D94" s="12" t="s">
        <v>90</v>
      </c>
      <c r="E94" s="20">
        <f>SUM(E95:E98)</f>
        <v>1476200</v>
      </c>
      <c r="F94" s="20">
        <f t="shared" ref="F94:G94" si="17">SUM(F95:F98)</f>
        <v>1521762</v>
      </c>
      <c r="G94" s="20">
        <f t="shared" si="17"/>
        <v>221413</v>
      </c>
      <c r="H94" s="20">
        <f>SUM(H95:H98)</f>
        <v>1650930</v>
      </c>
      <c r="I94" s="418">
        <f t="shared" si="13"/>
        <v>108.48805529379759</v>
      </c>
    </row>
    <row r="95" spans="3:9" ht="15" customHeight="1">
      <c r="C95" s="375">
        <v>821200</v>
      </c>
      <c r="D95" s="19" t="s">
        <v>91</v>
      </c>
      <c r="E95" s="105">
        <f>'1'!G28+'3'!G50+'4'!G31+'5'!G28+'6'!G28+'7'!G28+'8'!G28+'9'!G28+'10'!G28+'11'!G29+'12'!G28+'13'!G28+'14'!G28+'15'!G32+'16'!G41+'17'!G32+'18'!G33+'19'!G34+'20'!G45+'21'!G28+'22'!G28+'23'!G29+'24'!G28+'25'!G28+'26'!G28+'27'!G28+'28'!G28+'29'!G28+'30'!G28+'31'!G31+'32'!G28+'33'!G32+'34'!G28+'35'!G28+'36'!G28+'37'!G28</f>
        <v>129500</v>
      </c>
      <c r="F95" s="714">
        <f>'1'!H28+'3'!H50+'4'!H31+'5'!H28+'6'!H28+'7'!H28+'8'!H28+'9'!H28+'10'!H28+'11'!H29+'12'!H28+'13'!H28+'14'!H28+'15'!H32+'16'!H41+'17'!H32+'18'!H33+'19'!H34+'20'!H45+'21'!H28+'22'!H28+'23'!H29+'24'!H28+'25'!H28+'26'!H28+'27'!H28+'28'!H28+'29'!H28+'30'!H28+'31'!H31+'32'!H28+'33'!H32+'34'!H28+'35'!H28+'36'!H28+'37'!H28</f>
        <v>149382</v>
      </c>
      <c r="G95" s="714">
        <f>'1'!I28+'3'!I50+'4'!I31+'5'!I28+'6'!I28+'7'!I28+'8'!I28+'9'!I28+'10'!I28+'11'!I29+'12'!I28+'13'!I28+'14'!I28+'15'!I32+'16'!I41+'17'!I32+'18'!I33+'19'!I34+'20'!I45+'21'!I28+'22'!I28+'23'!I29+'24'!I28+'25'!I28+'26'!I28+'27'!I28+'28'!I28+'29'!I28+'30'!I28+'31'!I31+'32'!I28+'33'!I32+'34'!I28+'35'!I28+'36'!I28+'37'!I28</f>
        <v>78906</v>
      </c>
      <c r="H95" s="714">
        <f>'1'!J28+'3'!J50+'4'!J31+'5'!J28+'6'!J28+'7'!J28+'8'!J28+'9'!J28+'10'!J28+'11'!J29+'12'!J28+'13'!J28+'14'!J28+'15'!J32+'16'!J41+'17'!J32+'18'!J33+'19'!J34+'20'!J45+'21'!J28+'22'!J28+'23'!J29+'24'!J28+'25'!J28+'26'!J28+'27'!J28+'28'!J28+'29'!J28+'30'!J28+'31'!J31+'32'!J28+'33'!J32+'34'!J28+'35'!J28+'36'!J28+'37'!J28</f>
        <v>164070</v>
      </c>
      <c r="I95" s="154">
        <f t="shared" si="13"/>
        <v>109.83250994095674</v>
      </c>
    </row>
    <row r="96" spans="3:9" ht="15" customHeight="1">
      <c r="C96" s="375">
        <v>821300</v>
      </c>
      <c r="D96" s="19" t="s">
        <v>92</v>
      </c>
      <c r="E96" s="105">
        <f>'1'!G29+'3'!G51+'4'!G32+'5'!G29+'6'!G29+'7'!G29+'8'!G29+'9'!G29+'10'!G29+'11'!G30+'12'!G29+'13'!G29+'14'!G29+'15'!G33+'16'!G42+'17'!G33+'18'!G34+'19'!G35+'20'!G46+'21'!G29+'22'!G29+'23'!G30+'24'!G29+'25'!G29+'26'!G29+'27'!G29+'28'!G29+'29'!G29+'30'!G29+'31'!G32+'32'!G29+'33'!G33+'34'!G29+'35'!G29+'36'!G29+'37'!G29</f>
        <v>254700</v>
      </c>
      <c r="F96" s="714">
        <f>'1'!H29+'3'!H51+'4'!H32+'5'!H29+'6'!H29+'7'!H29+'8'!H29+'9'!H29+'10'!H29+'11'!H30+'12'!H29+'13'!H29+'14'!H29+'15'!H33+'16'!H42+'17'!H33+'18'!H34+'19'!H35+'20'!H46+'21'!H29+'22'!H29+'23'!H30+'24'!H29+'25'!H29+'26'!H29+'27'!H29+'28'!H29+'29'!H29+'30'!H29+'31'!H32+'32'!H29+'33'!H33+'34'!H29+'35'!H29+'36'!H29+'37'!H29</f>
        <v>280380</v>
      </c>
      <c r="G96" s="714">
        <f>'1'!I29+'3'!I51+'4'!I32+'5'!I29+'6'!I29+'7'!I29+'8'!I29+'9'!I29+'10'!I29+'11'!I30+'12'!I29+'13'!I29+'14'!I29+'15'!I33+'16'!I42+'17'!I33+'18'!I34+'19'!I35+'20'!I46+'21'!I29+'22'!I29+'23'!I30+'24'!I29+'25'!I29+'26'!I29+'27'!I29+'28'!I29+'29'!I29+'30'!I29+'31'!I32+'32'!I29+'33'!I33+'34'!I29+'35'!I29+'36'!I29+'37'!I29</f>
        <v>122124</v>
      </c>
      <c r="H96" s="714">
        <f>'1'!J29+'3'!J51+'4'!J32+'5'!J29+'6'!J29+'7'!J29+'8'!J29+'9'!J29+'10'!J29+'11'!J30+'12'!J29+'13'!J29+'14'!J29+'15'!J33+'16'!J42+'17'!J33+'18'!J34+'19'!J35+'20'!J46+'21'!J29+'22'!J29+'23'!J30+'24'!J29+'25'!J29+'26'!J29+'27'!J29+'28'!J29+'29'!J29+'30'!J29+'31'!J32+'32'!J29+'33'!J33+'34'!J29+'35'!J29+'36'!J29+'37'!J29</f>
        <v>244860</v>
      </c>
      <c r="I96" s="154">
        <f t="shared" si="13"/>
        <v>87.331478707468435</v>
      </c>
    </row>
    <row r="97" spans="3:11" ht="15" customHeight="1">
      <c r="C97" s="375">
        <v>821500</v>
      </c>
      <c r="D97" s="278" t="s">
        <v>560</v>
      </c>
      <c r="E97" s="105">
        <f>'3'!G52</f>
        <v>200000</v>
      </c>
      <c r="F97" s="105">
        <f>'3'!H52</f>
        <v>135000</v>
      </c>
      <c r="G97" s="105">
        <f>'3'!I52</f>
        <v>0</v>
      </c>
      <c r="H97" s="105">
        <f>'3'!J52</f>
        <v>135000</v>
      </c>
      <c r="I97" s="154">
        <f t="shared" si="13"/>
        <v>100</v>
      </c>
    </row>
    <row r="98" spans="3:11" ht="15" customHeight="1">
      <c r="C98" s="375">
        <v>821600</v>
      </c>
      <c r="D98" s="98" t="s">
        <v>104</v>
      </c>
      <c r="E98" s="105">
        <f>'18'!G35</f>
        <v>892000</v>
      </c>
      <c r="F98" s="105">
        <f>'18'!H35</f>
        <v>957000</v>
      </c>
      <c r="G98" s="105">
        <f>'18'!I35</f>
        <v>20383</v>
      </c>
      <c r="H98" s="105">
        <f>'18'!J35</f>
        <v>1107000</v>
      </c>
      <c r="I98" s="154">
        <f t="shared" si="13"/>
        <v>115.67398119122257</v>
      </c>
    </row>
    <row r="99" spans="3:11" ht="11.25" customHeight="1">
      <c r="C99" s="373"/>
      <c r="D99" s="15"/>
      <c r="E99" s="39"/>
      <c r="F99" s="39"/>
      <c r="G99" s="39"/>
      <c r="H99" s="39"/>
      <c r="I99" s="154" t="str">
        <f t="shared" si="13"/>
        <v/>
      </c>
    </row>
    <row r="100" spans="3:11" ht="15" customHeight="1">
      <c r="C100" s="371">
        <v>823000</v>
      </c>
      <c r="D100" s="12" t="s">
        <v>210</v>
      </c>
      <c r="E100" s="20">
        <f>SUM(E101:E103)</f>
        <v>600500</v>
      </c>
      <c r="F100" s="20">
        <f t="shared" ref="F100:H100" si="18">SUM(F101:F103)</f>
        <v>600500</v>
      </c>
      <c r="G100" s="20">
        <f t="shared" si="18"/>
        <v>585846</v>
      </c>
      <c r="H100" s="20">
        <f t="shared" si="18"/>
        <v>585870</v>
      </c>
      <c r="I100" s="418">
        <f t="shared" si="13"/>
        <v>97.563696919233962</v>
      </c>
    </row>
    <row r="101" spans="3:11" ht="15" customHeight="1">
      <c r="C101" s="373">
        <v>823300</v>
      </c>
      <c r="D101" s="26" t="s">
        <v>219</v>
      </c>
      <c r="E101" s="39">
        <f>'20'!G49</f>
        <v>75000</v>
      </c>
      <c r="F101" s="39">
        <f>'20'!H49</f>
        <v>75000</v>
      </c>
      <c r="G101" s="39">
        <f>'20'!I49</f>
        <v>69152</v>
      </c>
      <c r="H101" s="39">
        <f>'20'!J49</f>
        <v>69160</v>
      </c>
      <c r="I101" s="154">
        <f t="shared" si="13"/>
        <v>92.213333333333338</v>
      </c>
    </row>
    <row r="102" spans="3:11" ht="15" customHeight="1">
      <c r="C102" s="373">
        <v>823300</v>
      </c>
      <c r="D102" s="26" t="s">
        <v>663</v>
      </c>
      <c r="E102" s="40">
        <f>'16'!G45</f>
        <v>95000</v>
      </c>
      <c r="F102" s="40">
        <f>'16'!H45</f>
        <v>95000</v>
      </c>
      <c r="G102" s="40">
        <f>'16'!I45</f>
        <v>86411</v>
      </c>
      <c r="H102" s="40">
        <f>'16'!J45</f>
        <v>86420</v>
      </c>
      <c r="I102" s="154">
        <f t="shared" si="13"/>
        <v>90.96842105263157</v>
      </c>
    </row>
    <row r="103" spans="3:11" ht="15" customHeight="1">
      <c r="C103" s="373">
        <v>823300</v>
      </c>
      <c r="D103" s="26" t="s">
        <v>662</v>
      </c>
      <c r="E103" s="40">
        <f>'16'!G46</f>
        <v>430500</v>
      </c>
      <c r="F103" s="40">
        <f>'16'!H46</f>
        <v>430500</v>
      </c>
      <c r="G103" s="40">
        <f>'16'!I46</f>
        <v>430283</v>
      </c>
      <c r="H103" s="40">
        <f>'16'!J46</f>
        <v>430290</v>
      </c>
      <c r="I103" s="154">
        <f t="shared" si="13"/>
        <v>99.951219512195124</v>
      </c>
    </row>
    <row r="104" spans="3:11" ht="9.75" customHeight="1">
      <c r="C104" s="35"/>
      <c r="D104" s="15"/>
      <c r="E104" s="39"/>
      <c r="F104" s="39"/>
      <c r="G104" s="39"/>
      <c r="H104" s="39"/>
      <c r="I104" s="154" t="str">
        <f t="shared" si="13"/>
        <v/>
      </c>
    </row>
    <row r="105" spans="3:11" ht="15" customHeight="1">
      <c r="C105" s="8"/>
      <c r="D105" s="12" t="s">
        <v>93</v>
      </c>
      <c r="E105" s="715" t="s">
        <v>710</v>
      </c>
      <c r="F105" s="715" t="s">
        <v>710</v>
      </c>
      <c r="G105" s="118" t="s">
        <v>670</v>
      </c>
      <c r="H105" s="715" t="s">
        <v>803</v>
      </c>
      <c r="I105" s="154"/>
      <c r="K105" s="80"/>
    </row>
    <row r="106" spans="3:11" ht="15" customHeight="1">
      <c r="C106" s="8"/>
      <c r="D106" s="12" t="s">
        <v>113</v>
      </c>
      <c r="E106" s="20">
        <f>'1'!G32+'3'!G55+'4'!G35+'5'!G32+'6'!G32+'7'!G32+'8'!G32+'9'!G32+'10'!G32+'11'!G33+'12'!G32+'13'!G32+'14'!G32+'15'!G36+'16'!G49+'17'!G36+'18'!G38+'19'!G38+'20'!G52+'21'!G32+'22'!G32+'23'!G33+'24'!G32+'25'!G32+'26'!G32+'27'!G32+'28'!G32+'29'!G32+'30'!G32+'31'!G35+'32'!G32+'33'!G36+'34'!G32+'35'!G32+'36'!G32+'37'!G32</f>
        <v>42441870</v>
      </c>
      <c r="F106" s="710">
        <f>'1'!H32+'3'!H55+'4'!H35+'5'!H32+'6'!H32+'7'!H32+'8'!H32+'9'!H32+'10'!H32+'11'!H33+'12'!H32+'13'!H32+'14'!H32+'15'!H36+'16'!H49+'17'!H36+'18'!H38+'19'!H38+'20'!H52+'21'!H32+'22'!H32+'23'!H33+'24'!H32+'25'!H32+'26'!H32+'27'!H32+'28'!H32+'29'!H32+'30'!H32+'31'!H35+'32'!H32+'33'!H36+'34'!H32+'35'!H32+'36'!H32+'37'!H32</f>
        <v>42502232</v>
      </c>
      <c r="G106" s="710">
        <f>'1'!I32+'3'!I55+'4'!I35+'5'!I32+'6'!I32+'7'!I32+'8'!I32+'9'!I32+'10'!I32+'11'!I33+'12'!I32+'13'!I32+'14'!I32+'15'!I36+'16'!I49+'17'!I36+'18'!I38+'19'!I38+'20'!I52+'21'!I32+'22'!I32+'23'!I33+'24'!I32+'25'!I32+'26'!I32+'27'!I32+'28'!I32+'29'!I32+'30'!I32+'31'!I35+'32'!I32+'33'!I36+'34'!I32+'35'!I32+'36'!I32+'37'!I32</f>
        <v>27669338</v>
      </c>
      <c r="H106" s="710">
        <f>'1'!J32+'3'!J55+'4'!J35+'5'!J32+'6'!J32+'7'!J32+'8'!J32+'9'!J32+'10'!J32+'11'!J33+'12'!J32+'13'!J32+'14'!J32+'15'!J36+'16'!J49+'17'!J36+'18'!J38+'19'!J38+'20'!J52+'21'!J32+'22'!J32+'23'!J33+'24'!J32+'25'!J32+'26'!J32+'27'!J32+'28'!J32+'29'!J32+'30'!J32+'31'!J35+'32'!J32+'33'!J36+'34'!J32+'35'!J32+'36'!J32+'37'!J32</f>
        <v>42094170</v>
      </c>
      <c r="I106" s="418">
        <f t="shared" si="13"/>
        <v>99.039904539601594</v>
      </c>
      <c r="K106" s="80"/>
    </row>
    <row r="107" spans="3:11" ht="8.25" customHeight="1" thickBot="1">
      <c r="C107" s="36"/>
      <c r="D107" s="22"/>
      <c r="E107" s="34"/>
      <c r="F107" s="34"/>
      <c r="G107" s="34"/>
      <c r="H107" s="22"/>
      <c r="I107" s="138"/>
    </row>
    <row r="108" spans="3:11" ht="6" customHeight="1" thickBot="1">
      <c r="C108" s="69"/>
      <c r="D108" s="70"/>
      <c r="E108" s="70"/>
      <c r="F108" s="70"/>
      <c r="G108" s="70"/>
      <c r="H108" s="70"/>
      <c r="I108" s="126"/>
    </row>
    <row r="109" spans="3:11" ht="7.5" customHeight="1"/>
    <row r="110" spans="3:11" ht="3.75" customHeight="1">
      <c r="C110" s="42"/>
    </row>
    <row r="111" spans="3:11" s="728" customFormat="1" ht="12" customHeight="1">
      <c r="C111" s="94" t="s">
        <v>222</v>
      </c>
      <c r="G111" s="729"/>
    </row>
    <row r="112" spans="3:11" s="728" customFormat="1" ht="6.75" customHeight="1">
      <c r="C112" s="730"/>
      <c r="G112" s="729"/>
    </row>
    <row r="113" spans="3:7" s="728" customFormat="1" ht="12" customHeight="1">
      <c r="C113" s="782" t="s">
        <v>223</v>
      </c>
      <c r="D113" s="782"/>
      <c r="E113" s="726"/>
      <c r="F113" s="726"/>
      <c r="G113" s="127"/>
    </row>
    <row r="114" spans="3:7" s="728" customFormat="1" ht="6" customHeight="1">
      <c r="C114" s="730"/>
      <c r="G114" s="729"/>
    </row>
    <row r="115" spans="3:7" s="728" customFormat="1" ht="13.5" customHeight="1">
      <c r="C115" s="783" t="s">
        <v>788</v>
      </c>
      <c r="D115" s="769"/>
      <c r="E115" s="769"/>
      <c r="F115" s="769"/>
      <c r="G115" s="769"/>
    </row>
    <row r="116" spans="3:7" s="728" customFormat="1" ht="27.75" customHeight="1">
      <c r="C116" s="778" t="str">
        <f>CONCATENATE("     Rashodi i izdaci u Proračunu u iznosu od ",TEXT(H106,"#.##0")," KM raspoređuju se po korisnicima proračuna u Posebnom dijelu Proračuna kako slijedi:")</f>
        <v xml:space="preserve">     Rashodi i izdaci u Proračunu u iznosu od 42.094.170 KM raspoređuju se po korisnicima proračuna u Posebnom dijelu Proračuna kako slijedi:</v>
      </c>
      <c r="D116" s="778"/>
      <c r="E116" s="778"/>
      <c r="F116" s="778"/>
      <c r="G116" s="778"/>
    </row>
  </sheetData>
  <mergeCells count="5">
    <mergeCell ref="C116:G116"/>
    <mergeCell ref="H3:I3"/>
    <mergeCell ref="C3:D3"/>
    <mergeCell ref="C113:D113"/>
    <mergeCell ref="C115:G115"/>
  </mergeCells>
  <phoneticPr fontId="2" type="noConversion"/>
  <pageMargins left="0.39370078740157483" right="0.15748031496062992" top="0.39370078740157483" bottom="0.48" header="0.39370078740157483" footer="0.39370078740157483"/>
  <pageSetup paperSize="9" scale="80" firstPageNumber="7" orientation="portrait" useFirstPageNumber="1" r:id="rId1"/>
  <headerFooter alignWithMargins="0">
    <oddFooter>&amp;R&amp;P</oddFooter>
  </headerFooter>
  <rowBreaks count="1" manualBreakCount="1">
    <brk id="62" min="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N59"/>
  <sheetViews>
    <sheetView zoomScaleNormal="100" workbookViewId="0">
      <selection activeCell="R24" sqref="R2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784" t="s">
        <v>116</v>
      </c>
      <c r="C2" s="784"/>
      <c r="D2" s="784"/>
      <c r="E2" s="784"/>
      <c r="F2" s="784"/>
      <c r="G2" s="784"/>
      <c r="H2" s="784"/>
      <c r="I2" s="784"/>
      <c r="J2" s="784"/>
      <c r="K2" s="784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6" t="s">
        <v>654</v>
      </c>
      <c r="F4" s="7" t="s">
        <v>80</v>
      </c>
      <c r="G4" s="60" t="s">
        <v>653</v>
      </c>
      <c r="H4" s="414" t="s">
        <v>731</v>
      </c>
      <c r="I4" s="60" t="s">
        <v>715</v>
      </c>
      <c r="J4" s="60" t="s">
        <v>789</v>
      </c>
      <c r="K4" s="131" t="s">
        <v>674</v>
      </c>
    </row>
    <row r="5" spans="2:13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7.100000000000001" customHeight="1">
      <c r="B6" s="10">
        <v>10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3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SUM(G8:G10)</f>
        <v>449460</v>
      </c>
      <c r="H7" s="337">
        <f>SUM(H8:H10)</f>
        <v>449460</v>
      </c>
      <c r="I7" s="429">
        <v>330443</v>
      </c>
      <c r="J7" s="337">
        <f>SUM(J8:J10)</f>
        <v>440230</v>
      </c>
      <c r="K7" s="134">
        <f>IF(H7=0,"",J7/H7*100)</f>
        <v>97.946424598406978</v>
      </c>
      <c r="M7" s="79"/>
    </row>
    <row r="8" spans="2:13" ht="17.100000000000001" customHeight="1">
      <c r="B8" s="14"/>
      <c r="C8" s="15"/>
      <c r="D8" s="15"/>
      <c r="E8" s="16">
        <v>611100</v>
      </c>
      <c r="F8" s="26" t="s">
        <v>204</v>
      </c>
      <c r="G8" s="336">
        <f>357700+2000+10730</f>
        <v>370430</v>
      </c>
      <c r="H8" s="336">
        <f>357700+2000+10730</f>
        <v>370430</v>
      </c>
      <c r="I8" s="428">
        <v>272449</v>
      </c>
      <c r="J8" s="336">
        <f>366000-4500-1500</f>
        <v>360000</v>
      </c>
      <c r="K8" s="135">
        <f>IF(H8=0,"",J8/H8*100)</f>
        <v>97.18435331911563</v>
      </c>
      <c r="L8" s="71"/>
      <c r="M8" s="79"/>
    </row>
    <row r="9" spans="2:13" ht="17.100000000000001" customHeight="1">
      <c r="B9" s="14"/>
      <c r="C9" s="15"/>
      <c r="D9" s="15"/>
      <c r="E9" s="16">
        <v>611200</v>
      </c>
      <c r="F9" s="26" t="s">
        <v>205</v>
      </c>
      <c r="G9" s="336">
        <f>77030+2000</f>
        <v>79030</v>
      </c>
      <c r="H9" s="336">
        <f>77030+2000</f>
        <v>79030</v>
      </c>
      <c r="I9" s="428">
        <v>57994</v>
      </c>
      <c r="J9" s="336">
        <f>77100-630+15*270-210-80</f>
        <v>80230</v>
      </c>
      <c r="K9" s="135">
        <f t="shared" ref="K9:K34" si="0">IF(H9=0,"",J9/H9*100)</f>
        <v>101.51841073010249</v>
      </c>
      <c r="M9" s="79"/>
    </row>
    <row r="10" spans="2:13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28">
        <v>0</v>
      </c>
      <c r="J10" s="336">
        <v>0</v>
      </c>
      <c r="K10" s="135" t="str">
        <f t="shared" si="0"/>
        <v/>
      </c>
      <c r="M10" s="79"/>
    </row>
    <row r="11" spans="2:13" ht="17.100000000000001" customHeight="1">
      <c r="B11" s="14"/>
      <c r="C11" s="15"/>
      <c r="D11" s="15"/>
      <c r="E11" s="16"/>
      <c r="F11" s="311"/>
      <c r="G11" s="336"/>
      <c r="H11" s="336"/>
      <c r="I11" s="428"/>
      <c r="J11" s="336"/>
      <c r="K11" s="135" t="str">
        <f t="shared" si="0"/>
        <v/>
      </c>
      <c r="M11" s="79"/>
    </row>
    <row r="12" spans="2:13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G13+G14</f>
        <v>39650</v>
      </c>
      <c r="H12" s="337">
        <f>H13+H14</f>
        <v>39650</v>
      </c>
      <c r="I12" s="429">
        <v>28968</v>
      </c>
      <c r="J12" s="337">
        <f>J13+J14</f>
        <v>38250</v>
      </c>
      <c r="K12" s="177">
        <f t="shared" si="0"/>
        <v>96.469104665825981</v>
      </c>
      <c r="M12" s="79"/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336">
        <f>38200+300+1150</f>
        <v>39650</v>
      </c>
      <c r="H13" s="336">
        <f>38200+300+1150</f>
        <v>39650</v>
      </c>
      <c r="I13" s="428">
        <v>28968</v>
      </c>
      <c r="J13" s="336">
        <f>38910-500-160</f>
        <v>38250</v>
      </c>
      <c r="K13" s="135">
        <f t="shared" si="0"/>
        <v>96.469104665825981</v>
      </c>
      <c r="M13" s="79"/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424"/>
      <c r="J14" s="39"/>
      <c r="K14" s="135" t="str">
        <f t="shared" si="0"/>
        <v/>
      </c>
      <c r="M14" s="79"/>
    </row>
    <row r="15" spans="2:13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278400</v>
      </c>
      <c r="H15" s="43">
        <f>SUM(H16:H25)</f>
        <v>278400</v>
      </c>
      <c r="I15" s="425">
        <v>206784</v>
      </c>
      <c r="J15" s="43">
        <f>SUM(J16:J25)</f>
        <v>278400</v>
      </c>
      <c r="K15" s="177">
        <f t="shared" si="0"/>
        <v>100</v>
      </c>
      <c r="M15" s="79"/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39">
        <v>6500</v>
      </c>
      <c r="H16" s="39">
        <v>6500</v>
      </c>
      <c r="I16" s="424">
        <v>4158</v>
      </c>
      <c r="J16" s="39">
        <v>6500</v>
      </c>
      <c r="K16" s="135">
        <f t="shared" si="0"/>
        <v>100</v>
      </c>
      <c r="M16" s="79"/>
    </row>
    <row r="17" spans="2:14" ht="17.100000000000001" customHeight="1">
      <c r="B17" s="14"/>
      <c r="C17" s="15"/>
      <c r="D17" s="15"/>
      <c r="E17" s="16">
        <v>613200</v>
      </c>
      <c r="F17" s="15" t="s">
        <v>85</v>
      </c>
      <c r="G17" s="39">
        <v>13600</v>
      </c>
      <c r="H17" s="39">
        <v>13600</v>
      </c>
      <c r="I17" s="424">
        <v>3989</v>
      </c>
      <c r="J17" s="39">
        <v>11800</v>
      </c>
      <c r="K17" s="135">
        <f t="shared" si="0"/>
        <v>86.764705882352942</v>
      </c>
      <c r="M17" s="79"/>
    </row>
    <row r="18" spans="2:14" ht="17.100000000000001" customHeight="1">
      <c r="B18" s="14"/>
      <c r="C18" s="15"/>
      <c r="D18" s="15"/>
      <c r="E18" s="16">
        <v>613300</v>
      </c>
      <c r="F18" s="26" t="s">
        <v>206</v>
      </c>
      <c r="G18" s="39">
        <v>7300</v>
      </c>
      <c r="H18" s="39">
        <v>7300</v>
      </c>
      <c r="I18" s="424">
        <v>6052</v>
      </c>
      <c r="J18" s="39">
        <v>8600</v>
      </c>
      <c r="K18" s="135">
        <f t="shared" si="0"/>
        <v>117.8082191780822</v>
      </c>
      <c r="M18" s="79"/>
    </row>
    <row r="19" spans="2:14" ht="17.100000000000001" customHeight="1">
      <c r="B19" s="14"/>
      <c r="C19" s="15"/>
      <c r="D19" s="15"/>
      <c r="E19" s="16">
        <v>613400</v>
      </c>
      <c r="F19" s="26" t="s">
        <v>165</v>
      </c>
      <c r="G19" s="72">
        <v>5500</v>
      </c>
      <c r="H19" s="72">
        <v>5500</v>
      </c>
      <c r="I19" s="426">
        <v>2952</v>
      </c>
      <c r="J19" s="72">
        <v>5500</v>
      </c>
      <c r="K19" s="135">
        <f t="shared" si="0"/>
        <v>100</v>
      </c>
      <c r="M19" s="79"/>
    </row>
    <row r="20" spans="2:14" ht="17.100000000000001" customHeight="1">
      <c r="B20" s="14"/>
      <c r="C20" s="15"/>
      <c r="D20" s="15"/>
      <c r="E20" s="16">
        <v>613500</v>
      </c>
      <c r="F20" s="15" t="s">
        <v>86</v>
      </c>
      <c r="G20" s="72">
        <v>10000</v>
      </c>
      <c r="H20" s="72">
        <v>12680</v>
      </c>
      <c r="I20" s="426">
        <v>9227</v>
      </c>
      <c r="J20" s="72">
        <v>12680</v>
      </c>
      <c r="K20" s="135">
        <f t="shared" si="0"/>
        <v>100</v>
      </c>
      <c r="M20" s="79"/>
    </row>
    <row r="21" spans="2:14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24">
        <v>0</v>
      </c>
      <c r="J21" s="39">
        <v>0</v>
      </c>
      <c r="K21" s="135" t="str">
        <f t="shared" si="0"/>
        <v/>
      </c>
      <c r="M21" s="79"/>
    </row>
    <row r="22" spans="2:14" ht="17.100000000000001" customHeight="1">
      <c r="B22" s="14"/>
      <c r="C22" s="15"/>
      <c r="D22" s="15"/>
      <c r="E22" s="16">
        <v>613700</v>
      </c>
      <c r="F22" s="15" t="s">
        <v>87</v>
      </c>
      <c r="G22" s="39">
        <v>8000</v>
      </c>
      <c r="H22" s="39">
        <v>6000</v>
      </c>
      <c r="I22" s="424">
        <v>3842</v>
      </c>
      <c r="J22" s="39">
        <v>6000</v>
      </c>
      <c r="K22" s="135">
        <f t="shared" si="0"/>
        <v>100</v>
      </c>
      <c r="M22" s="79"/>
    </row>
    <row r="23" spans="2:14" ht="17.100000000000001" customHeight="1">
      <c r="B23" s="14"/>
      <c r="C23" s="15"/>
      <c r="D23" s="15"/>
      <c r="E23" s="16">
        <v>613800</v>
      </c>
      <c r="F23" s="26" t="s">
        <v>166</v>
      </c>
      <c r="G23" s="39">
        <v>2500</v>
      </c>
      <c r="H23" s="39">
        <v>2320</v>
      </c>
      <c r="I23" s="424">
        <v>2315</v>
      </c>
      <c r="J23" s="39">
        <v>2320</v>
      </c>
      <c r="K23" s="135">
        <f t="shared" si="0"/>
        <v>100</v>
      </c>
      <c r="M23" s="79"/>
    </row>
    <row r="24" spans="2:14" ht="17.100000000000001" customHeight="1">
      <c r="B24" s="14"/>
      <c r="C24" s="15"/>
      <c r="D24" s="15"/>
      <c r="E24" s="16">
        <v>613900</v>
      </c>
      <c r="F24" s="26" t="s">
        <v>167</v>
      </c>
      <c r="G24" s="72">
        <v>225000</v>
      </c>
      <c r="H24" s="72">
        <v>224500</v>
      </c>
      <c r="I24" s="426">
        <v>174249</v>
      </c>
      <c r="J24" s="72">
        <v>225000</v>
      </c>
      <c r="K24" s="135">
        <f t="shared" si="0"/>
        <v>100.22271714922049</v>
      </c>
      <c r="L24" s="95"/>
      <c r="M24" s="79"/>
    </row>
    <row r="25" spans="2:14" ht="17.100000000000001" customHeight="1">
      <c r="B25" s="14"/>
      <c r="C25" s="15"/>
      <c r="D25" s="15"/>
      <c r="E25" s="16">
        <v>613900</v>
      </c>
      <c r="F25" s="311" t="s">
        <v>587</v>
      </c>
      <c r="G25" s="39">
        <v>0</v>
      </c>
      <c r="H25" s="39">
        <v>0</v>
      </c>
      <c r="I25" s="424">
        <v>0</v>
      </c>
      <c r="J25" s="39">
        <v>0</v>
      </c>
      <c r="K25" s="135" t="str">
        <f t="shared" si="0"/>
        <v/>
      </c>
      <c r="M25" s="79"/>
      <c r="N25" s="71"/>
    </row>
    <row r="26" spans="2:14" ht="17.100000000000001" customHeight="1">
      <c r="B26" s="14"/>
      <c r="C26" s="15"/>
      <c r="D26" s="15"/>
      <c r="E26" s="16"/>
      <c r="F26" s="15"/>
      <c r="G26" s="39"/>
      <c r="H26" s="39"/>
      <c r="I26" s="424"/>
      <c r="J26" s="39"/>
      <c r="K26" s="135" t="str">
        <f t="shared" si="0"/>
        <v/>
      </c>
      <c r="M26" s="79"/>
    </row>
    <row r="27" spans="2:14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10000</v>
      </c>
      <c r="H27" s="20">
        <f>SUM(H28:H29)</f>
        <v>10000</v>
      </c>
      <c r="I27" s="423">
        <v>2490</v>
      </c>
      <c r="J27" s="20">
        <f>SUM(J28:J29)</f>
        <v>10000</v>
      </c>
      <c r="K27" s="177">
        <f t="shared" si="0"/>
        <v>100</v>
      </c>
      <c r="M27" s="79"/>
    </row>
    <row r="28" spans="2:14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72">
        <v>5000</v>
      </c>
      <c r="H28" s="72">
        <v>5000</v>
      </c>
      <c r="I28" s="426">
        <v>0</v>
      </c>
      <c r="J28" s="72">
        <v>5000</v>
      </c>
      <c r="K28" s="135">
        <f t="shared" si="0"/>
        <v>100</v>
      </c>
      <c r="M28" s="79"/>
    </row>
    <row r="29" spans="2:14" ht="17.100000000000001" customHeight="1">
      <c r="B29" s="14"/>
      <c r="C29" s="15"/>
      <c r="D29" s="15"/>
      <c r="E29" s="16">
        <v>821300</v>
      </c>
      <c r="F29" s="15" t="s">
        <v>92</v>
      </c>
      <c r="G29" s="72">
        <v>5000</v>
      </c>
      <c r="H29" s="72">
        <v>5000</v>
      </c>
      <c r="I29" s="426">
        <v>2490</v>
      </c>
      <c r="J29" s="72">
        <v>5000</v>
      </c>
      <c r="K29" s="135">
        <f t="shared" si="0"/>
        <v>100</v>
      </c>
      <c r="L29" s="71"/>
      <c r="M29" s="79"/>
    </row>
    <row r="30" spans="2:14" ht="17.100000000000001" customHeight="1">
      <c r="B30" s="14"/>
      <c r="C30" s="15"/>
      <c r="D30" s="15"/>
      <c r="E30" s="16"/>
      <c r="F30" s="15"/>
      <c r="G30" s="39"/>
      <c r="H30" s="39"/>
      <c r="I30" s="424"/>
      <c r="J30" s="39"/>
      <c r="K30" s="135" t="str">
        <f t="shared" si="0"/>
        <v/>
      </c>
      <c r="M30" s="79"/>
    </row>
    <row r="31" spans="2:14" ht="17.100000000000001" customHeight="1">
      <c r="B31" s="17"/>
      <c r="C31" s="12"/>
      <c r="D31" s="12"/>
      <c r="E31" s="9"/>
      <c r="F31" s="12" t="s">
        <v>93</v>
      </c>
      <c r="G31" s="118">
        <v>17</v>
      </c>
      <c r="H31" s="118">
        <v>17</v>
      </c>
      <c r="I31" s="427">
        <v>17</v>
      </c>
      <c r="J31" s="118">
        <v>16</v>
      </c>
      <c r="K31" s="135"/>
      <c r="M31" s="79"/>
    </row>
    <row r="32" spans="2:14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777510</v>
      </c>
      <c r="H32" s="20">
        <f>H7+H12+H15+H27</f>
        <v>777510</v>
      </c>
      <c r="I32" s="20">
        <f>I7+I12+I15+I27</f>
        <v>568685</v>
      </c>
      <c r="J32" s="20">
        <f>J7+J12+J15+J27</f>
        <v>766880</v>
      </c>
      <c r="K32" s="177">
        <f t="shared" si="0"/>
        <v>98.63281501202556</v>
      </c>
      <c r="M32" s="79"/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20"/>
      <c r="K34" s="135" t="str">
        <f t="shared" si="0"/>
        <v/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38"/>
    </row>
    <row r="36" spans="2:11" ht="17.100000000000001" customHeight="1"/>
    <row r="37" spans="2:11" ht="17.100000000000001" customHeight="1">
      <c r="B37" s="71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K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headerFooter alignWithMargins="0"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O62"/>
  <sheetViews>
    <sheetView topLeftCell="A25" zoomScaleNormal="100" workbookViewId="0">
      <selection activeCell="G29" sqref="G2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3" ht="15" customHeight="1">
      <c r="B2" s="784" t="s">
        <v>118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3" s="1" customFormat="1" ht="16.5" thickBot="1">
      <c r="E3" s="2"/>
      <c r="F3" s="785"/>
      <c r="G3" s="785"/>
      <c r="H3" s="393"/>
      <c r="I3" s="393"/>
      <c r="J3" s="159"/>
      <c r="K3" s="160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3" s="2" customFormat="1" ht="15.95" customHeight="1">
      <c r="B6" s="10" t="s">
        <v>119</v>
      </c>
      <c r="C6" s="11" t="s">
        <v>81</v>
      </c>
      <c r="D6" s="11" t="s">
        <v>82</v>
      </c>
      <c r="E6" s="9"/>
      <c r="F6" s="9"/>
      <c r="G6" s="143"/>
      <c r="H6" s="143"/>
      <c r="I6" s="143"/>
      <c r="J6" s="143"/>
      <c r="K6" s="133"/>
    </row>
    <row r="7" spans="2:13" s="2" customFormat="1" ht="15.95" customHeight="1">
      <c r="B7" s="10"/>
      <c r="C7" s="11"/>
      <c r="D7" s="11"/>
      <c r="E7" s="9">
        <v>600000</v>
      </c>
      <c r="F7" s="27" t="s">
        <v>120</v>
      </c>
      <c r="G7" s="144">
        <f>G8+G9+G10</f>
        <v>645000</v>
      </c>
      <c r="H7" s="144">
        <f>H8+H9+H10</f>
        <v>645000</v>
      </c>
      <c r="I7" s="437">
        <v>467902</v>
      </c>
      <c r="J7" s="144">
        <f>J8+J9+J10</f>
        <v>645000</v>
      </c>
      <c r="K7" s="177">
        <f>IF(H7=0,"",J7/H7*100)</f>
        <v>100</v>
      </c>
    </row>
    <row r="8" spans="2:13" s="2" customFormat="1" ht="15.95" customHeight="1">
      <c r="B8" s="10"/>
      <c r="C8" s="11"/>
      <c r="D8" s="11"/>
      <c r="E8" s="50">
        <v>600000</v>
      </c>
      <c r="F8" s="51" t="s">
        <v>97</v>
      </c>
      <c r="G8" s="142">
        <v>600000</v>
      </c>
      <c r="H8" s="142">
        <v>600000</v>
      </c>
      <c r="I8" s="436">
        <v>429502</v>
      </c>
      <c r="J8" s="142">
        <v>600000</v>
      </c>
      <c r="K8" s="135">
        <f>IF(H8=0,"",J8/H8*100)</f>
        <v>100</v>
      </c>
    </row>
    <row r="9" spans="2:13" s="2" customFormat="1" ht="15.95" customHeight="1">
      <c r="B9" s="10"/>
      <c r="C9" s="11"/>
      <c r="D9" s="11"/>
      <c r="E9" s="50">
        <v>600000</v>
      </c>
      <c r="F9" s="51" t="s">
        <v>98</v>
      </c>
      <c r="G9" s="142">
        <v>30000</v>
      </c>
      <c r="H9" s="142">
        <v>30000</v>
      </c>
      <c r="I9" s="436">
        <v>25250</v>
      </c>
      <c r="J9" s="142">
        <v>30000</v>
      </c>
      <c r="K9" s="135">
        <f t="shared" ref="K9:K32" si="0">IF(H9=0,"",J9/H9*100)</f>
        <v>100</v>
      </c>
    </row>
    <row r="10" spans="2:13" s="2" customFormat="1" ht="15.95" customHeight="1">
      <c r="B10" s="10"/>
      <c r="C10" s="11"/>
      <c r="D10" s="11"/>
      <c r="E10" s="50">
        <v>600000</v>
      </c>
      <c r="F10" s="51" t="s">
        <v>121</v>
      </c>
      <c r="G10" s="142">
        <v>15000</v>
      </c>
      <c r="H10" s="142">
        <v>15000</v>
      </c>
      <c r="I10" s="436">
        <v>13150</v>
      </c>
      <c r="J10" s="142">
        <v>15000</v>
      </c>
      <c r="K10" s="135">
        <f t="shared" si="0"/>
        <v>100</v>
      </c>
    </row>
    <row r="11" spans="2:13" s="2" customFormat="1" ht="15.95" customHeight="1">
      <c r="B11" s="10"/>
      <c r="C11" s="11"/>
      <c r="D11" s="11"/>
      <c r="E11" s="9"/>
      <c r="F11" s="9"/>
      <c r="G11" s="145"/>
      <c r="H11" s="145"/>
      <c r="I11" s="438"/>
      <c r="J11" s="145"/>
      <c r="K11" s="135" t="str">
        <f t="shared" si="0"/>
        <v/>
      </c>
    </row>
    <row r="12" spans="2:13" s="1" customFormat="1" ht="15.95" customHeight="1">
      <c r="B12" s="17"/>
      <c r="C12" s="12"/>
      <c r="D12" s="12"/>
      <c r="E12" s="9">
        <v>611000</v>
      </c>
      <c r="F12" s="12" t="s">
        <v>163</v>
      </c>
      <c r="G12" s="343">
        <f>SUM(G13:G16)</f>
        <v>355500</v>
      </c>
      <c r="H12" s="343">
        <f>SUM(H13:H16)</f>
        <v>355500</v>
      </c>
      <c r="I12" s="443">
        <v>180649</v>
      </c>
      <c r="J12" s="343">
        <f>SUM(J13:J16)</f>
        <v>257810</v>
      </c>
      <c r="K12" s="177">
        <f t="shared" si="0"/>
        <v>72.520393811533054</v>
      </c>
    </row>
    <row r="13" spans="2:13" ht="15.95" customHeight="1">
      <c r="B13" s="14"/>
      <c r="C13" s="15"/>
      <c r="D13" s="15"/>
      <c r="E13" s="16">
        <v>611100</v>
      </c>
      <c r="F13" s="26" t="s">
        <v>204</v>
      </c>
      <c r="G13" s="338">
        <f>107280+1000+16500+3220</f>
        <v>128000</v>
      </c>
      <c r="H13" s="338">
        <f>107280+1000+16500+3220</f>
        <v>128000</v>
      </c>
      <c r="I13" s="442">
        <v>91444</v>
      </c>
      <c r="J13" s="338">
        <f>124300</f>
        <v>124300</v>
      </c>
      <c r="K13" s="135">
        <f t="shared" si="0"/>
        <v>97.109375</v>
      </c>
    </row>
    <row r="14" spans="2:13" ht="15.95" customHeight="1">
      <c r="B14" s="14"/>
      <c r="C14" s="15"/>
      <c r="D14" s="15"/>
      <c r="E14" s="16">
        <v>611200</v>
      </c>
      <c r="F14" s="15" t="s">
        <v>205</v>
      </c>
      <c r="G14" s="338">
        <f>20950+1000+3650</f>
        <v>25600</v>
      </c>
      <c r="H14" s="338">
        <f>20950+1000+3650</f>
        <v>25600</v>
      </c>
      <c r="I14" s="442">
        <v>17910</v>
      </c>
      <c r="J14" s="338">
        <f>24900+6*270</f>
        <v>26520</v>
      </c>
      <c r="K14" s="135">
        <f t="shared" si="0"/>
        <v>103.59375</v>
      </c>
    </row>
    <row r="15" spans="2:13" ht="15.95" customHeight="1">
      <c r="B15" s="14"/>
      <c r="C15" s="15"/>
      <c r="D15" s="15"/>
      <c r="E15" s="16">
        <v>611200</v>
      </c>
      <c r="F15" s="735" t="s">
        <v>797</v>
      </c>
      <c r="G15" s="338">
        <f>40400+161500</f>
        <v>201900</v>
      </c>
      <c r="H15" s="338">
        <f>40400+161500</f>
        <v>201900</v>
      </c>
      <c r="I15" s="442">
        <v>71295</v>
      </c>
      <c r="J15" s="338">
        <v>106990</v>
      </c>
      <c r="K15" s="135">
        <f t="shared" si="0"/>
        <v>52.99157999009411</v>
      </c>
      <c r="M15" s="79"/>
    </row>
    <row r="16" spans="2:13" ht="15.95" customHeight="1">
      <c r="B16" s="14"/>
      <c r="C16" s="15"/>
      <c r="D16" s="15"/>
      <c r="E16" s="16"/>
      <c r="F16" s="26"/>
      <c r="G16" s="343"/>
      <c r="H16" s="343"/>
      <c r="I16" s="443"/>
      <c r="J16" s="343"/>
      <c r="K16" s="135" t="str">
        <f t="shared" si="0"/>
        <v/>
      </c>
    </row>
    <row r="17" spans="2:12" s="1" customFormat="1" ht="15.95" customHeight="1">
      <c r="B17" s="17"/>
      <c r="C17" s="12"/>
      <c r="D17" s="12"/>
      <c r="E17" s="9">
        <v>612000</v>
      </c>
      <c r="F17" s="12" t="s">
        <v>162</v>
      </c>
      <c r="G17" s="343">
        <f>G18+G19</f>
        <v>13760</v>
      </c>
      <c r="H17" s="343">
        <f>H18+H19</f>
        <v>13760</v>
      </c>
      <c r="I17" s="443">
        <v>9716</v>
      </c>
      <c r="J17" s="343">
        <f>J18+J19</f>
        <v>13500</v>
      </c>
      <c r="K17" s="177">
        <f t="shared" si="0"/>
        <v>98.110465116279073</v>
      </c>
    </row>
    <row r="18" spans="2:12" ht="15.95" customHeight="1">
      <c r="B18" s="14"/>
      <c r="C18" s="15"/>
      <c r="D18" s="15"/>
      <c r="E18" s="16">
        <v>612100</v>
      </c>
      <c r="F18" s="18" t="s">
        <v>83</v>
      </c>
      <c r="G18" s="338">
        <f>11410+200+1800+350</f>
        <v>13760</v>
      </c>
      <c r="H18" s="338">
        <f>11410+200+1800+350</f>
        <v>13760</v>
      </c>
      <c r="I18" s="442">
        <v>9716</v>
      </c>
      <c r="J18" s="338">
        <f>13500</f>
        <v>13500</v>
      </c>
      <c r="K18" s="135">
        <f t="shared" si="0"/>
        <v>98.110465116279073</v>
      </c>
    </row>
    <row r="19" spans="2:12" ht="15.95" customHeight="1">
      <c r="B19" s="14"/>
      <c r="C19" s="15"/>
      <c r="D19" s="15"/>
      <c r="E19" s="16"/>
      <c r="F19" s="15"/>
      <c r="G19" s="139"/>
      <c r="H19" s="139"/>
      <c r="I19" s="433"/>
      <c r="J19" s="139"/>
      <c r="K19" s="135" t="str">
        <f t="shared" si="0"/>
        <v/>
      </c>
    </row>
    <row r="20" spans="2:12" s="1" customFormat="1" ht="15.95" customHeight="1">
      <c r="B20" s="17"/>
      <c r="C20" s="12"/>
      <c r="D20" s="12"/>
      <c r="E20" s="9">
        <v>613000</v>
      </c>
      <c r="F20" s="12" t="s">
        <v>164</v>
      </c>
      <c r="G20" s="140">
        <f>SUM(G21:G31)</f>
        <v>433260</v>
      </c>
      <c r="H20" s="140">
        <f>SUM(H21:H31)</f>
        <v>437510</v>
      </c>
      <c r="I20" s="434">
        <v>278534</v>
      </c>
      <c r="J20" s="140">
        <f>SUM(J21:J31)</f>
        <v>386930</v>
      </c>
      <c r="K20" s="177">
        <f t="shared" si="0"/>
        <v>88.439121391511051</v>
      </c>
    </row>
    <row r="21" spans="2:12" ht="15.95" customHeight="1">
      <c r="B21" s="14"/>
      <c r="C21" s="15"/>
      <c r="D21" s="15"/>
      <c r="E21" s="16">
        <v>613100</v>
      </c>
      <c r="F21" s="15" t="s">
        <v>84</v>
      </c>
      <c r="G21" s="139">
        <v>14000</v>
      </c>
      <c r="H21" s="139">
        <v>14000</v>
      </c>
      <c r="I21" s="433">
        <v>11581</v>
      </c>
      <c r="J21" s="139">
        <v>14000</v>
      </c>
      <c r="K21" s="135">
        <f t="shared" si="0"/>
        <v>100</v>
      </c>
    </row>
    <row r="22" spans="2:12" ht="15.95" customHeight="1">
      <c r="B22" s="14"/>
      <c r="C22" s="15"/>
      <c r="D22" s="15"/>
      <c r="E22" s="16">
        <v>613200</v>
      </c>
      <c r="F22" s="15" t="s">
        <v>85</v>
      </c>
      <c r="G22" s="139">
        <v>0</v>
      </c>
      <c r="H22" s="139">
        <v>0</v>
      </c>
      <c r="I22" s="433">
        <v>0</v>
      </c>
      <c r="J22" s="139">
        <v>0</v>
      </c>
      <c r="K22" s="135" t="str">
        <f t="shared" si="0"/>
        <v/>
      </c>
    </row>
    <row r="23" spans="2:12" ht="15.95" customHeight="1">
      <c r="B23" s="14"/>
      <c r="C23" s="15"/>
      <c r="D23" s="15"/>
      <c r="E23" s="16">
        <v>613300</v>
      </c>
      <c r="F23" s="26" t="s">
        <v>206</v>
      </c>
      <c r="G23" s="139">
        <v>5500</v>
      </c>
      <c r="H23" s="139">
        <v>5500</v>
      </c>
      <c r="I23" s="433">
        <v>3732</v>
      </c>
      <c r="J23" s="139">
        <v>5500</v>
      </c>
      <c r="K23" s="135">
        <f t="shared" si="0"/>
        <v>100</v>
      </c>
    </row>
    <row r="24" spans="2:12" ht="15.95" customHeight="1">
      <c r="B24" s="14"/>
      <c r="C24" s="15"/>
      <c r="D24" s="15"/>
      <c r="E24" s="16">
        <v>613400</v>
      </c>
      <c r="F24" s="15" t="s">
        <v>165</v>
      </c>
      <c r="G24" s="139">
        <v>1500</v>
      </c>
      <c r="H24" s="139">
        <v>1500</v>
      </c>
      <c r="I24" s="433">
        <v>0</v>
      </c>
      <c r="J24" s="139">
        <v>1500</v>
      </c>
      <c r="K24" s="135">
        <f t="shared" si="0"/>
        <v>100</v>
      </c>
    </row>
    <row r="25" spans="2:12" ht="15.95" customHeight="1">
      <c r="B25" s="14"/>
      <c r="C25" s="15"/>
      <c r="D25" s="15"/>
      <c r="E25" s="16">
        <v>613500</v>
      </c>
      <c r="F25" s="15" t="s">
        <v>86</v>
      </c>
      <c r="G25" s="141">
        <v>1500</v>
      </c>
      <c r="H25" s="141">
        <v>1500</v>
      </c>
      <c r="I25" s="435">
        <v>1208</v>
      </c>
      <c r="J25" s="141">
        <v>1500</v>
      </c>
      <c r="K25" s="135">
        <f t="shared" si="0"/>
        <v>100</v>
      </c>
    </row>
    <row r="26" spans="2:12" ht="15.95" customHeight="1">
      <c r="B26" s="14"/>
      <c r="C26" s="15"/>
      <c r="D26" s="15"/>
      <c r="E26" s="16">
        <v>613600</v>
      </c>
      <c r="F26" s="26" t="s">
        <v>207</v>
      </c>
      <c r="G26" s="139">
        <v>0</v>
      </c>
      <c r="H26" s="139">
        <v>0</v>
      </c>
      <c r="I26" s="433">
        <v>0</v>
      </c>
      <c r="J26" s="139">
        <v>0</v>
      </c>
      <c r="K26" s="135" t="str">
        <f t="shared" si="0"/>
        <v/>
      </c>
    </row>
    <row r="27" spans="2:12" ht="15.95" customHeight="1">
      <c r="B27" s="14"/>
      <c r="C27" s="15"/>
      <c r="D27" s="15"/>
      <c r="E27" s="16">
        <v>613700</v>
      </c>
      <c r="F27" s="15" t="s">
        <v>87</v>
      </c>
      <c r="G27" s="139">
        <v>7000</v>
      </c>
      <c r="H27" s="139">
        <v>7000</v>
      </c>
      <c r="I27" s="433">
        <v>192</v>
      </c>
      <c r="J27" s="436">
        <v>6000</v>
      </c>
      <c r="K27" s="135">
        <f t="shared" si="0"/>
        <v>85.714285714285708</v>
      </c>
    </row>
    <row r="28" spans="2:12" ht="15.95" customHeight="1">
      <c r="B28" s="14"/>
      <c r="C28" s="15"/>
      <c r="D28" s="15"/>
      <c r="E28" s="16">
        <v>613800</v>
      </c>
      <c r="F28" s="15" t="s">
        <v>166</v>
      </c>
      <c r="G28" s="142">
        <v>3460</v>
      </c>
      <c r="H28" s="142">
        <v>3460</v>
      </c>
      <c r="I28" s="436">
        <v>420</v>
      </c>
      <c r="J28" s="142">
        <v>2500</v>
      </c>
      <c r="K28" s="135">
        <f t="shared" si="0"/>
        <v>72.25433526011561</v>
      </c>
    </row>
    <row r="29" spans="2:12" ht="15.95" customHeight="1">
      <c r="B29" s="14"/>
      <c r="C29" s="15"/>
      <c r="D29" s="15"/>
      <c r="E29" s="107">
        <v>613900</v>
      </c>
      <c r="F29" s="19" t="s">
        <v>167</v>
      </c>
      <c r="G29" s="142">
        <v>162100</v>
      </c>
      <c r="H29" s="142">
        <v>166350</v>
      </c>
      <c r="I29" s="436">
        <v>154566</v>
      </c>
      <c r="J29" s="142">
        <v>177000</v>
      </c>
      <c r="K29" s="135">
        <f t="shared" si="0"/>
        <v>106.40216411181245</v>
      </c>
      <c r="L29" s="71"/>
    </row>
    <row r="30" spans="2:12" ht="15.95" customHeight="1">
      <c r="B30" s="14"/>
      <c r="C30" s="15"/>
      <c r="D30" s="15"/>
      <c r="E30" s="16">
        <v>613900</v>
      </c>
      <c r="F30" s="26" t="s">
        <v>213</v>
      </c>
      <c r="G30" s="142">
        <v>29500</v>
      </c>
      <c r="H30" s="142">
        <v>29500</v>
      </c>
      <c r="I30" s="436">
        <v>27140</v>
      </c>
      <c r="J30" s="142">
        <v>42630</v>
      </c>
      <c r="K30" s="135">
        <f t="shared" si="0"/>
        <v>144.5084745762712</v>
      </c>
    </row>
    <row r="31" spans="2:12" ht="15.95" customHeight="1">
      <c r="B31" s="14"/>
      <c r="C31" s="15"/>
      <c r="D31" s="15"/>
      <c r="E31" s="16">
        <v>613900</v>
      </c>
      <c r="F31" s="735" t="s">
        <v>798</v>
      </c>
      <c r="G31" s="142">
        <f>43700+165000</f>
        <v>208700</v>
      </c>
      <c r="H31" s="142">
        <f>43700+165000</f>
        <v>208700</v>
      </c>
      <c r="I31" s="436">
        <v>79695</v>
      </c>
      <c r="J31" s="142">
        <f>116300+20000</f>
        <v>136300</v>
      </c>
      <c r="K31" s="135">
        <f t="shared" si="0"/>
        <v>65.309056061332058</v>
      </c>
    </row>
    <row r="32" spans="2:12" ht="15.95" customHeight="1">
      <c r="B32" s="14"/>
      <c r="C32" s="15"/>
      <c r="D32" s="15"/>
      <c r="E32" s="16"/>
      <c r="F32" s="15"/>
      <c r="G32" s="139"/>
      <c r="H32" s="139"/>
      <c r="I32" s="433"/>
      <c r="J32" s="139"/>
      <c r="K32" s="135" t="str">
        <f t="shared" si="0"/>
        <v/>
      </c>
    </row>
    <row r="33" spans="2:15" s="1" customFormat="1" ht="15.95" customHeight="1">
      <c r="B33" s="17"/>
      <c r="C33" s="12"/>
      <c r="D33" s="12"/>
      <c r="E33" s="9">
        <v>614000</v>
      </c>
      <c r="F33" s="12" t="s">
        <v>208</v>
      </c>
      <c r="G33" s="145">
        <f>SUM(G34:G44)</f>
        <v>855000</v>
      </c>
      <c r="H33" s="145">
        <f>SUM(H34:H44)</f>
        <v>920000</v>
      </c>
      <c r="I33" s="438">
        <v>647839</v>
      </c>
      <c r="J33" s="145">
        <f>SUM(J34:J44)</f>
        <v>911000</v>
      </c>
      <c r="K33" s="177">
        <f>IF(H33=0,"",J33/H33*100)</f>
        <v>99.021739130434781</v>
      </c>
    </row>
    <row r="34" spans="2:15" s="85" customFormat="1" ht="15.95" customHeight="1">
      <c r="B34" s="86"/>
      <c r="C34" s="18"/>
      <c r="D34" s="18"/>
      <c r="E34" s="50">
        <v>614100</v>
      </c>
      <c r="F34" s="18" t="s">
        <v>283</v>
      </c>
      <c r="G34" s="141">
        <v>100000</v>
      </c>
      <c r="H34" s="141">
        <v>100000</v>
      </c>
      <c r="I34" s="435">
        <v>0</v>
      </c>
      <c r="J34" s="141">
        <v>100000</v>
      </c>
      <c r="K34" s="135">
        <f t="shared" ref="K34:K55" si="1">IF(H34=0,"",J34/H34*100)</f>
        <v>100</v>
      </c>
    </row>
    <row r="35" spans="2:15" s="85" customFormat="1" ht="15.95" customHeight="1">
      <c r="B35" s="86"/>
      <c r="C35" s="18"/>
      <c r="D35" s="18"/>
      <c r="E35" s="50">
        <v>614100</v>
      </c>
      <c r="F35" s="104" t="s">
        <v>284</v>
      </c>
      <c r="G35" s="141">
        <v>200000</v>
      </c>
      <c r="H35" s="141">
        <v>200000</v>
      </c>
      <c r="I35" s="435">
        <v>150000</v>
      </c>
      <c r="J35" s="141">
        <v>200000</v>
      </c>
      <c r="K35" s="135">
        <f t="shared" si="1"/>
        <v>100</v>
      </c>
    </row>
    <row r="36" spans="2:15" s="175" customFormat="1" ht="15" customHeight="1">
      <c r="B36" s="170"/>
      <c r="C36" s="171"/>
      <c r="D36" s="171"/>
      <c r="E36" s="172">
        <v>614200</v>
      </c>
      <c r="F36" s="173" t="s">
        <v>705</v>
      </c>
      <c r="G36" s="174">
        <v>150000</v>
      </c>
      <c r="H36" s="174">
        <v>215000</v>
      </c>
      <c r="I36" s="441">
        <v>204500</v>
      </c>
      <c r="J36" s="174">
        <v>206000</v>
      </c>
      <c r="K36" s="135">
        <f t="shared" si="1"/>
        <v>95.813953488372093</v>
      </c>
      <c r="O36" s="176"/>
    </row>
    <row r="37" spans="2:15" ht="25.5" customHeight="1">
      <c r="B37" s="14"/>
      <c r="C37" s="15"/>
      <c r="D37" s="15"/>
      <c r="E37" s="16">
        <v>614300</v>
      </c>
      <c r="F37" s="341" t="s">
        <v>591</v>
      </c>
      <c r="G37" s="146">
        <v>70000</v>
      </c>
      <c r="H37" s="146">
        <v>70000</v>
      </c>
      <c r="I37" s="439">
        <v>70000</v>
      </c>
      <c r="J37" s="146">
        <v>70000</v>
      </c>
      <c r="K37" s="415">
        <f t="shared" si="1"/>
        <v>100</v>
      </c>
    </row>
    <row r="38" spans="2:15" ht="15.95" customHeight="1">
      <c r="B38" s="14"/>
      <c r="C38" s="15"/>
      <c r="D38" s="15"/>
      <c r="E38" s="16">
        <v>614300</v>
      </c>
      <c r="F38" s="98" t="s">
        <v>228</v>
      </c>
      <c r="G38" s="146">
        <v>35000</v>
      </c>
      <c r="H38" s="146">
        <v>35000</v>
      </c>
      <c r="I38" s="439">
        <v>23336</v>
      </c>
      <c r="J38" s="146">
        <v>35000</v>
      </c>
      <c r="K38" s="135">
        <f t="shared" si="1"/>
        <v>100</v>
      </c>
    </row>
    <row r="39" spans="2:15" ht="15.95" customHeight="1">
      <c r="B39" s="14"/>
      <c r="C39" s="15"/>
      <c r="D39" s="15"/>
      <c r="E39" s="16">
        <v>614300</v>
      </c>
      <c r="F39" s="98" t="s">
        <v>277</v>
      </c>
      <c r="G39" s="146">
        <v>40000</v>
      </c>
      <c r="H39" s="146">
        <v>40000</v>
      </c>
      <c r="I39" s="439">
        <v>26668</v>
      </c>
      <c r="J39" s="146">
        <v>40000</v>
      </c>
      <c r="K39" s="135">
        <f t="shared" si="1"/>
        <v>100</v>
      </c>
    </row>
    <row r="40" spans="2:15" ht="26.25" customHeight="1">
      <c r="B40" s="14"/>
      <c r="C40" s="15"/>
      <c r="D40" s="15"/>
      <c r="E40" s="16">
        <v>614300</v>
      </c>
      <c r="F40" s="387" t="s">
        <v>707</v>
      </c>
      <c r="G40" s="146">
        <v>40000</v>
      </c>
      <c r="H40" s="146">
        <v>40000</v>
      </c>
      <c r="I40" s="439">
        <v>26668</v>
      </c>
      <c r="J40" s="146">
        <v>40000</v>
      </c>
      <c r="K40" s="135">
        <f t="shared" si="1"/>
        <v>100</v>
      </c>
    </row>
    <row r="41" spans="2:15" ht="27" customHeight="1">
      <c r="B41" s="14"/>
      <c r="C41" s="15"/>
      <c r="D41" s="15"/>
      <c r="E41" s="16">
        <v>614300</v>
      </c>
      <c r="F41" s="279" t="s">
        <v>559</v>
      </c>
      <c r="G41" s="146">
        <v>15000</v>
      </c>
      <c r="H41" s="146">
        <v>15000</v>
      </c>
      <c r="I41" s="439">
        <v>10000</v>
      </c>
      <c r="J41" s="146">
        <v>15000</v>
      </c>
      <c r="K41" s="135">
        <f t="shared" si="1"/>
        <v>100</v>
      </c>
    </row>
    <row r="42" spans="2:15" ht="15.95" customHeight="1">
      <c r="B42" s="14"/>
      <c r="C42" s="15"/>
      <c r="D42" s="15"/>
      <c r="E42" s="16">
        <v>614300</v>
      </c>
      <c r="F42" s="98" t="s">
        <v>230</v>
      </c>
      <c r="G42" s="146">
        <v>30000</v>
      </c>
      <c r="H42" s="146">
        <v>30000</v>
      </c>
      <c r="I42" s="439">
        <v>20000</v>
      </c>
      <c r="J42" s="146">
        <v>30000</v>
      </c>
      <c r="K42" s="135">
        <f t="shared" si="1"/>
        <v>100</v>
      </c>
    </row>
    <row r="43" spans="2:15" ht="15.95" customHeight="1">
      <c r="B43" s="14"/>
      <c r="C43" s="15"/>
      <c r="D43" s="15"/>
      <c r="E43" s="16">
        <v>614300</v>
      </c>
      <c r="F43" s="98" t="s">
        <v>703</v>
      </c>
      <c r="G43" s="146">
        <v>15000</v>
      </c>
      <c r="H43" s="146">
        <v>15000</v>
      </c>
      <c r="I43" s="439">
        <v>10000</v>
      </c>
      <c r="J43" s="146">
        <v>15000</v>
      </c>
      <c r="K43" s="135">
        <f t="shared" ref="K43" si="2">IF(H43=0,"",J43/H43*100)</f>
        <v>100</v>
      </c>
    </row>
    <row r="44" spans="2:15" ht="15.95" customHeight="1">
      <c r="B44" s="14"/>
      <c r="C44" s="15"/>
      <c r="D44" s="15"/>
      <c r="E44" s="16">
        <v>614300</v>
      </c>
      <c r="F44" s="278" t="s">
        <v>96</v>
      </c>
      <c r="G44" s="146">
        <v>160000</v>
      </c>
      <c r="H44" s="146">
        <v>160000</v>
      </c>
      <c r="I44" s="439">
        <v>106667</v>
      </c>
      <c r="J44" s="146">
        <v>160000</v>
      </c>
      <c r="K44" s="135">
        <f t="shared" si="1"/>
        <v>100</v>
      </c>
    </row>
    <row r="45" spans="2:15" ht="15.95" customHeight="1">
      <c r="B45" s="14"/>
      <c r="C45" s="15"/>
      <c r="D45" s="15"/>
      <c r="E45" s="16"/>
      <c r="F45" s="98"/>
      <c r="G45" s="146"/>
      <c r="H45" s="146"/>
      <c r="I45" s="439"/>
      <c r="J45" s="146"/>
      <c r="K45" s="135" t="str">
        <f t="shared" si="1"/>
        <v/>
      </c>
    </row>
    <row r="46" spans="2:15" ht="15.95" customHeight="1">
      <c r="B46" s="14"/>
      <c r="C46" s="15"/>
      <c r="D46" s="15"/>
      <c r="E46" s="9">
        <v>615000</v>
      </c>
      <c r="F46" s="12" t="s">
        <v>89</v>
      </c>
      <c r="G46" s="145">
        <f>G47</f>
        <v>700000</v>
      </c>
      <c r="H46" s="145">
        <f>H47</f>
        <v>700000</v>
      </c>
      <c r="I46" s="438">
        <v>0</v>
      </c>
      <c r="J46" s="145">
        <f>J47</f>
        <v>600000</v>
      </c>
      <c r="K46" s="177">
        <f t="shared" si="1"/>
        <v>85.714285714285708</v>
      </c>
    </row>
    <row r="47" spans="2:15" ht="15.95" customHeight="1">
      <c r="B47" s="14"/>
      <c r="C47" s="15"/>
      <c r="D47" s="15"/>
      <c r="E47" s="50">
        <v>615100</v>
      </c>
      <c r="F47" s="18" t="s">
        <v>89</v>
      </c>
      <c r="G47" s="141">
        <v>700000</v>
      </c>
      <c r="H47" s="141">
        <v>700000</v>
      </c>
      <c r="I47" s="435">
        <v>0</v>
      </c>
      <c r="J47" s="439">
        <v>600000</v>
      </c>
      <c r="K47" s="135">
        <f t="shared" si="1"/>
        <v>85.714285714285708</v>
      </c>
    </row>
    <row r="48" spans="2:15" ht="15.95" customHeight="1">
      <c r="B48" s="14"/>
      <c r="C48" s="15"/>
      <c r="D48" s="15"/>
      <c r="E48" s="16"/>
      <c r="F48" s="19"/>
      <c r="G48" s="142"/>
      <c r="H48" s="142"/>
      <c r="I48" s="436"/>
      <c r="J48" s="142"/>
      <c r="K48" s="135" t="str">
        <f t="shared" si="1"/>
        <v/>
      </c>
    </row>
    <row r="49" spans="2:11" ht="15.95" customHeight="1">
      <c r="B49" s="17"/>
      <c r="C49" s="12"/>
      <c r="D49" s="12"/>
      <c r="E49" s="9">
        <v>821000</v>
      </c>
      <c r="F49" s="12" t="s">
        <v>90</v>
      </c>
      <c r="G49" s="20">
        <f>SUM(G50:G52)</f>
        <v>210000</v>
      </c>
      <c r="H49" s="20">
        <f>SUM(H50:H52)</f>
        <v>145000</v>
      </c>
      <c r="I49" s="430">
        <v>4215</v>
      </c>
      <c r="J49" s="20">
        <f>SUM(J50:J52)</f>
        <v>145000</v>
      </c>
      <c r="K49" s="177">
        <f t="shared" si="1"/>
        <v>100</v>
      </c>
    </row>
    <row r="50" spans="2:11" ht="15.95" customHeight="1">
      <c r="B50" s="14"/>
      <c r="C50" s="15"/>
      <c r="D50" s="15"/>
      <c r="E50" s="16">
        <v>821200</v>
      </c>
      <c r="F50" s="15" t="s">
        <v>91</v>
      </c>
      <c r="G50" s="72">
        <v>0</v>
      </c>
      <c r="H50" s="72">
        <v>0</v>
      </c>
      <c r="I50" s="431">
        <v>0</v>
      </c>
      <c r="J50" s="72">
        <v>0</v>
      </c>
      <c r="K50" s="135" t="str">
        <f t="shared" si="1"/>
        <v/>
      </c>
    </row>
    <row r="51" spans="2:11" ht="15.95" customHeight="1">
      <c r="B51" s="14"/>
      <c r="C51" s="15"/>
      <c r="D51" s="15"/>
      <c r="E51" s="16">
        <v>821300</v>
      </c>
      <c r="F51" s="15" t="s">
        <v>92</v>
      </c>
      <c r="G51" s="105">
        <v>10000</v>
      </c>
      <c r="H51" s="105">
        <v>10000</v>
      </c>
      <c r="I51" s="432">
        <v>4215</v>
      </c>
      <c r="J51" s="105">
        <v>10000</v>
      </c>
      <c r="K51" s="135">
        <f t="shared" si="1"/>
        <v>100</v>
      </c>
    </row>
    <row r="52" spans="2:11" ht="15.95" customHeight="1">
      <c r="B52" s="14"/>
      <c r="C52" s="15"/>
      <c r="D52" s="15"/>
      <c r="E52" s="16">
        <v>821500</v>
      </c>
      <c r="F52" s="15" t="s">
        <v>560</v>
      </c>
      <c r="G52" s="151">
        <v>200000</v>
      </c>
      <c r="H52" s="151">
        <v>135000</v>
      </c>
      <c r="I52" s="440">
        <v>0</v>
      </c>
      <c r="J52" s="151">
        <v>135000</v>
      </c>
      <c r="K52" s="135">
        <f t="shared" si="1"/>
        <v>100</v>
      </c>
    </row>
    <row r="53" spans="2:11" s="1" customFormat="1" ht="9" customHeight="1">
      <c r="B53" s="14"/>
      <c r="C53" s="15"/>
      <c r="D53" s="15"/>
      <c r="E53" s="16"/>
      <c r="F53" s="15"/>
      <c r="G53" s="20"/>
      <c r="H53" s="20"/>
      <c r="I53" s="430"/>
      <c r="J53" s="20"/>
      <c r="K53" s="135" t="str">
        <f t="shared" si="1"/>
        <v/>
      </c>
    </row>
    <row r="54" spans="2:11" ht="15.95" customHeight="1">
      <c r="B54" s="17"/>
      <c r="C54" s="12"/>
      <c r="D54" s="12"/>
      <c r="E54" s="9"/>
      <c r="F54" s="12" t="s">
        <v>93</v>
      </c>
      <c r="G54" s="20">
        <v>6</v>
      </c>
      <c r="H54" s="20">
        <v>6</v>
      </c>
      <c r="I54" s="430">
        <v>6</v>
      </c>
      <c r="J54" s="20">
        <v>6</v>
      </c>
      <c r="K54" s="135"/>
    </row>
    <row r="55" spans="2:11" ht="15.95" customHeight="1">
      <c r="B55" s="17"/>
      <c r="C55" s="12"/>
      <c r="D55" s="12"/>
      <c r="E55" s="9"/>
      <c r="F55" s="12" t="s">
        <v>113</v>
      </c>
      <c r="G55" s="20">
        <f>G7+G12+G17+G20+G33+G46+G49</f>
        <v>3212520</v>
      </c>
      <c r="H55" s="20">
        <f>H7+H12+H17+H20+H33+H46+H49</f>
        <v>3216770</v>
      </c>
      <c r="I55" s="20">
        <f>I7+I12+I17+I20+I33+I46+I49</f>
        <v>1588855</v>
      </c>
      <c r="J55" s="20">
        <f>J7+J12+J17+J20+J33+J46+J49</f>
        <v>2959240</v>
      </c>
      <c r="K55" s="177">
        <f t="shared" si="1"/>
        <v>91.994143193327474</v>
      </c>
    </row>
    <row r="56" spans="2:11" ht="15.95" customHeight="1">
      <c r="B56" s="17"/>
      <c r="C56" s="12"/>
      <c r="D56" s="12"/>
      <c r="E56" s="9"/>
      <c r="F56" s="12" t="s">
        <v>94</v>
      </c>
      <c r="G56" s="15"/>
      <c r="H56" s="15"/>
      <c r="I56" s="15"/>
      <c r="J56" s="15"/>
      <c r="K56" s="136"/>
    </row>
    <row r="57" spans="2:11" ht="15.95" customHeight="1">
      <c r="B57" s="17"/>
      <c r="C57" s="12"/>
      <c r="D57" s="12"/>
      <c r="E57" s="9"/>
      <c r="F57" s="12" t="s">
        <v>95</v>
      </c>
      <c r="G57" s="15"/>
      <c r="H57" s="15"/>
      <c r="I57" s="15"/>
      <c r="J57" s="15"/>
      <c r="K57" s="136"/>
    </row>
    <row r="58" spans="2:11" s="1" customFormat="1" ht="9.75" customHeight="1" thickBot="1">
      <c r="B58" s="21"/>
      <c r="C58" s="22"/>
      <c r="D58" s="22"/>
      <c r="E58" s="23"/>
      <c r="F58" s="22"/>
      <c r="G58" s="22"/>
      <c r="H58" s="22"/>
      <c r="I58" s="22"/>
      <c r="J58" s="22"/>
      <c r="K58" s="138"/>
    </row>
    <row r="59" spans="2:11" s="1" customFormat="1" ht="15.95" customHeight="1">
      <c r="B59" s="13"/>
      <c r="C59" s="13"/>
      <c r="D59" s="13"/>
      <c r="E59" s="24"/>
      <c r="F59" s="13"/>
      <c r="G59" s="13"/>
      <c r="H59" s="13"/>
      <c r="I59" s="13"/>
      <c r="J59" s="13"/>
      <c r="K59" s="124"/>
    </row>
    <row r="60" spans="2:11" s="1" customFormat="1" ht="15.95" customHeight="1">
      <c r="B60" s="13"/>
      <c r="C60" s="13"/>
      <c r="D60" s="13"/>
      <c r="E60" s="24"/>
      <c r="F60" s="13"/>
      <c r="G60" s="13"/>
      <c r="H60" s="13"/>
      <c r="I60" s="13"/>
      <c r="J60" s="13"/>
      <c r="K60" s="124"/>
    </row>
    <row r="61" spans="2:11" s="1" customFormat="1" ht="12.95" customHeight="1">
      <c r="B61" s="13"/>
      <c r="C61" s="13"/>
      <c r="D61" s="13"/>
      <c r="E61" s="24"/>
      <c r="F61" s="13"/>
      <c r="G61" s="13"/>
      <c r="H61" s="13"/>
      <c r="I61" s="13"/>
      <c r="J61" s="13"/>
      <c r="K61" s="124"/>
    </row>
    <row r="62" spans="2:11" ht="12.95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N59"/>
  <sheetViews>
    <sheetView topLeftCell="A13" zoomScaleNormal="100" workbookViewId="0">
      <selection activeCell="P20" sqref="P2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124" customWidth="1"/>
    <col min="12" max="16384" width="9.140625" style="13"/>
  </cols>
  <sheetData>
    <row r="2" spans="2:14" s="100" customFormat="1" ht="15" customHeight="1">
      <c r="B2" s="784" t="s">
        <v>122</v>
      </c>
      <c r="C2" s="784"/>
      <c r="D2" s="784"/>
      <c r="E2" s="784"/>
      <c r="F2" s="784"/>
      <c r="G2" s="784"/>
      <c r="H2" s="784"/>
      <c r="I2" s="784"/>
      <c r="J2" s="784"/>
      <c r="K2" s="129"/>
    </row>
    <row r="3" spans="2:14" s="1" customFormat="1" ht="16.5" thickBot="1">
      <c r="E3" s="2"/>
      <c r="F3" s="785"/>
      <c r="G3" s="785"/>
      <c r="H3" s="393"/>
      <c r="I3" s="393"/>
      <c r="J3" s="159"/>
      <c r="K3" s="160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396" t="s">
        <v>654</v>
      </c>
      <c r="F4" s="7" t="s">
        <v>80</v>
      </c>
      <c r="G4" s="277" t="s">
        <v>653</v>
      </c>
      <c r="H4" s="422" t="s">
        <v>731</v>
      </c>
      <c r="I4" s="277" t="s">
        <v>715</v>
      </c>
      <c r="J4" s="60" t="s">
        <v>789</v>
      </c>
      <c r="K4" s="395" t="s">
        <v>674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2">
        <v>10</v>
      </c>
    </row>
    <row r="6" spans="2:14" s="2" customFormat="1" ht="17.100000000000001" customHeight="1">
      <c r="B6" s="10" t="s">
        <v>119</v>
      </c>
      <c r="C6" s="11" t="s">
        <v>81</v>
      </c>
      <c r="D6" s="11" t="s">
        <v>117</v>
      </c>
      <c r="E6" s="9"/>
      <c r="F6" s="9"/>
      <c r="G6" s="9"/>
      <c r="H6" s="9"/>
      <c r="I6" s="9"/>
      <c r="J6" s="9"/>
      <c r="K6" s="133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163</v>
      </c>
      <c r="G7" s="337">
        <f>SUM(G8:G11)</f>
        <v>55690</v>
      </c>
      <c r="H7" s="337">
        <f>SUM(H8:H11)</f>
        <v>55690</v>
      </c>
      <c r="I7" s="450">
        <v>15474</v>
      </c>
      <c r="J7" s="337">
        <f>SUM(J8:J11)</f>
        <v>24370</v>
      </c>
      <c r="K7" s="177">
        <f>IF(H7=0,"",J7/H7*100)</f>
        <v>43.760100556652901</v>
      </c>
    </row>
    <row r="8" spans="2:14" ht="17.100000000000001" customHeight="1">
      <c r="B8" s="14"/>
      <c r="C8" s="15"/>
      <c r="D8" s="15"/>
      <c r="E8" s="16">
        <v>611100</v>
      </c>
      <c r="F8" s="26" t="s">
        <v>204</v>
      </c>
      <c r="G8" s="336">
        <f>16760+300+18940+9100+510+840</f>
        <v>46450</v>
      </c>
      <c r="H8" s="336">
        <f>16760+300+18940+9100+510+840</f>
        <v>46450</v>
      </c>
      <c r="I8" s="449">
        <v>12734</v>
      </c>
      <c r="J8" s="336">
        <f>17300+2300</f>
        <v>19600</v>
      </c>
      <c r="K8" s="135">
        <f>IF(H8=0,"",J8/H8*100)</f>
        <v>42.195909580193756</v>
      </c>
    </row>
    <row r="9" spans="2:14" ht="17.100000000000001" customHeight="1">
      <c r="B9" s="14"/>
      <c r="C9" s="15"/>
      <c r="D9" s="15"/>
      <c r="E9" s="16">
        <v>611200</v>
      </c>
      <c r="F9" s="15" t="s">
        <v>205</v>
      </c>
      <c r="G9" s="336">
        <f>3640+200+2*2700</f>
        <v>9240</v>
      </c>
      <c r="H9" s="336">
        <f>3640+200+2*2700</f>
        <v>9240</v>
      </c>
      <c r="I9" s="449">
        <v>2740</v>
      </c>
      <c r="J9" s="336">
        <f>3700+2*270+21*10+21*15+5</f>
        <v>4770</v>
      </c>
      <c r="K9" s="135">
        <f t="shared" ref="K9:K32" si="0">IF(H9=0,"",J9/H9*100)</f>
        <v>51.623376623376629</v>
      </c>
    </row>
    <row r="10" spans="2:14" ht="17.100000000000001" customHeight="1">
      <c r="B10" s="14"/>
      <c r="C10" s="15"/>
      <c r="D10" s="15"/>
      <c r="E10" s="16">
        <v>611200</v>
      </c>
      <c r="F10" s="311" t="s">
        <v>586</v>
      </c>
      <c r="G10" s="336">
        <v>0</v>
      </c>
      <c r="H10" s="336">
        <v>0</v>
      </c>
      <c r="I10" s="449">
        <v>0</v>
      </c>
      <c r="J10" s="336">
        <v>0</v>
      </c>
      <c r="K10" s="135" t="str">
        <f t="shared" si="0"/>
        <v/>
      </c>
      <c r="M10" s="79"/>
    </row>
    <row r="11" spans="2:14" ht="17.100000000000001" customHeight="1">
      <c r="B11" s="14"/>
      <c r="C11" s="15"/>
      <c r="D11" s="15"/>
      <c r="E11" s="16"/>
      <c r="F11" s="26"/>
      <c r="G11" s="336"/>
      <c r="H11" s="336"/>
      <c r="I11" s="449"/>
      <c r="J11" s="336"/>
      <c r="K11" s="135" t="str">
        <f t="shared" si="0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337">
        <f>G13</f>
        <v>6350</v>
      </c>
      <c r="H12" s="337">
        <f>H13</f>
        <v>6350</v>
      </c>
      <c r="I12" s="450">
        <v>1358</v>
      </c>
      <c r="J12" s="337">
        <f>J13</f>
        <v>2160</v>
      </c>
      <c r="K12" s="177">
        <f t="shared" si="0"/>
        <v>34.015748031496059</v>
      </c>
      <c r="N12" s="85"/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36">
        <f>3020+100+2080+1000+60+90</f>
        <v>6350</v>
      </c>
      <c r="H13" s="336">
        <f>3020+100+2080+1000+60+90</f>
        <v>6350</v>
      </c>
      <c r="I13" s="449">
        <v>1358</v>
      </c>
      <c r="J13" s="336">
        <f>1860+300</f>
        <v>2160</v>
      </c>
      <c r="K13" s="135">
        <f t="shared" si="0"/>
        <v>34.015748031496059</v>
      </c>
      <c r="N13" s="71"/>
    </row>
    <row r="14" spans="2:14" ht="17.100000000000001" customHeight="1">
      <c r="B14" s="14"/>
      <c r="C14" s="15"/>
      <c r="D14" s="15"/>
      <c r="E14" s="16"/>
      <c r="F14" s="15"/>
      <c r="G14" s="39"/>
      <c r="H14" s="39"/>
      <c r="I14" s="445"/>
      <c r="J14" s="39"/>
      <c r="K14" s="135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43">
        <f>SUM(G16:G25)</f>
        <v>4000</v>
      </c>
      <c r="H15" s="43">
        <f>SUM(H16:H25)</f>
        <v>4750</v>
      </c>
      <c r="I15" s="446">
        <v>3237</v>
      </c>
      <c r="J15" s="43">
        <f>SUM(J16:J25)</f>
        <v>4350</v>
      </c>
      <c r="K15" s="177">
        <f t="shared" si="0"/>
        <v>91.578947368421055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39">
        <v>500</v>
      </c>
      <c r="H16" s="39">
        <v>500</v>
      </c>
      <c r="I16" s="445">
        <v>278</v>
      </c>
      <c r="J16" s="39">
        <v>500</v>
      </c>
      <c r="K16" s="135">
        <f t="shared" si="0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445">
        <v>0</v>
      </c>
      <c r="J17" s="39">
        <v>0</v>
      </c>
      <c r="K17" s="135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206</v>
      </c>
      <c r="G18" s="39">
        <v>1100</v>
      </c>
      <c r="H18" s="39">
        <v>1100</v>
      </c>
      <c r="I18" s="445">
        <v>610</v>
      </c>
      <c r="J18" s="39">
        <v>1100</v>
      </c>
      <c r="K18" s="135">
        <f t="shared" si="0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39">
        <v>0</v>
      </c>
      <c r="H19" s="39">
        <v>0</v>
      </c>
      <c r="I19" s="445">
        <v>0</v>
      </c>
      <c r="J19" s="39">
        <v>0</v>
      </c>
      <c r="K19" s="135" t="str">
        <f t="shared" si="0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445">
        <v>0</v>
      </c>
      <c r="J20" s="39">
        <v>0</v>
      </c>
      <c r="K20" s="135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207</v>
      </c>
      <c r="G21" s="39">
        <v>0</v>
      </c>
      <c r="H21" s="39">
        <v>0</v>
      </c>
      <c r="I21" s="445">
        <v>0</v>
      </c>
      <c r="J21" s="39">
        <v>0</v>
      </c>
      <c r="K21" s="135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39">
        <v>400</v>
      </c>
      <c r="H22" s="39">
        <v>400</v>
      </c>
      <c r="I22" s="445">
        <v>0</v>
      </c>
      <c r="J22" s="39">
        <v>0</v>
      </c>
      <c r="K22" s="135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39">
        <v>0</v>
      </c>
      <c r="H23" s="39">
        <v>0</v>
      </c>
      <c r="I23" s="445">
        <v>0</v>
      </c>
      <c r="J23" s="39">
        <v>0</v>
      </c>
      <c r="K23" s="135" t="str">
        <f t="shared" si="0"/>
        <v/>
      </c>
      <c r="L23" s="71"/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72">
        <v>2000</v>
      </c>
      <c r="H24" s="72">
        <v>2750</v>
      </c>
      <c r="I24" s="447">
        <v>2349</v>
      </c>
      <c r="J24" s="72">
        <v>2750</v>
      </c>
      <c r="K24" s="135">
        <f t="shared" si="0"/>
        <v>100</v>
      </c>
    </row>
    <row r="25" spans="2:12" ht="17.100000000000001" customHeight="1">
      <c r="B25" s="14"/>
      <c r="C25" s="15"/>
      <c r="D25" s="15"/>
      <c r="E25" s="16">
        <v>613900</v>
      </c>
      <c r="F25" s="311" t="s">
        <v>587</v>
      </c>
      <c r="G25" s="39">
        <v>0</v>
      </c>
      <c r="H25" s="39">
        <v>0</v>
      </c>
      <c r="I25" s="445">
        <v>0</v>
      </c>
      <c r="J25" s="39">
        <v>0</v>
      </c>
      <c r="K25" s="135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20"/>
      <c r="H26" s="20"/>
      <c r="I26" s="444"/>
      <c r="J26" s="20"/>
      <c r="K26" s="135" t="str">
        <f t="shared" si="0"/>
        <v/>
      </c>
    </row>
    <row r="27" spans="2:12" s="1" customFormat="1" ht="17.100000000000001" customHeight="1">
      <c r="B27" s="17"/>
      <c r="C27" s="12"/>
      <c r="D27" s="12"/>
      <c r="E27" s="53">
        <v>614000</v>
      </c>
      <c r="F27" s="12" t="s">
        <v>208</v>
      </c>
      <c r="G27" s="20">
        <f>G28</f>
        <v>20000</v>
      </c>
      <c r="H27" s="20">
        <f>H28</f>
        <v>20000</v>
      </c>
      <c r="I27" s="444">
        <v>0</v>
      </c>
      <c r="J27" s="20">
        <f>J28</f>
        <v>20000</v>
      </c>
      <c r="K27" s="177">
        <f t="shared" si="0"/>
        <v>100</v>
      </c>
    </row>
    <row r="28" spans="2:12" ht="17.100000000000001" customHeight="1">
      <c r="B28" s="14"/>
      <c r="C28" s="15"/>
      <c r="D28" s="30"/>
      <c r="E28" s="55">
        <v>614200</v>
      </c>
      <c r="F28" s="52" t="s">
        <v>99</v>
      </c>
      <c r="G28" s="72">
        <v>20000</v>
      </c>
      <c r="H28" s="72">
        <v>20000</v>
      </c>
      <c r="I28" s="447">
        <v>0</v>
      </c>
      <c r="J28" s="72">
        <v>20000</v>
      </c>
      <c r="K28" s="135">
        <f t="shared" si="0"/>
        <v>100</v>
      </c>
    </row>
    <row r="29" spans="2:12" ht="17.100000000000001" customHeight="1">
      <c r="B29" s="14"/>
      <c r="C29" s="15"/>
      <c r="D29" s="15"/>
      <c r="E29" s="54"/>
      <c r="F29" s="15"/>
      <c r="G29" s="39"/>
      <c r="H29" s="39"/>
      <c r="I29" s="445"/>
      <c r="J29" s="39"/>
      <c r="K29" s="135" t="str">
        <f t="shared" si="0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20">
        <f>SUM(G31:G32)</f>
        <v>1000</v>
      </c>
      <c r="H30" s="20">
        <f>SUM(H31:H32)</f>
        <v>1000</v>
      </c>
      <c r="I30" s="444">
        <v>0</v>
      </c>
      <c r="J30" s="20">
        <f>SUM(J31:J32)</f>
        <v>0</v>
      </c>
      <c r="K30" s="177">
        <f t="shared" si="0"/>
        <v>0</v>
      </c>
    </row>
    <row r="31" spans="2:12" ht="17.100000000000001" customHeight="1">
      <c r="B31" s="14"/>
      <c r="C31" s="15"/>
      <c r="D31" s="15"/>
      <c r="E31" s="16">
        <v>821200</v>
      </c>
      <c r="F31" s="15" t="s">
        <v>91</v>
      </c>
      <c r="G31" s="72">
        <v>0</v>
      </c>
      <c r="H31" s="72">
        <v>0</v>
      </c>
      <c r="I31" s="447">
        <v>0</v>
      </c>
      <c r="J31" s="72">
        <v>0</v>
      </c>
      <c r="K31" s="135" t="str">
        <f t="shared" si="0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92</v>
      </c>
      <c r="G32" s="39">
        <v>1000</v>
      </c>
      <c r="H32" s="39">
        <v>1000</v>
      </c>
      <c r="I32" s="445">
        <v>0</v>
      </c>
      <c r="J32" s="39">
        <v>0</v>
      </c>
      <c r="K32" s="135">
        <f t="shared" si="0"/>
        <v>0</v>
      </c>
    </row>
    <row r="33" spans="2:11" ht="17.100000000000001" customHeight="1">
      <c r="B33" s="14"/>
      <c r="C33" s="15"/>
      <c r="D33" s="15"/>
      <c r="E33" s="16"/>
      <c r="F33" s="15"/>
      <c r="G33" s="39"/>
      <c r="H33" s="39"/>
      <c r="I33" s="445"/>
      <c r="J33" s="39"/>
      <c r="K33" s="135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93</v>
      </c>
      <c r="G34" s="96">
        <v>3</v>
      </c>
      <c r="H34" s="96">
        <v>3</v>
      </c>
      <c r="I34" s="448">
        <v>1</v>
      </c>
      <c r="J34" s="96">
        <v>2</v>
      </c>
      <c r="K34" s="135"/>
    </row>
    <row r="35" spans="2:11" s="1" customFormat="1" ht="17.100000000000001" customHeight="1">
      <c r="B35" s="17"/>
      <c r="C35" s="12"/>
      <c r="D35" s="12"/>
      <c r="E35" s="9"/>
      <c r="F35" s="12" t="s">
        <v>113</v>
      </c>
      <c r="G35" s="20">
        <f>G30+G27+G15+G12+G7</f>
        <v>87040</v>
      </c>
      <c r="H35" s="20">
        <f>H30+H27+H15+H12+H7</f>
        <v>87790</v>
      </c>
      <c r="I35" s="20">
        <f t="shared" ref="I35" si="1">I30+I27+I15+I12+I7</f>
        <v>20069</v>
      </c>
      <c r="J35" s="20">
        <f>J30+J27+J15+J12+J7</f>
        <v>50880</v>
      </c>
      <c r="K35" s="177">
        <f>IF(H35=0,"",J35/H35*100)</f>
        <v>57.95648707142044</v>
      </c>
    </row>
    <row r="36" spans="2:11" s="1" customFormat="1" ht="17.100000000000001" customHeight="1">
      <c r="B36" s="17"/>
      <c r="C36" s="12"/>
      <c r="D36" s="12"/>
      <c r="E36" s="9"/>
      <c r="F36" s="12" t="s">
        <v>94</v>
      </c>
      <c r="G36" s="20"/>
      <c r="H36" s="20"/>
      <c r="I36" s="20"/>
      <c r="J36" s="20"/>
      <c r="K36" s="137"/>
    </row>
    <row r="37" spans="2:11" s="1" customFormat="1" ht="17.100000000000001" customHeight="1">
      <c r="B37" s="17"/>
      <c r="C37" s="12"/>
      <c r="D37" s="12"/>
      <c r="E37" s="9"/>
      <c r="F37" s="12" t="s">
        <v>95</v>
      </c>
      <c r="G37" s="39"/>
      <c r="H37" s="39"/>
      <c r="I37" s="39"/>
      <c r="J37" s="39"/>
      <c r="K37" s="136"/>
    </row>
    <row r="38" spans="2:11" ht="17.100000000000001" customHeight="1" thickBot="1">
      <c r="B38" s="21"/>
      <c r="C38" s="22"/>
      <c r="D38" s="22"/>
      <c r="E38" s="23"/>
      <c r="F38" s="22"/>
      <c r="G38" s="22"/>
      <c r="H38" s="22"/>
      <c r="I38" s="22"/>
      <c r="J38" s="22"/>
      <c r="K38" s="138"/>
    </row>
    <row r="39" spans="2:11" ht="17.100000000000001" customHeight="1"/>
    <row r="40" spans="2:11" ht="17.100000000000001" customHeight="1">
      <c r="B40" s="71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12</vt:i4>
      </vt:variant>
    </vt:vector>
  </HeadingPairs>
  <TitlesOfParts>
    <vt:vector size="57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2018-11-21T14:48:02Z</cp:lastPrinted>
  <dcterms:created xsi:type="dcterms:W3CDTF">2004-07-23T11:14:23Z</dcterms:created>
  <dcterms:modified xsi:type="dcterms:W3CDTF">2019-01-07T08:56:14Z</dcterms:modified>
</cp:coreProperties>
</file>