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21660" windowHeight="4785" tabRatio="964"/>
  </bookViews>
  <sheets>
    <sheet name="Naslovnica" sheetId="65120" r:id="rId1"/>
    <sheet name="Sadrzaj" sheetId="65121" r:id="rId2"/>
    <sheet name="Uvod" sheetId="304" r:id="rId3"/>
    <sheet name="CODE" sheetId="65119" state="veryHidden" r:id="rId4"/>
    <sheet name="Prihodi" sheetId="65139" r:id="rId5"/>
    <sheet name="Rashodi" sheetId="300" r:id="rId6"/>
    <sheet name="1" sheetId="16" r:id="rId7"/>
    <sheet name="3" sheetId="65065" r:id="rId8"/>
    <sheet name="4" sheetId="65066" r:id="rId9"/>
    <sheet name="5" sheetId="65067" r:id="rId10"/>
    <sheet name="6" sheetId="65099" r:id="rId11"/>
    <sheet name="7" sheetId="65123" r:id="rId12"/>
    <sheet name="8" sheetId="65068" r:id="rId13"/>
    <sheet name="9" sheetId="65069" r:id="rId14"/>
    <sheet name="10" sheetId="65070" r:id="rId15"/>
    <sheet name="11" sheetId="65071" r:id="rId16"/>
    <sheet name="12" sheetId="65074" r:id="rId17"/>
    <sheet name="13" sheetId="65100" r:id="rId18"/>
    <sheet name="14" sheetId="65115" r:id="rId19"/>
    <sheet name="15" sheetId="65075" r:id="rId20"/>
    <sheet name="16" sheetId="65076" r:id="rId21"/>
    <sheet name="17" sheetId="65077" r:id="rId22"/>
    <sheet name="18" sheetId="65078" r:id="rId23"/>
    <sheet name="19" sheetId="65079" r:id="rId24"/>
    <sheet name="20" sheetId="65080" r:id="rId25"/>
    <sheet name="21" sheetId="65082" r:id="rId26"/>
    <sheet name="22" sheetId="65081" r:id="rId27"/>
    <sheet name="23" sheetId="65122" r:id="rId28"/>
    <sheet name="24" sheetId="65083" r:id="rId29"/>
    <sheet name="25" sheetId="65084" r:id="rId30"/>
    <sheet name="26" sheetId="65085" r:id="rId31"/>
    <sheet name="27" sheetId="65086" r:id="rId32"/>
    <sheet name="28" sheetId="65087" r:id="rId33"/>
    <sheet name="29" sheetId="65088" r:id="rId34"/>
    <sheet name="30" sheetId="65089" r:id="rId35"/>
    <sheet name="31" sheetId="65093" r:id="rId36"/>
    <sheet name="32" sheetId="65094" r:id="rId37"/>
    <sheet name="33" sheetId="65095" r:id="rId38"/>
    <sheet name="34" sheetId="65096" r:id="rId39"/>
    <sheet name="35" sheetId="65097" r:id="rId40"/>
    <sheet name="36" sheetId="65098" r:id="rId41"/>
    <sheet name="37" sheetId="65105" r:id="rId42"/>
    <sheet name="Sumarno" sheetId="65124" r:id="rId43"/>
    <sheet name="Funkcijska" sheetId="65137" r:id="rId44"/>
    <sheet name="Kap.pror." sheetId="65125" r:id="rId45"/>
    <sheet name="Kraj" sheetId="65061" r:id="rId46"/>
  </sheets>
  <definedNames>
    <definedName name="ACCOUNTEDPERIODTYPE1">#REF!</definedName>
    <definedName name="APPSUSERNAME1">#REF!</definedName>
    <definedName name="BUDGETORGID1">#REF!</definedName>
    <definedName name="BUDGETORGNAME1">#REF!</definedName>
    <definedName name="CHARTOFACCOUNTSID1">#REF!</definedName>
    <definedName name="CONNECTSTRING1">#REF!</definedName>
    <definedName name="CREATESUMMARYJNLS1">#REF!</definedName>
    <definedName name="CRITERIACOLUMN1">#REF!</definedName>
    <definedName name="DBNAME1">#REF!</definedName>
    <definedName name="DBUSERNAME1">#REF!</definedName>
    <definedName name="DELETELOGICTYPE1">#REF!</definedName>
    <definedName name="FFAPPCOLNAME1_1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APPCOLNAME6_1">#REF!</definedName>
    <definedName name="FFSEGMENT1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MENT6_1">#REF!</definedName>
    <definedName name="FFSEGSEPARATOR1">#REF!</definedName>
    <definedName name="FIELDNAMECOLUMN1">#REF!</definedName>
    <definedName name="FIELDNAMEROW1">#REF!</definedName>
    <definedName name="FIRSTDATAROW1">#REF!</definedName>
    <definedName name="FNDNAM1">#REF!</definedName>
    <definedName name="FNDUSERID1">#REF!</definedName>
    <definedName name="FUNCTIONALCURRENCY1">#REF!</definedName>
    <definedName name="GWYUID1">#REF!</definedName>
    <definedName name="IMPORTDFF1">#REF!</definedName>
    <definedName name="_xlnm.Print_Titles" localSheetId="43">Funkcijska!$1:$6</definedName>
    <definedName name="_xlnm.Print_Titles" localSheetId="4">Prihodi!$2:$4</definedName>
    <definedName name="_xlnm.Print_Titles" localSheetId="5">Rashodi!$1:$6</definedName>
    <definedName name="LABELTEXTCOLUMN1">#REF!</definedName>
    <definedName name="LABELTEXTROW1">#REF!</definedName>
    <definedName name="NOOFFFSEGMENTS1">#REF!</definedName>
    <definedName name="NUMBEROFDETAILFIELDS1">#REF!</definedName>
    <definedName name="NUMBEROFHEADERFIELDS1">#REF!</definedName>
    <definedName name="PERIODSETNAME1">#REF!</definedName>
    <definedName name="_xlnm.Print_Area" localSheetId="19">'15'!$A$1:$N$42</definedName>
    <definedName name="_xlnm.Print_Area" localSheetId="20">'16'!$A$1:$N$54</definedName>
    <definedName name="_xlnm.Print_Area" localSheetId="21">'17'!$A$1:$N$44</definedName>
    <definedName name="_xlnm.Print_Area" localSheetId="25">'21'!$A$1:$N$36</definedName>
    <definedName name="_xlnm.Print_Area" localSheetId="43">Funkcijska!$A$7:$G$106</definedName>
    <definedName name="_xlnm.Print_Area" localSheetId="45">Kraj!$A$1:$H$23</definedName>
    <definedName name="_xlnm.Print_Area" localSheetId="4">Prihodi!$B$4:$H$214</definedName>
    <definedName name="_xlnm.Print_Area" localSheetId="5">Rashodi!$C$7:$L$119</definedName>
    <definedName name="_xlnm.Print_Area" localSheetId="1">Sadrzaj!$A$1:$U$33</definedName>
    <definedName name="_xlnm.Print_Area" localSheetId="2">Uvod!$B$1:$G$45</definedName>
    <definedName name="POSTERRORSTOSUSP1">#REF!</definedName>
    <definedName name="RESPONSIBILITYAPPLICATIONID1">#REF!</definedName>
    <definedName name="RESPONSIBILITYID1">#REF!</definedName>
    <definedName name="RESPONSIBILITYNAME1">#REF!</definedName>
    <definedName name="ROWSTOUPLOAD1">#REF!</definedName>
    <definedName name="SETOFBOOKSID1">#REF!</definedName>
    <definedName name="SETOFBOOKSNAME1">#REF!</definedName>
    <definedName name="STARTJOURNALIMPORT1">#REF!</definedName>
    <definedName name="TEMPLATENUMBER1">#REF!</definedName>
    <definedName name="TEMPLATESTYLE1">#REF!</definedName>
    <definedName name="TEMPLATETYPE1">#REF!</definedName>
  </definedNames>
  <calcPr calcId="125725"/>
</workbook>
</file>

<file path=xl/calcChain.xml><?xml version="1.0" encoding="utf-8"?>
<calcChain xmlns="http://schemas.openxmlformats.org/spreadsheetml/2006/main">
  <c r="G144" i="65139"/>
  <c r="K14" i="65078"/>
  <c r="K10"/>
  <c r="K9"/>
  <c r="F15" i="304" l="1"/>
  <c r="E15"/>
  <c r="D15"/>
  <c r="M9" i="65065"/>
  <c r="K14" i="16"/>
  <c r="K10"/>
  <c r="K9"/>
  <c r="K10" i="65079" l="1"/>
  <c r="M28" i="65074"/>
  <c r="I28"/>
  <c r="J28"/>
  <c r="K28"/>
  <c r="L28"/>
  <c r="F60" i="65137"/>
  <c r="F70"/>
  <c r="K32" i="65077" l="1"/>
  <c r="K35" i="65122" l="1"/>
  <c r="H34" i="65100"/>
  <c r="L34" i="65123"/>
  <c r="L35" i="16"/>
  <c r="I35"/>
  <c r="J35"/>
  <c r="H35"/>
  <c r="L34"/>
  <c r="I34"/>
  <c r="J34"/>
  <c r="H34"/>
  <c r="K34" i="65089"/>
  <c r="L35" i="65122"/>
  <c r="K10" i="65067"/>
  <c r="K14"/>
  <c r="K9"/>
  <c r="K13" i="65076"/>
  <c r="K17"/>
  <c r="K12"/>
  <c r="K10" i="65094"/>
  <c r="K14"/>
  <c r="K9"/>
  <c r="K10" i="65074"/>
  <c r="K14"/>
  <c r="K9"/>
  <c r="K10" i="65093"/>
  <c r="K14"/>
  <c r="K9"/>
  <c r="K10" i="65075" l="1"/>
  <c r="K14"/>
  <c r="K9"/>
  <c r="K10" i="65070"/>
  <c r="K14"/>
  <c r="K9"/>
  <c r="K14" i="65098"/>
  <c r="K9"/>
  <c r="K10" i="65080"/>
  <c r="K14"/>
  <c r="K9"/>
  <c r="K9" i="65082"/>
  <c r="K10"/>
  <c r="K14" i="65084"/>
  <c r="K9"/>
  <c r="K10"/>
  <c r="K14" i="65079"/>
  <c r="K9"/>
  <c r="K10" i="65069"/>
  <c r="K14"/>
  <c r="K9"/>
  <c r="K10" i="65077" l="1"/>
  <c r="K14"/>
  <c r="K9"/>
  <c r="K14" i="65096"/>
  <c r="K9"/>
  <c r="K14" i="65089"/>
  <c r="K9"/>
  <c r="K14" i="65088"/>
  <c r="K9"/>
  <c r="K14" i="65086"/>
  <c r="K9"/>
  <c r="K14" i="65085"/>
  <c r="K9"/>
  <c r="K14" i="65083"/>
  <c r="K9"/>
  <c r="K14" i="65122"/>
  <c r="K9"/>
  <c r="K14" i="65081"/>
  <c r="K9"/>
  <c r="K14" i="65082"/>
  <c r="K14" i="65071"/>
  <c r="K9"/>
  <c r="K19" i="65065"/>
  <c r="L31" i="65079"/>
  <c r="G120" i="65139"/>
  <c r="G118"/>
  <c r="G87"/>
  <c r="K34" i="65095"/>
  <c r="L32" i="65079"/>
  <c r="E187" i="65139"/>
  <c r="G189"/>
  <c r="G187" s="1"/>
  <c r="H195"/>
  <c r="H194"/>
  <c r="L31" i="65122"/>
  <c r="M30" i="65077" l="1"/>
  <c r="G34" i="65139" l="1"/>
  <c r="G17"/>
  <c r="G92" i="300" l="1"/>
  <c r="H92"/>
  <c r="I92"/>
  <c r="I91" s="1"/>
  <c r="J92"/>
  <c r="F92"/>
  <c r="M30" i="16"/>
  <c r="M29"/>
  <c r="M26"/>
  <c r="M25"/>
  <c r="M24"/>
  <c r="M23"/>
  <c r="M22"/>
  <c r="M21"/>
  <c r="M20"/>
  <c r="M19"/>
  <c r="M18"/>
  <c r="M17"/>
  <c r="M11"/>
  <c r="M53" i="65065"/>
  <c r="M52"/>
  <c r="M51"/>
  <c r="M48"/>
  <c r="K92" i="300" s="1"/>
  <c r="M45" i="65065"/>
  <c r="M44"/>
  <c r="M43"/>
  <c r="M42"/>
  <c r="M41"/>
  <c r="M40"/>
  <c r="M39"/>
  <c r="M38"/>
  <c r="M37"/>
  <c r="M36"/>
  <c r="M35"/>
  <c r="M32"/>
  <c r="M31"/>
  <c r="M30"/>
  <c r="M29"/>
  <c r="M28"/>
  <c r="M27"/>
  <c r="M26"/>
  <c r="M25"/>
  <c r="M24"/>
  <c r="M23"/>
  <c r="M22"/>
  <c r="M16"/>
  <c r="M11"/>
  <c r="M10"/>
  <c r="M33" i="65066"/>
  <c r="M32"/>
  <c r="M29"/>
  <c r="M26"/>
  <c r="M25"/>
  <c r="M24"/>
  <c r="M23"/>
  <c r="M22"/>
  <c r="M21"/>
  <c r="M20"/>
  <c r="M19"/>
  <c r="M18"/>
  <c r="M17"/>
  <c r="M11"/>
  <c r="M30" i="65067"/>
  <c r="M29"/>
  <c r="M26"/>
  <c r="M25"/>
  <c r="M24"/>
  <c r="M23"/>
  <c r="M22"/>
  <c r="M21"/>
  <c r="M20"/>
  <c r="M19"/>
  <c r="M18"/>
  <c r="M17"/>
  <c r="M11"/>
  <c r="M30" i="65099"/>
  <c r="M29"/>
  <c r="M26"/>
  <c r="M25"/>
  <c r="M24"/>
  <c r="M23"/>
  <c r="M22"/>
  <c r="M21"/>
  <c r="M20"/>
  <c r="M19"/>
  <c r="M18"/>
  <c r="M17"/>
  <c r="M11"/>
  <c r="M30" i="65123"/>
  <c r="M29"/>
  <c r="M26"/>
  <c r="M25"/>
  <c r="M24"/>
  <c r="M23"/>
  <c r="M22"/>
  <c r="M21"/>
  <c r="M20"/>
  <c r="M19"/>
  <c r="M18"/>
  <c r="M17"/>
  <c r="M11"/>
  <c r="M30" i="65068"/>
  <c r="M29"/>
  <c r="M26"/>
  <c r="M25"/>
  <c r="M24"/>
  <c r="M23"/>
  <c r="M22"/>
  <c r="M21"/>
  <c r="M20"/>
  <c r="M19"/>
  <c r="M18"/>
  <c r="M17"/>
  <c r="M11"/>
  <c r="M30" i="65069"/>
  <c r="M29"/>
  <c r="M26"/>
  <c r="M25"/>
  <c r="M24"/>
  <c r="M23"/>
  <c r="M22"/>
  <c r="M21"/>
  <c r="M20"/>
  <c r="M19"/>
  <c r="M18"/>
  <c r="M17"/>
  <c r="M11"/>
  <c r="M30" i="65070"/>
  <c r="M29"/>
  <c r="M26"/>
  <c r="M25"/>
  <c r="M24"/>
  <c r="M23"/>
  <c r="M22"/>
  <c r="M21"/>
  <c r="M20"/>
  <c r="M19"/>
  <c r="M18"/>
  <c r="M17"/>
  <c r="M11"/>
  <c r="M31" i="65071"/>
  <c r="M30"/>
  <c r="M26"/>
  <c r="M25"/>
  <c r="M24"/>
  <c r="M23"/>
  <c r="M22"/>
  <c r="M21"/>
  <c r="M20"/>
  <c r="M19"/>
  <c r="M18"/>
  <c r="M17"/>
  <c r="M11"/>
  <c r="M30" i="65074"/>
  <c r="M29"/>
  <c r="M26"/>
  <c r="M25"/>
  <c r="M24"/>
  <c r="M23"/>
  <c r="M22"/>
  <c r="M21"/>
  <c r="M20"/>
  <c r="M19"/>
  <c r="M18"/>
  <c r="M17"/>
  <c r="M11"/>
  <c r="M30" i="65100"/>
  <c r="M29"/>
  <c r="M26"/>
  <c r="M25"/>
  <c r="M24"/>
  <c r="M23"/>
  <c r="M22"/>
  <c r="M21"/>
  <c r="M20"/>
  <c r="M19"/>
  <c r="M18"/>
  <c r="M17"/>
  <c r="M11"/>
  <c r="M30" i="65115"/>
  <c r="M29"/>
  <c r="M26"/>
  <c r="M25"/>
  <c r="M24"/>
  <c r="M23"/>
  <c r="M22"/>
  <c r="M21"/>
  <c r="M20"/>
  <c r="M19"/>
  <c r="M18"/>
  <c r="M17"/>
  <c r="M11"/>
  <c r="M34" i="65075"/>
  <c r="M33"/>
  <c r="M30"/>
  <c r="M27"/>
  <c r="M26"/>
  <c r="M25"/>
  <c r="M24"/>
  <c r="M23"/>
  <c r="M22"/>
  <c r="M21"/>
  <c r="M20"/>
  <c r="M19"/>
  <c r="M18"/>
  <c r="M17"/>
  <c r="M11"/>
  <c r="M47" i="65076"/>
  <c r="M46"/>
  <c r="M43"/>
  <c r="M42"/>
  <c r="M39"/>
  <c r="M38"/>
  <c r="M35"/>
  <c r="M34"/>
  <c r="M33"/>
  <c r="M30"/>
  <c r="M26"/>
  <c r="M25"/>
  <c r="M24"/>
  <c r="M21"/>
  <c r="M20"/>
  <c r="N20" s="1"/>
  <c r="N21"/>
  <c r="N24"/>
  <c r="N25"/>
  <c r="N26"/>
  <c r="N30"/>
  <c r="M14"/>
  <c r="M9"/>
  <c r="M36" i="65077"/>
  <c r="M35"/>
  <c r="M32"/>
  <c r="M31"/>
  <c r="M29"/>
  <c r="M26"/>
  <c r="M25"/>
  <c r="M24"/>
  <c r="M23"/>
  <c r="M22"/>
  <c r="M21"/>
  <c r="M20"/>
  <c r="M19"/>
  <c r="M18"/>
  <c r="M17"/>
  <c r="M11"/>
  <c r="M36" i="65078"/>
  <c r="M35"/>
  <c r="M34"/>
  <c r="M31"/>
  <c r="M30"/>
  <c r="M27"/>
  <c r="M26"/>
  <c r="M25"/>
  <c r="M24"/>
  <c r="M23"/>
  <c r="M22"/>
  <c r="M21"/>
  <c r="M20"/>
  <c r="M19"/>
  <c r="M18"/>
  <c r="M17"/>
  <c r="M11"/>
  <c r="M36" i="65079"/>
  <c r="M35"/>
  <c r="M32"/>
  <c r="M31"/>
  <c r="M30"/>
  <c r="M29"/>
  <c r="M26"/>
  <c r="M25"/>
  <c r="M24"/>
  <c r="M23"/>
  <c r="M22"/>
  <c r="M21"/>
  <c r="M20"/>
  <c r="M19"/>
  <c r="M18"/>
  <c r="M17"/>
  <c r="M11"/>
  <c r="I52" i="65080"/>
  <c r="J52"/>
  <c r="M49"/>
  <c r="M46"/>
  <c r="M45"/>
  <c r="M42"/>
  <c r="M39"/>
  <c r="M38"/>
  <c r="M37"/>
  <c r="M36"/>
  <c r="M35"/>
  <c r="M34"/>
  <c r="F63" i="65137" s="1"/>
  <c r="M33" i="65080"/>
  <c r="F62" i="65137" s="1"/>
  <c r="M32" i="65080"/>
  <c r="M31"/>
  <c r="M28"/>
  <c r="M27"/>
  <c r="M26"/>
  <c r="M25"/>
  <c r="M24"/>
  <c r="M23"/>
  <c r="M22"/>
  <c r="M21"/>
  <c r="M20"/>
  <c r="M19"/>
  <c r="M18"/>
  <c r="M17"/>
  <c r="M11"/>
  <c r="M30" i="65082"/>
  <c r="M29"/>
  <c r="M26"/>
  <c r="M25"/>
  <c r="M24"/>
  <c r="M23"/>
  <c r="M22"/>
  <c r="M21"/>
  <c r="M20"/>
  <c r="M19"/>
  <c r="M18"/>
  <c r="M17"/>
  <c r="M11"/>
  <c r="M30" i="65081"/>
  <c r="M29"/>
  <c r="M26"/>
  <c r="M25"/>
  <c r="M24"/>
  <c r="M23"/>
  <c r="M22"/>
  <c r="M21"/>
  <c r="M20"/>
  <c r="M19"/>
  <c r="M18"/>
  <c r="M17"/>
  <c r="M11"/>
  <c r="M31" i="65122"/>
  <c r="M30"/>
  <c r="M27"/>
  <c r="M26"/>
  <c r="M25"/>
  <c r="M24"/>
  <c r="M23"/>
  <c r="M22"/>
  <c r="M21"/>
  <c r="M20"/>
  <c r="M19"/>
  <c r="M18"/>
  <c r="M17"/>
  <c r="M11"/>
  <c r="M30" i="65083"/>
  <c r="M29"/>
  <c r="M26"/>
  <c r="M25"/>
  <c r="M24"/>
  <c r="M23"/>
  <c r="M22"/>
  <c r="M21"/>
  <c r="M20"/>
  <c r="M19"/>
  <c r="M18"/>
  <c r="M17"/>
  <c r="M11"/>
  <c r="M30" i="65084"/>
  <c r="M29"/>
  <c r="M26"/>
  <c r="M25"/>
  <c r="M24"/>
  <c r="M23"/>
  <c r="M22"/>
  <c r="M21"/>
  <c r="M20"/>
  <c r="M19"/>
  <c r="M18"/>
  <c r="M17"/>
  <c r="M11"/>
  <c r="M30" i="65085"/>
  <c r="M29"/>
  <c r="M26"/>
  <c r="M25"/>
  <c r="M24"/>
  <c r="M23"/>
  <c r="M22"/>
  <c r="M21"/>
  <c r="M20"/>
  <c r="M19"/>
  <c r="M18"/>
  <c r="M17"/>
  <c r="M11"/>
  <c r="M30" i="65086"/>
  <c r="M29"/>
  <c r="M26"/>
  <c r="M25"/>
  <c r="M24"/>
  <c r="M23"/>
  <c r="M22"/>
  <c r="M21"/>
  <c r="M20"/>
  <c r="M19"/>
  <c r="M18"/>
  <c r="M17"/>
  <c r="M11"/>
  <c r="M30" i="65087"/>
  <c r="M29"/>
  <c r="M26"/>
  <c r="M25"/>
  <c r="M24"/>
  <c r="M23"/>
  <c r="M22"/>
  <c r="M21"/>
  <c r="M20"/>
  <c r="M19"/>
  <c r="M18"/>
  <c r="M17"/>
  <c r="M11"/>
  <c r="M30" i="65088"/>
  <c r="M29"/>
  <c r="M26"/>
  <c r="M25"/>
  <c r="M24"/>
  <c r="M23"/>
  <c r="M22"/>
  <c r="M21"/>
  <c r="M20"/>
  <c r="M19"/>
  <c r="M18"/>
  <c r="M17"/>
  <c r="M11"/>
  <c r="M30" i="65089"/>
  <c r="M29"/>
  <c r="M26"/>
  <c r="M25"/>
  <c r="M24"/>
  <c r="M23"/>
  <c r="M22"/>
  <c r="M21"/>
  <c r="M20"/>
  <c r="M19"/>
  <c r="M18"/>
  <c r="M17"/>
  <c r="M11"/>
  <c r="M33" i="65093"/>
  <c r="M32"/>
  <c r="M29"/>
  <c r="M26"/>
  <c r="M25"/>
  <c r="M24"/>
  <c r="M23"/>
  <c r="M22"/>
  <c r="M21"/>
  <c r="M20"/>
  <c r="M19"/>
  <c r="M18"/>
  <c r="M17"/>
  <c r="M11"/>
  <c r="M30" i="65094"/>
  <c r="M29"/>
  <c r="M26"/>
  <c r="M25"/>
  <c r="M24"/>
  <c r="M23"/>
  <c r="M22"/>
  <c r="M21"/>
  <c r="M20"/>
  <c r="M19"/>
  <c r="M18"/>
  <c r="M17"/>
  <c r="M11"/>
  <c r="M34" i="65095"/>
  <c r="M33"/>
  <c r="M30"/>
  <c r="M29"/>
  <c r="M26"/>
  <c r="M25"/>
  <c r="M24"/>
  <c r="M23"/>
  <c r="M22"/>
  <c r="M21"/>
  <c r="M20"/>
  <c r="M19"/>
  <c r="M18"/>
  <c r="M17"/>
  <c r="M11"/>
  <c r="M30" i="65096"/>
  <c r="M29"/>
  <c r="M26"/>
  <c r="M25"/>
  <c r="M24"/>
  <c r="M23"/>
  <c r="M22"/>
  <c r="M21"/>
  <c r="M20"/>
  <c r="M19"/>
  <c r="M18"/>
  <c r="M17"/>
  <c r="M11"/>
  <c r="M30" i="65097"/>
  <c r="M29"/>
  <c r="M26"/>
  <c r="M25"/>
  <c r="M24"/>
  <c r="M23"/>
  <c r="M22"/>
  <c r="M21"/>
  <c r="M20"/>
  <c r="M19"/>
  <c r="M18"/>
  <c r="M17"/>
  <c r="M11"/>
  <c r="M30" i="65098"/>
  <c r="M29"/>
  <c r="M26"/>
  <c r="M25"/>
  <c r="M24"/>
  <c r="M23"/>
  <c r="M22"/>
  <c r="M21"/>
  <c r="M20"/>
  <c r="M19"/>
  <c r="M18"/>
  <c r="M17"/>
  <c r="M11"/>
  <c r="M30" i="65105"/>
  <c r="M29"/>
  <c r="M26"/>
  <c r="M25"/>
  <c r="M24"/>
  <c r="M23"/>
  <c r="M22"/>
  <c r="M21"/>
  <c r="M20"/>
  <c r="M19"/>
  <c r="M18"/>
  <c r="M17"/>
  <c r="M11"/>
  <c r="N12" i="65065"/>
  <c r="N17"/>
  <c r="N20"/>
  <c r="N33"/>
  <c r="N46"/>
  <c r="N49"/>
  <c r="I108" i="300"/>
  <c r="I107"/>
  <c r="I106"/>
  <c r="I103"/>
  <c r="I102"/>
  <c r="I101"/>
  <c r="I100"/>
  <c r="I97"/>
  <c r="I96"/>
  <c r="I95"/>
  <c r="I89"/>
  <c r="I88"/>
  <c r="I86"/>
  <c r="I85"/>
  <c r="I84"/>
  <c r="I83"/>
  <c r="I81"/>
  <c r="I80"/>
  <c r="I79"/>
  <c r="I78"/>
  <c r="I77"/>
  <c r="I76"/>
  <c r="I75"/>
  <c r="I74"/>
  <c r="I73"/>
  <c r="I72"/>
  <c r="I71"/>
  <c r="I69"/>
  <c r="I68"/>
  <c r="I67"/>
  <c r="I66"/>
  <c r="I65"/>
  <c r="I64"/>
  <c r="I63"/>
  <c r="I62"/>
  <c r="I61"/>
  <c r="I59"/>
  <c r="I58"/>
  <c r="I57"/>
  <c r="I56"/>
  <c r="I55"/>
  <c r="I54"/>
  <c r="I53"/>
  <c r="I52"/>
  <c r="I51"/>
  <c r="I50"/>
  <c r="I49"/>
  <c r="I48"/>
  <c r="I44"/>
  <c r="I43"/>
  <c r="I42"/>
  <c r="I41"/>
  <c r="I39"/>
  <c r="I36"/>
  <c r="I33"/>
  <c r="I32"/>
  <c r="I30"/>
  <c r="I29"/>
  <c r="I26"/>
  <c r="I25"/>
  <c r="I19"/>
  <c r="I13"/>
  <c r="I12"/>
  <c r="I11"/>
  <c r="I10"/>
  <c r="J108"/>
  <c r="J107"/>
  <c r="J106"/>
  <c r="J103"/>
  <c r="J102"/>
  <c r="J101"/>
  <c r="J100"/>
  <c r="J97"/>
  <c r="J96"/>
  <c r="J95"/>
  <c r="J91"/>
  <c r="J89"/>
  <c r="J88"/>
  <c r="J86"/>
  <c r="J85"/>
  <c r="J84"/>
  <c r="J83"/>
  <c r="J81"/>
  <c r="J80"/>
  <c r="J79"/>
  <c r="J78"/>
  <c r="J77"/>
  <c r="J76"/>
  <c r="J75"/>
  <c r="J74"/>
  <c r="J73"/>
  <c r="J72"/>
  <c r="J71"/>
  <c r="J69"/>
  <c r="J68"/>
  <c r="J67"/>
  <c r="J66"/>
  <c r="J65"/>
  <c r="J64"/>
  <c r="J63"/>
  <c r="J62"/>
  <c r="J61"/>
  <c r="J59"/>
  <c r="J58"/>
  <c r="J57"/>
  <c r="J56"/>
  <c r="J55"/>
  <c r="J54"/>
  <c r="J53"/>
  <c r="J52"/>
  <c r="J51"/>
  <c r="J50"/>
  <c r="J49"/>
  <c r="J48"/>
  <c r="J44"/>
  <c r="J43"/>
  <c r="J42"/>
  <c r="J41"/>
  <c r="J40"/>
  <c r="J39"/>
  <c r="J38"/>
  <c r="J36"/>
  <c r="J35"/>
  <c r="J33"/>
  <c r="J32"/>
  <c r="J30"/>
  <c r="J29"/>
  <c r="J28"/>
  <c r="J27"/>
  <c r="J26"/>
  <c r="J25"/>
  <c r="J19"/>
  <c r="J13"/>
  <c r="J12"/>
  <c r="J11"/>
  <c r="J10"/>
  <c r="K50" i="65065"/>
  <c r="K47"/>
  <c r="K34"/>
  <c r="K21"/>
  <c r="M19"/>
  <c r="K15"/>
  <c r="M15" s="1"/>
  <c r="K14"/>
  <c r="M14" s="1"/>
  <c r="K8"/>
  <c r="K31" i="65066"/>
  <c r="K28"/>
  <c r="K16"/>
  <c r="K14"/>
  <c r="M14" s="1"/>
  <c r="K13"/>
  <c r="K10"/>
  <c r="M10" s="1"/>
  <c r="K9"/>
  <c r="K8" s="1"/>
  <c r="K28" i="65067"/>
  <c r="K16"/>
  <c r="M14"/>
  <c r="K13"/>
  <c r="M10"/>
  <c r="K8"/>
  <c r="K28" i="65099"/>
  <c r="K16"/>
  <c r="K14"/>
  <c r="M14" s="1"/>
  <c r="K13"/>
  <c r="K10"/>
  <c r="M10" s="1"/>
  <c r="K9"/>
  <c r="K8" s="1"/>
  <c r="K28" i="65123"/>
  <c r="K16"/>
  <c r="K14"/>
  <c r="M14" s="1"/>
  <c r="K13"/>
  <c r="K10"/>
  <c r="M10" s="1"/>
  <c r="K9"/>
  <c r="K8" s="1"/>
  <c r="K28" i="65068"/>
  <c r="K16"/>
  <c r="K14"/>
  <c r="M14" s="1"/>
  <c r="K13"/>
  <c r="K10"/>
  <c r="M10" s="1"/>
  <c r="K9"/>
  <c r="K8" s="1"/>
  <c r="K28" i="65069"/>
  <c r="K16"/>
  <c r="M14"/>
  <c r="K13"/>
  <c r="M10"/>
  <c r="K8"/>
  <c r="K28" i="65070"/>
  <c r="K16"/>
  <c r="M14"/>
  <c r="K13"/>
  <c r="M10"/>
  <c r="K8"/>
  <c r="K29" i="65071"/>
  <c r="K16"/>
  <c r="M14"/>
  <c r="K13"/>
  <c r="K10"/>
  <c r="M10" s="1"/>
  <c r="K8"/>
  <c r="K16" i="65074"/>
  <c r="M14"/>
  <c r="M10"/>
  <c r="K28" i="65100"/>
  <c r="K16"/>
  <c r="K14"/>
  <c r="M14" s="1"/>
  <c r="K10"/>
  <c r="M10" s="1"/>
  <c r="K9"/>
  <c r="K28" i="65115"/>
  <c r="K16"/>
  <c r="K14"/>
  <c r="M14" s="1"/>
  <c r="K10"/>
  <c r="M10" s="1"/>
  <c r="K9"/>
  <c r="K32" i="65075"/>
  <c r="K29"/>
  <c r="K16"/>
  <c r="M14"/>
  <c r="K13"/>
  <c r="M10"/>
  <c r="K8"/>
  <c r="K45" i="65076"/>
  <c r="K41"/>
  <c r="K37"/>
  <c r="K32"/>
  <c r="K29"/>
  <c r="M29" s="1"/>
  <c r="N29" s="1"/>
  <c r="K28"/>
  <c r="M28" s="1"/>
  <c r="N28" s="1"/>
  <c r="K27"/>
  <c r="M27" s="1"/>
  <c r="N27" s="1"/>
  <c r="K23"/>
  <c r="I28" i="300" s="1"/>
  <c r="K22" i="65076"/>
  <c r="M22" s="1"/>
  <c r="N22" s="1"/>
  <c r="K19"/>
  <c r="M17"/>
  <c r="K16"/>
  <c r="M13"/>
  <c r="K11"/>
  <c r="K8"/>
  <c r="K34" i="65077"/>
  <c r="K28"/>
  <c r="K16"/>
  <c r="M14"/>
  <c r="K13"/>
  <c r="M10"/>
  <c r="K8"/>
  <c r="K33" i="65078"/>
  <c r="K29"/>
  <c r="K16"/>
  <c r="M14"/>
  <c r="M10"/>
  <c r="K34" i="65079"/>
  <c r="K28"/>
  <c r="K16"/>
  <c r="M14"/>
  <c r="K13"/>
  <c r="M10"/>
  <c r="K8"/>
  <c r="K48" i="65080"/>
  <c r="K44"/>
  <c r="K41"/>
  <c r="K30"/>
  <c r="K16"/>
  <c r="M14"/>
  <c r="M10"/>
  <c r="K28" i="65082"/>
  <c r="K16"/>
  <c r="M14"/>
  <c r="M10"/>
  <c r="K28" i="65081"/>
  <c r="K16"/>
  <c r="M14"/>
  <c r="K10"/>
  <c r="M10" s="1"/>
  <c r="K29" i="65122"/>
  <c r="K16"/>
  <c r="M14"/>
  <c r="K10"/>
  <c r="M10" s="1"/>
  <c r="K28" i="65083"/>
  <c r="K16"/>
  <c r="M14"/>
  <c r="K10"/>
  <c r="M10" s="1"/>
  <c r="K28" i="65084"/>
  <c r="K16"/>
  <c r="M14"/>
  <c r="M10"/>
  <c r="K28" i="65085"/>
  <c r="K16"/>
  <c r="M14"/>
  <c r="K10"/>
  <c r="M10" s="1"/>
  <c r="K28" i="65086"/>
  <c r="K16"/>
  <c r="M14"/>
  <c r="K10"/>
  <c r="M10" s="1"/>
  <c r="K28" i="65087"/>
  <c r="K16"/>
  <c r="K14"/>
  <c r="M14" s="1"/>
  <c r="K10"/>
  <c r="M10" s="1"/>
  <c r="K9"/>
  <c r="K28" i="65088"/>
  <c r="K16"/>
  <c r="M14"/>
  <c r="K10"/>
  <c r="M10" s="1"/>
  <c r="K28" i="65089"/>
  <c r="K16"/>
  <c r="M14"/>
  <c r="K10"/>
  <c r="M10" s="1"/>
  <c r="K31" i="65093"/>
  <c r="K28"/>
  <c r="K16"/>
  <c r="M14"/>
  <c r="K13"/>
  <c r="M10"/>
  <c r="K8"/>
  <c r="K36" s="1"/>
  <c r="K37" s="1"/>
  <c r="K38" s="1"/>
  <c r="K28" i="65094"/>
  <c r="K16"/>
  <c r="M14"/>
  <c r="K13"/>
  <c r="M10"/>
  <c r="K8"/>
  <c r="K33" s="1"/>
  <c r="K34" s="1"/>
  <c r="K35" s="1"/>
  <c r="K32" i="65095"/>
  <c r="K28"/>
  <c r="K16"/>
  <c r="K14"/>
  <c r="M14" s="1"/>
  <c r="K10"/>
  <c r="M10" s="1"/>
  <c r="K9"/>
  <c r="K28" i="65096"/>
  <c r="K16"/>
  <c r="M14"/>
  <c r="K10"/>
  <c r="M10" s="1"/>
  <c r="K28" i="65097"/>
  <c r="K16"/>
  <c r="K14"/>
  <c r="M14" s="1"/>
  <c r="K10"/>
  <c r="M10" s="1"/>
  <c r="K9"/>
  <c r="K28" i="65098"/>
  <c r="K16"/>
  <c r="M14"/>
  <c r="K10"/>
  <c r="M10" s="1"/>
  <c r="K28" i="65105"/>
  <c r="K16"/>
  <c r="K14"/>
  <c r="M14" s="1"/>
  <c r="K10"/>
  <c r="M10" s="1"/>
  <c r="K9"/>
  <c r="K28" i="16"/>
  <c r="K16"/>
  <c r="M14"/>
  <c r="M10"/>
  <c r="L50" i="65065"/>
  <c r="L47"/>
  <c r="L34"/>
  <c r="L21"/>
  <c r="L18"/>
  <c r="J18" i="300"/>
  <c r="J16"/>
  <c r="L8" i="65065"/>
  <c r="L31" i="65066"/>
  <c r="L28"/>
  <c r="L16"/>
  <c r="L13"/>
  <c r="L8"/>
  <c r="L28" i="65067"/>
  <c r="L16"/>
  <c r="L13"/>
  <c r="L8"/>
  <c r="L28" i="65099"/>
  <c r="L16"/>
  <c r="L13"/>
  <c r="L8"/>
  <c r="L28" i="65123"/>
  <c r="L16"/>
  <c r="L13"/>
  <c r="L8"/>
  <c r="L28" i="65068"/>
  <c r="L16"/>
  <c r="L13"/>
  <c r="L8"/>
  <c r="L28" i="65069"/>
  <c r="L16"/>
  <c r="L13"/>
  <c r="L8"/>
  <c r="L28" i="65070"/>
  <c r="L16"/>
  <c r="L13"/>
  <c r="L8"/>
  <c r="L29" i="65071"/>
  <c r="L16"/>
  <c r="L13"/>
  <c r="L8"/>
  <c r="L16" i="65074"/>
  <c r="L13"/>
  <c r="L8"/>
  <c r="L28" i="65100"/>
  <c r="L16"/>
  <c r="L13"/>
  <c r="L8"/>
  <c r="L28" i="65115"/>
  <c r="L16"/>
  <c r="L13"/>
  <c r="L8"/>
  <c r="L32" i="65075"/>
  <c r="L29"/>
  <c r="L16"/>
  <c r="L13"/>
  <c r="L8"/>
  <c r="L45" i="65076"/>
  <c r="L41"/>
  <c r="L37"/>
  <c r="L32"/>
  <c r="L19"/>
  <c r="L16"/>
  <c r="L11"/>
  <c r="L8"/>
  <c r="L34" i="65077"/>
  <c r="L28"/>
  <c r="L16"/>
  <c r="L13"/>
  <c r="L8"/>
  <c r="L33" i="65078"/>
  <c r="L29"/>
  <c r="L16"/>
  <c r="L13"/>
  <c r="L8"/>
  <c r="L34" i="65079"/>
  <c r="L28"/>
  <c r="L16"/>
  <c r="L13"/>
  <c r="L8"/>
  <c r="L48" i="65080"/>
  <c r="L44"/>
  <c r="L41"/>
  <c r="L30"/>
  <c r="L16"/>
  <c r="L13"/>
  <c r="L8"/>
  <c r="L28" i="65082"/>
  <c r="L16"/>
  <c r="L13"/>
  <c r="L8"/>
  <c r="L28" i="65081"/>
  <c r="L16"/>
  <c r="L13"/>
  <c r="L8"/>
  <c r="L29" i="65122"/>
  <c r="L16"/>
  <c r="L13"/>
  <c r="L8"/>
  <c r="L28" i="65083"/>
  <c r="L16"/>
  <c r="L13"/>
  <c r="L8"/>
  <c r="L28" i="65084"/>
  <c r="L16"/>
  <c r="L13"/>
  <c r="L8"/>
  <c r="L28" i="65085"/>
  <c r="L16"/>
  <c r="L13"/>
  <c r="L8"/>
  <c r="L28" i="65086"/>
  <c r="L16"/>
  <c r="L13"/>
  <c r="L8"/>
  <c r="L28" i="65087"/>
  <c r="L16"/>
  <c r="L13"/>
  <c r="L8"/>
  <c r="L28" i="65088"/>
  <c r="L16"/>
  <c r="L13"/>
  <c r="L8"/>
  <c r="L28" i="65089"/>
  <c r="L16"/>
  <c r="L13"/>
  <c r="L8"/>
  <c r="L31" i="65093"/>
  <c r="L28"/>
  <c r="L16"/>
  <c r="L13"/>
  <c r="L8"/>
  <c r="L28" i="65094"/>
  <c r="L16"/>
  <c r="L13"/>
  <c r="L8"/>
  <c r="L32" i="65095"/>
  <c r="L28"/>
  <c r="L16"/>
  <c r="L13"/>
  <c r="L8"/>
  <c r="L28" i="65096"/>
  <c r="L16"/>
  <c r="L13"/>
  <c r="L8"/>
  <c r="L28" i="65097"/>
  <c r="L16"/>
  <c r="L13"/>
  <c r="L8"/>
  <c r="L28" i="65098"/>
  <c r="L16"/>
  <c r="L13"/>
  <c r="L8"/>
  <c r="L28" i="65105"/>
  <c r="L16"/>
  <c r="L13"/>
  <c r="L8"/>
  <c r="L28" i="16"/>
  <c r="L16"/>
  <c r="L13"/>
  <c r="L8"/>
  <c r="J105" i="300" l="1"/>
  <c r="L52" i="65080"/>
  <c r="J47" i="300"/>
  <c r="K33" i="65067"/>
  <c r="K33" i="65068"/>
  <c r="K34" s="1"/>
  <c r="K35" s="1"/>
  <c r="K33" i="65123"/>
  <c r="K33" i="65099"/>
  <c r="K37" i="65075"/>
  <c r="K38" s="1"/>
  <c r="K39" s="1"/>
  <c r="K33" i="65070"/>
  <c r="K34" i="65071"/>
  <c r="K35" s="1"/>
  <c r="K39" i="65079"/>
  <c r="K40" s="1"/>
  <c r="K41" s="1"/>
  <c r="K33" i="65069"/>
  <c r="K34" s="1"/>
  <c r="K35" s="1"/>
  <c r="K39" i="65077"/>
  <c r="K40" s="1"/>
  <c r="K41" s="1"/>
  <c r="K8" i="16"/>
  <c r="K13"/>
  <c r="K8" i="65105"/>
  <c r="K33" s="1"/>
  <c r="K34" s="1"/>
  <c r="K35" s="1"/>
  <c r="K13"/>
  <c r="K8" i="65098"/>
  <c r="K13"/>
  <c r="K8" i="65097"/>
  <c r="K33" s="1"/>
  <c r="K34" s="1"/>
  <c r="K35" s="1"/>
  <c r="K13"/>
  <c r="K8" i="65096"/>
  <c r="K13"/>
  <c r="K8" i="65095"/>
  <c r="K37" s="1"/>
  <c r="K38" s="1"/>
  <c r="K39" s="1"/>
  <c r="K13"/>
  <c r="K8" i="65089"/>
  <c r="K13"/>
  <c r="K8" i="65088"/>
  <c r="K33" s="1"/>
  <c r="K13"/>
  <c r="K8" i="65087"/>
  <c r="K33" s="1"/>
  <c r="K13"/>
  <c r="K8" i="65086"/>
  <c r="K33" s="1"/>
  <c r="K13"/>
  <c r="K8" i="65085"/>
  <c r="K13"/>
  <c r="K8" i="65084"/>
  <c r="K13"/>
  <c r="K8" i="65083"/>
  <c r="K13"/>
  <c r="K8" i="65122"/>
  <c r="K34" s="1"/>
  <c r="K13"/>
  <c r="K8" i="65081"/>
  <c r="K13"/>
  <c r="K8" i="65082"/>
  <c r="K13"/>
  <c r="K8" i="65080"/>
  <c r="K52" s="1"/>
  <c r="K35" i="65089" s="1"/>
  <c r="K13" i="65080"/>
  <c r="K8" i="65078"/>
  <c r="K39" s="1"/>
  <c r="K40" s="1"/>
  <c r="K41" s="1"/>
  <c r="K13"/>
  <c r="K8" i="65115"/>
  <c r="K33" s="1"/>
  <c r="K34" s="1"/>
  <c r="K13"/>
  <c r="K8" i="65100"/>
  <c r="K33" s="1"/>
  <c r="K13"/>
  <c r="K8" i="65074"/>
  <c r="K33" s="1"/>
  <c r="K34" i="65100" s="1"/>
  <c r="K35" i="65115" s="1"/>
  <c r="K13" i="65074"/>
  <c r="I27" i="300"/>
  <c r="I35"/>
  <c r="I34" s="1"/>
  <c r="I38"/>
  <c r="I37" s="1"/>
  <c r="I40"/>
  <c r="M9" i="65089"/>
  <c r="M9" i="65088"/>
  <c r="M9" i="65087"/>
  <c r="M9" i="65086"/>
  <c r="M9" i="65085"/>
  <c r="M9" i="65084"/>
  <c r="M9" i="65083"/>
  <c r="M9" i="65122"/>
  <c r="M12" i="65076"/>
  <c r="M23"/>
  <c r="N23" s="1"/>
  <c r="M9" i="65105"/>
  <c r="M9" i="65098"/>
  <c r="M9" i="65097"/>
  <c r="M9" i="65096"/>
  <c r="M9" i="65095"/>
  <c r="M9" i="65094"/>
  <c r="M9" i="65093"/>
  <c r="M9" i="65081"/>
  <c r="M9" i="65082"/>
  <c r="M9" i="65079"/>
  <c r="M9" i="65078"/>
  <c r="M9" i="65077"/>
  <c r="M9" i="65075"/>
  <c r="M9" i="65115"/>
  <c r="M9" i="65100"/>
  <c r="M9" i="65074"/>
  <c r="M9" i="65071"/>
  <c r="M9" i="65070"/>
  <c r="M9" i="65069"/>
  <c r="M9" i="65068"/>
  <c r="M9" i="65123"/>
  <c r="M9" i="65099"/>
  <c r="M9" i="65067"/>
  <c r="M9" i="65066"/>
  <c r="M9" i="16"/>
  <c r="I47" i="300"/>
  <c r="I87"/>
  <c r="I99"/>
  <c r="I105"/>
  <c r="I18"/>
  <c r="I17" s="1"/>
  <c r="M9" i="65080"/>
  <c r="I22" i="300"/>
  <c r="I21" s="1"/>
  <c r="L33" i="65105"/>
  <c r="L34" s="1"/>
  <c r="L35" s="1"/>
  <c r="L33" i="65098"/>
  <c r="L34" s="1"/>
  <c r="L35" s="1"/>
  <c r="L33" i="65097"/>
  <c r="L34" s="1"/>
  <c r="L35" s="1"/>
  <c r="L33" i="65096"/>
  <c r="L34" s="1"/>
  <c r="L35" s="1"/>
  <c r="L37" i="65095"/>
  <c r="L38" s="1"/>
  <c r="L39" s="1"/>
  <c r="L33" i="65094"/>
  <c r="L34" s="1"/>
  <c r="L35" s="1"/>
  <c r="L36" i="65093"/>
  <c r="L37" s="1"/>
  <c r="L38" s="1"/>
  <c r="L33" i="65089"/>
  <c r="L33" i="65088"/>
  <c r="L33" i="65087"/>
  <c r="L33" i="65086"/>
  <c r="L33" i="65085"/>
  <c r="L33" i="65084"/>
  <c r="L33" i="65083"/>
  <c r="L34" i="65122"/>
  <c r="L33" i="65081"/>
  <c r="L33" i="65082"/>
  <c r="L39" i="65079"/>
  <c r="L40" s="1"/>
  <c r="L41" s="1"/>
  <c r="L39" i="65078"/>
  <c r="L40" s="1"/>
  <c r="L41" s="1"/>
  <c r="L39" i="65077"/>
  <c r="L40" s="1"/>
  <c r="L41" s="1"/>
  <c r="L37" i="65075"/>
  <c r="L38" s="1"/>
  <c r="L39" s="1"/>
  <c r="L33" i="65115"/>
  <c r="L34" s="1"/>
  <c r="L33" i="65100"/>
  <c r="L33" i="65074"/>
  <c r="L34" i="65100" s="1"/>
  <c r="L35" i="65115" s="1"/>
  <c r="L34" i="65071"/>
  <c r="L35" s="1"/>
  <c r="L33" i="65070"/>
  <c r="L33" i="65069"/>
  <c r="L34" s="1"/>
  <c r="L35" s="1"/>
  <c r="L33" i="65068"/>
  <c r="L34" s="1"/>
  <c r="L35" s="1"/>
  <c r="L33" i="65123"/>
  <c r="L33" i="65099"/>
  <c r="L33" i="65067"/>
  <c r="L36" i="65066"/>
  <c r="J31" i="300"/>
  <c r="L13" i="65065"/>
  <c r="L56" s="1"/>
  <c r="K13"/>
  <c r="K18"/>
  <c r="J9" i="300"/>
  <c r="J34"/>
  <c r="I9"/>
  <c r="I16"/>
  <c r="J22"/>
  <c r="J21" s="1"/>
  <c r="J70"/>
  <c r="I70"/>
  <c r="L33" i="16"/>
  <c r="J87" i="300"/>
  <c r="J99"/>
  <c r="I31"/>
  <c r="I60"/>
  <c r="I82"/>
  <c r="I94"/>
  <c r="J17"/>
  <c r="J15" s="1"/>
  <c r="J37"/>
  <c r="J60"/>
  <c r="J82"/>
  <c r="J94"/>
  <c r="K50" i="65076"/>
  <c r="K51" s="1"/>
  <c r="K52" s="1"/>
  <c r="K36" i="65066"/>
  <c r="L50" i="65076"/>
  <c r="L51" s="1"/>
  <c r="L52" s="1"/>
  <c r="L34" i="65089" l="1"/>
  <c r="L35" s="1"/>
  <c r="K33" i="16"/>
  <c r="K34" s="1"/>
  <c r="K35" s="1"/>
  <c r="K33" i="65098"/>
  <c r="K34" s="1"/>
  <c r="K35" s="1"/>
  <c r="I15" i="300"/>
  <c r="K33" i="65096"/>
  <c r="K34" s="1"/>
  <c r="K35" s="1"/>
  <c r="K33" i="65089"/>
  <c r="K33" i="65085"/>
  <c r="K33" i="65084"/>
  <c r="K33" i="65083"/>
  <c r="K33" i="65081"/>
  <c r="K33" i="65082"/>
  <c r="I24" i="300"/>
  <c r="K56" i="65065"/>
  <c r="J46" i="300"/>
  <c r="J24"/>
  <c r="I46"/>
  <c r="J111"/>
  <c r="I7"/>
  <c r="J7"/>
  <c r="F153" i="65139"/>
  <c r="G153"/>
  <c r="D153"/>
  <c r="H154"/>
  <c r="I111" i="300" l="1"/>
  <c r="K34" i="65123"/>
  <c r="G12" i="65139"/>
  <c r="G7"/>
  <c r="G64" i="300"/>
  <c r="H64"/>
  <c r="K64"/>
  <c r="G65"/>
  <c r="H65"/>
  <c r="K65"/>
  <c r="F65"/>
  <c r="F64"/>
  <c r="G57"/>
  <c r="H57"/>
  <c r="K57"/>
  <c r="G58"/>
  <c r="H58"/>
  <c r="K58"/>
  <c r="F58"/>
  <c r="F57"/>
  <c r="N33" i="65080"/>
  <c r="J28" i="65077"/>
  <c r="M28"/>
  <c r="H28"/>
  <c r="H16" i="300"/>
  <c r="H18"/>
  <c r="K18"/>
  <c r="G19"/>
  <c r="H19"/>
  <c r="K19"/>
  <c r="H22"/>
  <c r="K22"/>
  <c r="G25"/>
  <c r="H25"/>
  <c r="K25"/>
  <c r="G26"/>
  <c r="H26"/>
  <c r="K26"/>
  <c r="G27"/>
  <c r="H27"/>
  <c r="K27"/>
  <c r="G28"/>
  <c r="H28"/>
  <c r="K28"/>
  <c r="G29"/>
  <c r="H29"/>
  <c r="K29"/>
  <c r="G30"/>
  <c r="H30"/>
  <c r="K30"/>
  <c r="G32"/>
  <c r="H32"/>
  <c r="K32"/>
  <c r="G35"/>
  <c r="H35"/>
  <c r="K35"/>
  <c r="G38"/>
  <c r="H38"/>
  <c r="K38"/>
  <c r="G42"/>
  <c r="H42"/>
  <c r="K42"/>
  <c r="G100"/>
  <c r="H100"/>
  <c r="K100"/>
  <c r="G101"/>
  <c r="H101"/>
  <c r="K101"/>
  <c r="F100"/>
  <c r="F38"/>
  <c r="F35"/>
  <c r="F32"/>
  <c r="F30"/>
  <c r="F29"/>
  <c r="F28"/>
  <c r="F27"/>
  <c r="F26"/>
  <c r="F25"/>
  <c r="I56" i="65065"/>
  <c r="I33" i="65070"/>
  <c r="E29" i="65137" s="1"/>
  <c r="I34" i="65071"/>
  <c r="I33" i="65115"/>
  <c r="I34" s="1"/>
  <c r="I34" i="65077"/>
  <c r="G22" i="300"/>
  <c r="G18"/>
  <c r="I34" i="65122"/>
  <c r="H50" i="65065"/>
  <c r="H47"/>
  <c r="H34"/>
  <c r="H32"/>
  <c r="F42" i="300" s="1"/>
  <c r="H19" i="65065"/>
  <c r="H18" s="1"/>
  <c r="H16"/>
  <c r="F19" i="300" s="1"/>
  <c r="H15" i="65065"/>
  <c r="H14"/>
  <c r="H8"/>
  <c r="H31" i="65066"/>
  <c r="H28"/>
  <c r="H16"/>
  <c r="H14"/>
  <c r="H13"/>
  <c r="H10"/>
  <c r="H9"/>
  <c r="H8" s="1"/>
  <c r="H28" i="65067"/>
  <c r="H16"/>
  <c r="H14"/>
  <c r="H13" s="1"/>
  <c r="H10"/>
  <c r="H9"/>
  <c r="H28" i="65099"/>
  <c r="H16"/>
  <c r="H14"/>
  <c r="H13" s="1"/>
  <c r="H10"/>
  <c r="H9"/>
  <c r="H28" i="65123"/>
  <c r="H16"/>
  <c r="H14"/>
  <c r="H13" s="1"/>
  <c r="H10"/>
  <c r="H9"/>
  <c r="H8" s="1"/>
  <c r="H33" s="1"/>
  <c r="H28" i="65068"/>
  <c r="H16"/>
  <c r="H14"/>
  <c r="H13" s="1"/>
  <c r="H10"/>
  <c r="H9"/>
  <c r="H8"/>
  <c r="H32" i="65069"/>
  <c r="H28"/>
  <c r="H16"/>
  <c r="H14"/>
  <c r="H13" s="1"/>
  <c r="H10"/>
  <c r="H9"/>
  <c r="H8" s="1"/>
  <c r="H33" s="1"/>
  <c r="H34" s="1"/>
  <c r="H35" s="1"/>
  <c r="H28" i="65070"/>
  <c r="H16"/>
  <c r="H14"/>
  <c r="H13" s="1"/>
  <c r="H10"/>
  <c r="H9"/>
  <c r="H29" i="65071"/>
  <c r="H16"/>
  <c r="H14"/>
  <c r="H13" s="1"/>
  <c r="H10"/>
  <c r="H9"/>
  <c r="H8" s="1"/>
  <c r="H34" s="1"/>
  <c r="H35" s="1"/>
  <c r="H28" i="65074"/>
  <c r="H16"/>
  <c r="H14"/>
  <c r="H13" s="1"/>
  <c r="H10"/>
  <c r="H9"/>
  <c r="H28" i="65100"/>
  <c r="H16"/>
  <c r="H14"/>
  <c r="H13" s="1"/>
  <c r="H10"/>
  <c r="H9"/>
  <c r="H28" i="65115"/>
  <c r="H16"/>
  <c r="H14"/>
  <c r="H13" s="1"/>
  <c r="H10"/>
  <c r="H9"/>
  <c r="H32" i="65075"/>
  <c r="H29"/>
  <c r="H16"/>
  <c r="H14"/>
  <c r="H13"/>
  <c r="H10"/>
  <c r="H9"/>
  <c r="H8" s="1"/>
  <c r="H37" s="1"/>
  <c r="H38" s="1"/>
  <c r="H39" s="1"/>
  <c r="H45" i="65076"/>
  <c r="H41"/>
  <c r="H37"/>
  <c r="H32"/>
  <c r="H19"/>
  <c r="H17"/>
  <c r="H16" s="1"/>
  <c r="H13"/>
  <c r="H12"/>
  <c r="H8"/>
  <c r="H34" i="65077"/>
  <c r="H16"/>
  <c r="H14"/>
  <c r="H13" s="1"/>
  <c r="H10"/>
  <c r="H9"/>
  <c r="H33" i="65078"/>
  <c r="H29"/>
  <c r="H16"/>
  <c r="H14"/>
  <c r="H13"/>
  <c r="H10"/>
  <c r="H9"/>
  <c r="H8" s="1"/>
  <c r="H39" s="1"/>
  <c r="H40" s="1"/>
  <c r="H41" s="1"/>
  <c r="H34" i="65079"/>
  <c r="H28"/>
  <c r="H16"/>
  <c r="H14"/>
  <c r="H13" s="1"/>
  <c r="H10"/>
  <c r="H9"/>
  <c r="H48" i="65080"/>
  <c r="H44"/>
  <c r="H41"/>
  <c r="H30"/>
  <c r="H16"/>
  <c r="H14"/>
  <c r="H10"/>
  <c r="H9"/>
  <c r="H28" i="65082"/>
  <c r="H16"/>
  <c r="H14"/>
  <c r="H13" s="1"/>
  <c r="H10"/>
  <c r="H9"/>
  <c r="H28" i="65081"/>
  <c r="H16"/>
  <c r="H14"/>
  <c r="H13" s="1"/>
  <c r="H10"/>
  <c r="H9"/>
  <c r="H31" i="65122"/>
  <c r="H29" s="1"/>
  <c r="H16"/>
  <c r="H14"/>
  <c r="H13" s="1"/>
  <c r="H10"/>
  <c r="H9"/>
  <c r="H28" i="65083"/>
  <c r="H16"/>
  <c r="H14"/>
  <c r="H13" s="1"/>
  <c r="H10"/>
  <c r="H9"/>
  <c r="H28" i="65084"/>
  <c r="H16"/>
  <c r="H14"/>
  <c r="H13" s="1"/>
  <c r="H10"/>
  <c r="H9"/>
  <c r="H28" i="65085"/>
  <c r="H16"/>
  <c r="H14"/>
  <c r="H13" s="1"/>
  <c r="H10"/>
  <c r="H9"/>
  <c r="H28" i="65086"/>
  <c r="H16"/>
  <c r="H14"/>
  <c r="H13" s="1"/>
  <c r="H10"/>
  <c r="H9"/>
  <c r="H28" i="65087"/>
  <c r="H16"/>
  <c r="H14"/>
  <c r="H13" s="1"/>
  <c r="H10"/>
  <c r="H9"/>
  <c r="H28" i="65088"/>
  <c r="H16"/>
  <c r="H14"/>
  <c r="H13" s="1"/>
  <c r="H10"/>
  <c r="H9"/>
  <c r="H28" i="65089"/>
  <c r="H16"/>
  <c r="H14"/>
  <c r="H13" s="1"/>
  <c r="H10"/>
  <c r="H9"/>
  <c r="H31" i="65093"/>
  <c r="H28"/>
  <c r="H16"/>
  <c r="H14"/>
  <c r="H13"/>
  <c r="H10"/>
  <c r="H9"/>
  <c r="H8" s="1"/>
  <c r="H36" s="1"/>
  <c r="H37" s="1"/>
  <c r="H38" s="1"/>
  <c r="H28" i="65094"/>
  <c r="H16"/>
  <c r="H14"/>
  <c r="H13" s="1"/>
  <c r="H10"/>
  <c r="H9"/>
  <c r="H32" i="65095"/>
  <c r="H28"/>
  <c r="H16"/>
  <c r="H14"/>
  <c r="H13" s="1"/>
  <c r="H10"/>
  <c r="H9"/>
  <c r="H8"/>
  <c r="H28" i="65096"/>
  <c r="H16"/>
  <c r="H14"/>
  <c r="H13"/>
  <c r="H10"/>
  <c r="H9"/>
  <c r="H8" s="1"/>
  <c r="H33" s="1"/>
  <c r="H34" s="1"/>
  <c r="H35" s="1"/>
  <c r="H28" i="65097"/>
  <c r="H16"/>
  <c r="H14"/>
  <c r="H13"/>
  <c r="H10"/>
  <c r="H9"/>
  <c r="H8" s="1"/>
  <c r="H33" s="1"/>
  <c r="H34" s="1"/>
  <c r="H35" s="1"/>
  <c r="H28" i="65098"/>
  <c r="H16"/>
  <c r="H14"/>
  <c r="H13"/>
  <c r="H10"/>
  <c r="H9"/>
  <c r="H8" s="1"/>
  <c r="H33" s="1"/>
  <c r="H34" s="1"/>
  <c r="H35" s="1"/>
  <c r="H28" i="65105"/>
  <c r="H16"/>
  <c r="H14"/>
  <c r="H13"/>
  <c r="H10"/>
  <c r="H9"/>
  <c r="H8" s="1"/>
  <c r="H33" s="1"/>
  <c r="H34" s="1"/>
  <c r="H35" s="1"/>
  <c r="H28" i="16"/>
  <c r="H16"/>
  <c r="H14"/>
  <c r="H13"/>
  <c r="H10"/>
  <c r="H9"/>
  <c r="H8" s="1"/>
  <c r="H33" s="1"/>
  <c r="H212" i="65139"/>
  <c r="E197"/>
  <c r="E196" s="1"/>
  <c r="F197"/>
  <c r="F196" s="1"/>
  <c r="G197"/>
  <c r="G196" s="1"/>
  <c r="D197"/>
  <c r="D196" s="1"/>
  <c r="H199"/>
  <c r="H198"/>
  <c r="H197"/>
  <c r="H192"/>
  <c r="F180"/>
  <c r="G180"/>
  <c r="D180"/>
  <c r="H185"/>
  <c r="H184"/>
  <c r="H183"/>
  <c r="F135"/>
  <c r="G135"/>
  <c r="D135"/>
  <c r="H136"/>
  <c r="F91"/>
  <c r="G91"/>
  <c r="D91"/>
  <c r="H92"/>
  <c r="H65"/>
  <c r="F47"/>
  <c r="G47"/>
  <c r="D47"/>
  <c r="D46" s="1"/>
  <c r="H48"/>
  <c r="H9"/>
  <c r="E211"/>
  <c r="E201"/>
  <c r="E178"/>
  <c r="E173"/>
  <c r="E172" s="1"/>
  <c r="E151"/>
  <c r="E150" s="1"/>
  <c r="E6"/>
  <c r="E5" s="1"/>
  <c r="D211"/>
  <c r="D202"/>
  <c r="D201" s="1"/>
  <c r="D19" i="304" s="1"/>
  <c r="D189" i="65139"/>
  <c r="D179"/>
  <c r="D178" s="1"/>
  <c r="D173"/>
  <c r="D172" s="1"/>
  <c r="D169"/>
  <c r="D167"/>
  <c r="D160"/>
  <c r="D159" s="1"/>
  <c r="D141"/>
  <c r="D140" s="1"/>
  <c r="D128"/>
  <c r="D122"/>
  <c r="D121" s="1"/>
  <c r="D120"/>
  <c r="D119" s="1"/>
  <c r="D118"/>
  <c r="D117" s="1"/>
  <c r="D115"/>
  <c r="D112"/>
  <c r="D107"/>
  <c r="D97"/>
  <c r="D96" s="1"/>
  <c r="D87"/>
  <c r="D86" s="1"/>
  <c r="D85" s="1"/>
  <c r="D82"/>
  <c r="D78"/>
  <c r="D76" s="1"/>
  <c r="D73"/>
  <c r="D71"/>
  <c r="D68"/>
  <c r="D66"/>
  <c r="D62"/>
  <c r="D59"/>
  <c r="D52"/>
  <c r="D51" s="1"/>
  <c r="D38"/>
  <c r="D37" s="1"/>
  <c r="D35"/>
  <c r="D33"/>
  <c r="D28"/>
  <c r="D20"/>
  <c r="D19" s="1"/>
  <c r="D16"/>
  <c r="D15" s="1"/>
  <c r="D12"/>
  <c r="D7"/>
  <c r="F169"/>
  <c r="G169"/>
  <c r="H171"/>
  <c r="K78" i="300"/>
  <c r="H78"/>
  <c r="G78"/>
  <c r="L78" s="1"/>
  <c r="F78"/>
  <c r="N44" i="65065"/>
  <c r="D34" i="304"/>
  <c r="L14" i="300"/>
  <c r="L20"/>
  <c r="L23"/>
  <c r="L45"/>
  <c r="L90"/>
  <c r="L93"/>
  <c r="L98"/>
  <c r="L104"/>
  <c r="L109"/>
  <c r="E72" i="65137"/>
  <c r="E65"/>
  <c r="E64"/>
  <c r="N33" i="65095"/>
  <c r="N34"/>
  <c r="N35"/>
  <c r="N34" i="65093"/>
  <c r="N36" i="65080"/>
  <c r="N37"/>
  <c r="N38"/>
  <c r="N39"/>
  <c r="N40"/>
  <c r="N42"/>
  <c r="N43"/>
  <c r="N45"/>
  <c r="N46"/>
  <c r="N47"/>
  <c r="N49"/>
  <c r="N50"/>
  <c r="N29" i="65079"/>
  <c r="N30"/>
  <c r="N31"/>
  <c r="N32"/>
  <c r="N33"/>
  <c r="N35"/>
  <c r="N36"/>
  <c r="N37"/>
  <c r="N34" i="65078"/>
  <c r="N35"/>
  <c r="N36"/>
  <c r="N37"/>
  <c r="N30" i="65077"/>
  <c r="N33"/>
  <c r="N35"/>
  <c r="N36"/>
  <c r="N37"/>
  <c r="N35" i="65076"/>
  <c r="N36"/>
  <c r="N38"/>
  <c r="N39"/>
  <c r="N40"/>
  <c r="N42"/>
  <c r="N43"/>
  <c r="N44"/>
  <c r="N46"/>
  <c r="N47"/>
  <c r="N48"/>
  <c r="N35" i="65065"/>
  <c r="N36"/>
  <c r="N37"/>
  <c r="N38"/>
  <c r="N39"/>
  <c r="N40"/>
  <c r="N41"/>
  <c r="N42"/>
  <c r="N43"/>
  <c r="N45"/>
  <c r="N48"/>
  <c r="N51"/>
  <c r="N52"/>
  <c r="N53"/>
  <c r="N54"/>
  <c r="N32" i="65093"/>
  <c r="N32" i="65122"/>
  <c r="N32" i="65080"/>
  <c r="N32" i="65078"/>
  <c r="N32" i="65071"/>
  <c r="N32" i="65066"/>
  <c r="N34"/>
  <c r="N34" i="65067"/>
  <c r="N35"/>
  <c r="N34" i="65099"/>
  <c r="N35"/>
  <c r="N34" i="65070"/>
  <c r="N35"/>
  <c r="N35" i="65074"/>
  <c r="N34" i="65075"/>
  <c r="N35"/>
  <c r="N34" i="65076"/>
  <c r="N34" i="65082"/>
  <c r="N35"/>
  <c r="N34" i="65081"/>
  <c r="N35"/>
  <c r="N34" i="65083"/>
  <c r="N35"/>
  <c r="N34" i="65084"/>
  <c r="N35"/>
  <c r="N34" i="65085"/>
  <c r="N35"/>
  <c r="N34" i="65086"/>
  <c r="N35"/>
  <c r="N34" i="65087"/>
  <c r="N35"/>
  <c r="N34" i="65088"/>
  <c r="N35"/>
  <c r="N10" i="65065"/>
  <c r="N11"/>
  <c r="N22"/>
  <c r="N23"/>
  <c r="N24"/>
  <c r="N25"/>
  <c r="N26"/>
  <c r="N27"/>
  <c r="N28"/>
  <c r="N29"/>
  <c r="N30"/>
  <c r="N31"/>
  <c r="N10" i="65066"/>
  <c r="N11"/>
  <c r="N12"/>
  <c r="N14"/>
  <c r="N15"/>
  <c r="N17"/>
  <c r="N18"/>
  <c r="N19"/>
  <c r="N20"/>
  <c r="N21"/>
  <c r="N22"/>
  <c r="N23"/>
  <c r="N24"/>
  <c r="N25"/>
  <c r="N26"/>
  <c r="N27"/>
  <c r="N29"/>
  <c r="N30"/>
  <c r="N33"/>
  <c r="N10" i="65067"/>
  <c r="N11"/>
  <c r="N12"/>
  <c r="N14"/>
  <c r="N15"/>
  <c r="N17"/>
  <c r="N18"/>
  <c r="N19"/>
  <c r="N20"/>
  <c r="N21"/>
  <c r="N22"/>
  <c r="N23"/>
  <c r="N24"/>
  <c r="N25"/>
  <c r="N26"/>
  <c r="N27"/>
  <c r="N29"/>
  <c r="N30"/>
  <c r="N31"/>
  <c r="N10" i="65099"/>
  <c r="N11"/>
  <c r="N12"/>
  <c r="N14"/>
  <c r="N15"/>
  <c r="N17"/>
  <c r="N18"/>
  <c r="N19"/>
  <c r="N20"/>
  <c r="N21"/>
  <c r="N22"/>
  <c r="N23"/>
  <c r="N24"/>
  <c r="N25"/>
  <c r="N26"/>
  <c r="N27"/>
  <c r="N29"/>
  <c r="N30"/>
  <c r="N31"/>
  <c r="N10" i="65123"/>
  <c r="N11"/>
  <c r="N12"/>
  <c r="N14"/>
  <c r="N15"/>
  <c r="N17"/>
  <c r="N18"/>
  <c r="N19"/>
  <c r="N20"/>
  <c r="N21"/>
  <c r="N22"/>
  <c r="N23"/>
  <c r="N24"/>
  <c r="N25"/>
  <c r="N26"/>
  <c r="N27"/>
  <c r="N29"/>
  <c r="N30"/>
  <c r="N31"/>
  <c r="N10" i="65068"/>
  <c r="N11"/>
  <c r="N12"/>
  <c r="N14"/>
  <c r="N15"/>
  <c r="N17"/>
  <c r="N18"/>
  <c r="N19"/>
  <c r="N20"/>
  <c r="N21"/>
  <c r="N22"/>
  <c r="N23"/>
  <c r="N24"/>
  <c r="N25"/>
  <c r="N26"/>
  <c r="N27"/>
  <c r="N29"/>
  <c r="N30"/>
  <c r="N31"/>
  <c r="N10" i="65069"/>
  <c r="N11"/>
  <c r="N12"/>
  <c r="N14"/>
  <c r="N15"/>
  <c r="N17"/>
  <c r="N18"/>
  <c r="N19"/>
  <c r="N20"/>
  <c r="N21"/>
  <c r="N22"/>
  <c r="N23"/>
  <c r="N24"/>
  <c r="N25"/>
  <c r="N26"/>
  <c r="N27"/>
  <c r="N29"/>
  <c r="N30"/>
  <c r="N31"/>
  <c r="N10" i="65070"/>
  <c r="N11"/>
  <c r="N12"/>
  <c r="N14"/>
  <c r="N15"/>
  <c r="N17"/>
  <c r="N18"/>
  <c r="N19"/>
  <c r="N20"/>
  <c r="N21"/>
  <c r="N22"/>
  <c r="N23"/>
  <c r="N24"/>
  <c r="N25"/>
  <c r="N26"/>
  <c r="N27"/>
  <c r="N29"/>
  <c r="N30"/>
  <c r="N31"/>
  <c r="N10" i="65071"/>
  <c r="N11"/>
  <c r="N12"/>
  <c r="N14"/>
  <c r="N15"/>
  <c r="N17"/>
  <c r="N18"/>
  <c r="N19"/>
  <c r="N20"/>
  <c r="N21"/>
  <c r="N22"/>
  <c r="N23"/>
  <c r="N24"/>
  <c r="N25"/>
  <c r="N26"/>
  <c r="N27"/>
  <c r="N28"/>
  <c r="N30"/>
  <c r="N31"/>
  <c r="N10" i="65074"/>
  <c r="N11"/>
  <c r="N12"/>
  <c r="N14"/>
  <c r="N15"/>
  <c r="N17"/>
  <c r="N18"/>
  <c r="N19"/>
  <c r="N20"/>
  <c r="N21"/>
  <c r="N22"/>
  <c r="N23"/>
  <c r="N24"/>
  <c r="N25"/>
  <c r="N26"/>
  <c r="N27"/>
  <c r="N29"/>
  <c r="N30"/>
  <c r="N31"/>
  <c r="N10" i="65100"/>
  <c r="N11"/>
  <c r="N12"/>
  <c r="N14"/>
  <c r="N15"/>
  <c r="N17"/>
  <c r="N18"/>
  <c r="N19"/>
  <c r="N20"/>
  <c r="N21"/>
  <c r="N22"/>
  <c r="N23"/>
  <c r="N24"/>
  <c r="N25"/>
  <c r="N26"/>
  <c r="N27"/>
  <c r="N29"/>
  <c r="N30"/>
  <c r="N31"/>
  <c r="N10" i="65115"/>
  <c r="N11"/>
  <c r="N12"/>
  <c r="N14"/>
  <c r="N15"/>
  <c r="N17"/>
  <c r="N18"/>
  <c r="N19"/>
  <c r="N20"/>
  <c r="N21"/>
  <c r="N22"/>
  <c r="N23"/>
  <c r="N24"/>
  <c r="N25"/>
  <c r="N26"/>
  <c r="N27"/>
  <c r="N29"/>
  <c r="N30"/>
  <c r="N31"/>
  <c r="N10" i="65075"/>
  <c r="N11"/>
  <c r="N12"/>
  <c r="N14"/>
  <c r="N15"/>
  <c r="N17"/>
  <c r="N18"/>
  <c r="N19"/>
  <c r="N20"/>
  <c r="N21"/>
  <c r="N22"/>
  <c r="N23"/>
  <c r="N24"/>
  <c r="N25"/>
  <c r="N26"/>
  <c r="N27"/>
  <c r="N28"/>
  <c r="N30"/>
  <c r="N31"/>
  <c r="N33"/>
  <c r="N10" i="65076"/>
  <c r="N14"/>
  <c r="N15"/>
  <c r="N18"/>
  <c r="N31"/>
  <c r="N33"/>
  <c r="N10" i="65077"/>
  <c r="N11"/>
  <c r="N12"/>
  <c r="N14"/>
  <c r="N15"/>
  <c r="N17"/>
  <c r="N18"/>
  <c r="N19"/>
  <c r="N20"/>
  <c r="N21"/>
  <c r="N22"/>
  <c r="N23"/>
  <c r="N24"/>
  <c r="N25"/>
  <c r="N26"/>
  <c r="N27"/>
  <c r="N29"/>
  <c r="N10" i="65078"/>
  <c r="N11"/>
  <c r="N12"/>
  <c r="N14"/>
  <c r="N15"/>
  <c r="N17"/>
  <c r="N18"/>
  <c r="N19"/>
  <c r="N20"/>
  <c r="N21"/>
  <c r="N22"/>
  <c r="N23"/>
  <c r="N24"/>
  <c r="N25"/>
  <c r="N26"/>
  <c r="N27"/>
  <c r="N28"/>
  <c r="N30"/>
  <c r="N31"/>
  <c r="N10" i="65079"/>
  <c r="N11"/>
  <c r="N12"/>
  <c r="N14"/>
  <c r="N15"/>
  <c r="N17"/>
  <c r="N18"/>
  <c r="N19"/>
  <c r="N20"/>
  <c r="N21"/>
  <c r="N22"/>
  <c r="N23"/>
  <c r="N24"/>
  <c r="N25"/>
  <c r="N26"/>
  <c r="N27"/>
  <c r="N10" i="65080"/>
  <c r="N11"/>
  <c r="N12"/>
  <c r="N14"/>
  <c r="N15"/>
  <c r="N17"/>
  <c r="N18"/>
  <c r="N19"/>
  <c r="N20"/>
  <c r="N21"/>
  <c r="N22"/>
  <c r="N23"/>
  <c r="N24"/>
  <c r="N25"/>
  <c r="N26"/>
  <c r="N27"/>
  <c r="N28"/>
  <c r="N29"/>
  <c r="N31"/>
  <c r="N35"/>
  <c r="N10" i="65082"/>
  <c r="N11"/>
  <c r="N12"/>
  <c r="N14"/>
  <c r="N15"/>
  <c r="N17"/>
  <c r="N18"/>
  <c r="N19"/>
  <c r="N20"/>
  <c r="N21"/>
  <c r="N22"/>
  <c r="N23"/>
  <c r="N24"/>
  <c r="N25"/>
  <c r="N26"/>
  <c r="N27"/>
  <c r="N29"/>
  <c r="N30"/>
  <c r="N31"/>
  <c r="N10" i="65081"/>
  <c r="N11"/>
  <c r="N12"/>
  <c r="N14"/>
  <c r="N15"/>
  <c r="N17"/>
  <c r="N18"/>
  <c r="N19"/>
  <c r="N20"/>
  <c r="N21"/>
  <c r="N22"/>
  <c r="N23"/>
  <c r="N24"/>
  <c r="N25"/>
  <c r="N26"/>
  <c r="N27"/>
  <c r="N29"/>
  <c r="N30"/>
  <c r="N31"/>
  <c r="N10" i="65122"/>
  <c r="N11"/>
  <c r="N12"/>
  <c r="N14"/>
  <c r="N15"/>
  <c r="N17"/>
  <c r="N18"/>
  <c r="N19"/>
  <c r="N20"/>
  <c r="N21"/>
  <c r="N22"/>
  <c r="N23"/>
  <c r="N24"/>
  <c r="N25"/>
  <c r="N26"/>
  <c r="N27"/>
  <c r="N28"/>
  <c r="N30"/>
  <c r="N31"/>
  <c r="N10" i="65083"/>
  <c r="N11"/>
  <c r="N12"/>
  <c r="N14"/>
  <c r="N15"/>
  <c r="N17"/>
  <c r="N18"/>
  <c r="N19"/>
  <c r="N20"/>
  <c r="N21"/>
  <c r="N22"/>
  <c r="N23"/>
  <c r="N24"/>
  <c r="N25"/>
  <c r="N26"/>
  <c r="N27"/>
  <c r="N29"/>
  <c r="N30"/>
  <c r="N31"/>
  <c r="N10" i="65084"/>
  <c r="N11"/>
  <c r="N12"/>
  <c r="N14"/>
  <c r="N15"/>
  <c r="N17"/>
  <c r="N18"/>
  <c r="N19"/>
  <c r="N20"/>
  <c r="N21"/>
  <c r="N22"/>
  <c r="N23"/>
  <c r="N24"/>
  <c r="N25"/>
  <c r="N26"/>
  <c r="N27"/>
  <c r="N29"/>
  <c r="N30"/>
  <c r="N31"/>
  <c r="N10" i="65085"/>
  <c r="N11"/>
  <c r="N12"/>
  <c r="N14"/>
  <c r="N15"/>
  <c r="N17"/>
  <c r="N18"/>
  <c r="N19"/>
  <c r="N20"/>
  <c r="N21"/>
  <c r="N22"/>
  <c r="N23"/>
  <c r="N24"/>
  <c r="N25"/>
  <c r="N26"/>
  <c r="N27"/>
  <c r="N29"/>
  <c r="N30"/>
  <c r="N31"/>
  <c r="N10" i="65086"/>
  <c r="N11"/>
  <c r="N12"/>
  <c r="N14"/>
  <c r="N15"/>
  <c r="N17"/>
  <c r="N18"/>
  <c r="N19"/>
  <c r="N20"/>
  <c r="N21"/>
  <c r="N22"/>
  <c r="N23"/>
  <c r="N24"/>
  <c r="N25"/>
  <c r="N26"/>
  <c r="N27"/>
  <c r="N29"/>
  <c r="N30"/>
  <c r="N31"/>
  <c r="N10" i="65087"/>
  <c r="N11"/>
  <c r="N12"/>
  <c r="N14"/>
  <c r="N15"/>
  <c r="N17"/>
  <c r="N18"/>
  <c r="N19"/>
  <c r="N20"/>
  <c r="N21"/>
  <c r="N22"/>
  <c r="N23"/>
  <c r="N24"/>
  <c r="N25"/>
  <c r="N26"/>
  <c r="N27"/>
  <c r="N29"/>
  <c r="N30"/>
  <c r="N31"/>
  <c r="N10" i="65088"/>
  <c r="N11"/>
  <c r="N12"/>
  <c r="N14"/>
  <c r="N15"/>
  <c r="N17"/>
  <c r="N18"/>
  <c r="N19"/>
  <c r="N20"/>
  <c r="N21"/>
  <c r="N22"/>
  <c r="N23"/>
  <c r="N24"/>
  <c r="N25"/>
  <c r="N26"/>
  <c r="N27"/>
  <c r="N29"/>
  <c r="N30"/>
  <c r="N31"/>
  <c r="N10" i="65089"/>
  <c r="N11"/>
  <c r="N12"/>
  <c r="N14"/>
  <c r="N15"/>
  <c r="N17"/>
  <c r="N18"/>
  <c r="N19"/>
  <c r="N20"/>
  <c r="N21"/>
  <c r="N22"/>
  <c r="N23"/>
  <c r="N24"/>
  <c r="N25"/>
  <c r="N26"/>
  <c r="N27"/>
  <c r="N29"/>
  <c r="N30"/>
  <c r="N31"/>
  <c r="N10" i="65093"/>
  <c r="N11"/>
  <c r="N12"/>
  <c r="N14"/>
  <c r="N15"/>
  <c r="N17"/>
  <c r="N18"/>
  <c r="N19"/>
  <c r="N20"/>
  <c r="N21"/>
  <c r="N22"/>
  <c r="N23"/>
  <c r="N24"/>
  <c r="N25"/>
  <c r="N26"/>
  <c r="N27"/>
  <c r="N29"/>
  <c r="N30"/>
  <c r="N33"/>
  <c r="N10" i="65094"/>
  <c r="N11"/>
  <c r="N12"/>
  <c r="N14"/>
  <c r="N15"/>
  <c r="N17"/>
  <c r="N18"/>
  <c r="N19"/>
  <c r="N20"/>
  <c r="N21"/>
  <c r="N22"/>
  <c r="N23"/>
  <c r="N24"/>
  <c r="N25"/>
  <c r="N26"/>
  <c r="N27"/>
  <c r="N28"/>
  <c r="N29"/>
  <c r="N30"/>
  <c r="N31"/>
  <c r="N10" i="65095"/>
  <c r="N11"/>
  <c r="N12"/>
  <c r="N14"/>
  <c r="N15"/>
  <c r="N17"/>
  <c r="N18"/>
  <c r="N19"/>
  <c r="N20"/>
  <c r="N21"/>
  <c r="N22"/>
  <c r="N23"/>
  <c r="N24"/>
  <c r="N25"/>
  <c r="N26"/>
  <c r="N27"/>
  <c r="N29"/>
  <c r="N30"/>
  <c r="N31"/>
  <c r="N10" i="65096"/>
  <c r="N11"/>
  <c r="N12"/>
  <c r="N14"/>
  <c r="N15"/>
  <c r="N17"/>
  <c r="N18"/>
  <c r="N19"/>
  <c r="N20"/>
  <c r="N21"/>
  <c r="N22"/>
  <c r="N23"/>
  <c r="N24"/>
  <c r="N25"/>
  <c r="N26"/>
  <c r="N27"/>
  <c r="N29"/>
  <c r="N30"/>
  <c r="N31"/>
  <c r="N10" i="65097"/>
  <c r="N11"/>
  <c r="N12"/>
  <c r="N14"/>
  <c r="N15"/>
  <c r="N17"/>
  <c r="N18"/>
  <c r="N19"/>
  <c r="N20"/>
  <c r="N21"/>
  <c r="N22"/>
  <c r="N23"/>
  <c r="N24"/>
  <c r="N25"/>
  <c r="N26"/>
  <c r="N27"/>
  <c r="N29"/>
  <c r="N30"/>
  <c r="N31"/>
  <c r="N10" i="65098"/>
  <c r="N11"/>
  <c r="N12"/>
  <c r="N14"/>
  <c r="N15"/>
  <c r="N17"/>
  <c r="N18"/>
  <c r="N19"/>
  <c r="N20"/>
  <c r="N21"/>
  <c r="N22"/>
  <c r="N23"/>
  <c r="N24"/>
  <c r="N25"/>
  <c r="N26"/>
  <c r="N27"/>
  <c r="N29"/>
  <c r="N30"/>
  <c r="N31"/>
  <c r="N10" i="65105"/>
  <c r="N11"/>
  <c r="N12"/>
  <c r="N14"/>
  <c r="N15"/>
  <c r="N17"/>
  <c r="N18"/>
  <c r="N19"/>
  <c r="N20"/>
  <c r="N21"/>
  <c r="N22"/>
  <c r="N23"/>
  <c r="N24"/>
  <c r="N25"/>
  <c r="N26"/>
  <c r="N27"/>
  <c r="N29"/>
  <c r="N30"/>
  <c r="N31"/>
  <c r="N10" i="16"/>
  <c r="N11"/>
  <c r="N12"/>
  <c r="N14"/>
  <c r="N15"/>
  <c r="N17"/>
  <c r="N18"/>
  <c r="N19"/>
  <c r="N20"/>
  <c r="N21"/>
  <c r="N22"/>
  <c r="N23"/>
  <c r="N24"/>
  <c r="N25"/>
  <c r="N26"/>
  <c r="N27"/>
  <c r="N29"/>
  <c r="N30"/>
  <c r="N31"/>
  <c r="N9" i="65065"/>
  <c r="N9" i="65066"/>
  <c r="N9" i="65067"/>
  <c r="N9" i="65099"/>
  <c r="N9" i="65123"/>
  <c r="N9" i="65068"/>
  <c r="N9" i="65069"/>
  <c r="N9" i="65070"/>
  <c r="N9" i="65071"/>
  <c r="N9" i="65074"/>
  <c r="N9" i="65100"/>
  <c r="N9" i="65115"/>
  <c r="N9" i="65075"/>
  <c r="N9" i="65076"/>
  <c r="N9" i="65077"/>
  <c r="N9" i="65078"/>
  <c r="N9" i="65079"/>
  <c r="N9" i="65080"/>
  <c r="N9" i="65082"/>
  <c r="N9" i="65081"/>
  <c r="N9" i="65122"/>
  <c r="N9" i="65083"/>
  <c r="N9" i="65084"/>
  <c r="N9" i="65085"/>
  <c r="N9" i="65086"/>
  <c r="N9" i="65087"/>
  <c r="N9" i="65088"/>
  <c r="N9" i="65089"/>
  <c r="N9" i="65093"/>
  <c r="N9" i="65094"/>
  <c r="N9" i="65095"/>
  <c r="N9" i="65096"/>
  <c r="N9" i="65097"/>
  <c r="N9" i="65098"/>
  <c r="N9" i="16"/>
  <c r="J33" i="65105"/>
  <c r="J34" s="1"/>
  <c r="J35" s="1"/>
  <c r="J33" i="65098"/>
  <c r="J34" s="1"/>
  <c r="J35" s="1"/>
  <c r="J33" i="65097"/>
  <c r="J34" s="1"/>
  <c r="J35" s="1"/>
  <c r="J33" i="65096"/>
  <c r="J34" s="1"/>
  <c r="J35" s="1"/>
  <c r="J37" i="65095"/>
  <c r="J38" s="1"/>
  <c r="J39" s="1"/>
  <c r="J33" i="65094"/>
  <c r="J34" s="1"/>
  <c r="J35" s="1"/>
  <c r="J36" i="65093"/>
  <c r="J37" s="1"/>
  <c r="J38" s="1"/>
  <c r="J33" i="65089"/>
  <c r="J33" i="65088"/>
  <c r="J33" i="65087"/>
  <c r="J33" i="65086"/>
  <c r="J33" i="65085"/>
  <c r="J33" i="65084"/>
  <c r="J33" i="65083"/>
  <c r="J34" i="65122"/>
  <c r="J33" i="65081"/>
  <c r="J33" i="65082"/>
  <c r="J39" i="65079"/>
  <c r="J40" s="1"/>
  <c r="J41" s="1"/>
  <c r="J39" i="65078"/>
  <c r="J40" s="1"/>
  <c r="J41" s="1"/>
  <c r="J39" i="65077"/>
  <c r="J40" s="1"/>
  <c r="J41" s="1"/>
  <c r="J50" i="65076"/>
  <c r="J51" s="1"/>
  <c r="J52" s="1"/>
  <c r="J37" i="65075"/>
  <c r="J38" s="1"/>
  <c r="J39" s="1"/>
  <c r="J33" i="65115"/>
  <c r="J34" s="1"/>
  <c r="J33" i="65100"/>
  <c r="J33" i="65074"/>
  <c r="J34" i="65100" s="1"/>
  <c r="J34" i="65071"/>
  <c r="J35" s="1"/>
  <c r="J33" i="65070"/>
  <c r="J33" i="65069"/>
  <c r="J34" s="1"/>
  <c r="J35" s="1"/>
  <c r="J33" i="65068"/>
  <c r="J34" s="1"/>
  <c r="J35" s="1"/>
  <c r="J33" i="65123"/>
  <c r="J33" i="65099"/>
  <c r="J33" i="65067"/>
  <c r="J36" i="65066"/>
  <c r="J33" i="16"/>
  <c r="G81" i="300"/>
  <c r="L81" s="1"/>
  <c r="H81"/>
  <c r="K81"/>
  <c r="F81"/>
  <c r="M28" i="65095"/>
  <c r="N28" s="1"/>
  <c r="N17" i="65076"/>
  <c r="D187" i="65139" l="1"/>
  <c r="D186" s="1"/>
  <c r="D177" s="1"/>
  <c r="D18" i="304" s="1"/>
  <c r="F18" i="300"/>
  <c r="H33" i="65068"/>
  <c r="H34" s="1"/>
  <c r="H35" s="1"/>
  <c r="F101" i="300"/>
  <c r="H8" i="65094"/>
  <c r="H33" s="1"/>
  <c r="H34" s="1"/>
  <c r="H35" s="1"/>
  <c r="H8" i="65089"/>
  <c r="H33" s="1"/>
  <c r="H8" i="65088"/>
  <c r="H33" s="1"/>
  <c r="H8" i="65087"/>
  <c r="H33" s="1"/>
  <c r="H8" i="65086"/>
  <c r="H33" s="1"/>
  <c r="H8" i="65085"/>
  <c r="H33" s="1"/>
  <c r="H8" i="65084"/>
  <c r="H33" s="1"/>
  <c r="H8" i="65083"/>
  <c r="H33" s="1"/>
  <c r="H8" i="65122"/>
  <c r="H34" s="1"/>
  <c r="H8" i="65081"/>
  <c r="H33" s="1"/>
  <c r="H8" i="65082"/>
  <c r="H33" s="1"/>
  <c r="H8" i="65079"/>
  <c r="H8" i="65077"/>
  <c r="H39" s="1"/>
  <c r="H40" s="1"/>
  <c r="H41" s="1"/>
  <c r="H8" i="65115"/>
  <c r="H33" s="1"/>
  <c r="H34" s="1"/>
  <c r="H8" i="65100"/>
  <c r="H33" s="1"/>
  <c r="H8" i="65074"/>
  <c r="H33" s="1"/>
  <c r="H8" i="65070"/>
  <c r="H33" s="1"/>
  <c r="H8" i="65099"/>
  <c r="H33" s="1"/>
  <c r="H8" i="65067"/>
  <c r="H36" i="65066"/>
  <c r="H13" i="65065"/>
  <c r="F22" i="300"/>
  <c r="H21" i="65065"/>
  <c r="H56" s="1"/>
  <c r="D58" i="65139"/>
  <c r="D6"/>
  <c r="D27"/>
  <c r="E209"/>
  <c r="E208" s="1"/>
  <c r="E207" s="1"/>
  <c r="E186"/>
  <c r="E177" s="1"/>
  <c r="H196"/>
  <c r="D75"/>
  <c r="D151"/>
  <c r="D150" s="1"/>
  <c r="D158"/>
  <c r="D157" s="1"/>
  <c r="E159"/>
  <c r="E158" s="1"/>
  <c r="E157" s="1"/>
  <c r="E149" s="1"/>
  <c r="H39" i="65079"/>
  <c r="H40" s="1"/>
  <c r="H41" s="1"/>
  <c r="H33" i="65067"/>
  <c r="H8" i="65080"/>
  <c r="H13"/>
  <c r="G16" i="300"/>
  <c r="F16"/>
  <c r="K17"/>
  <c r="G17"/>
  <c r="H17"/>
  <c r="J34" i="65089"/>
  <c r="J35" i="65122"/>
  <c r="I39" i="65079"/>
  <c r="I40" s="1"/>
  <c r="I41" s="1"/>
  <c r="N12" i="65076"/>
  <c r="H11"/>
  <c r="J35" i="65115"/>
  <c r="I33" i="16"/>
  <c r="I33" i="65105"/>
  <c r="I33" i="65098"/>
  <c r="I33" i="65097"/>
  <c r="I33" i="65096"/>
  <c r="I37" i="65095"/>
  <c r="I33" i="65089"/>
  <c r="I33" i="65088"/>
  <c r="I33" i="65087"/>
  <c r="I33" i="65086"/>
  <c r="I33" i="65085"/>
  <c r="I33" i="65084"/>
  <c r="I33" i="65083"/>
  <c r="I33" i="65081"/>
  <c r="I33" i="65082"/>
  <c r="E32" i="65137"/>
  <c r="I39" i="65078"/>
  <c r="I40" s="1"/>
  <c r="I41" s="1"/>
  <c r="I37" i="65075"/>
  <c r="I50" i="65076"/>
  <c r="I51" s="1"/>
  <c r="I52" s="1"/>
  <c r="I33" i="65068"/>
  <c r="I33" i="65123"/>
  <c r="I33" i="65099"/>
  <c r="K35" i="65123" s="1"/>
  <c r="I33" i="65067"/>
  <c r="I33" i="65094"/>
  <c r="I36" i="65093"/>
  <c r="I39" i="65077"/>
  <c r="I33" i="65100"/>
  <c r="I33" i="65074"/>
  <c r="I34" i="65100" s="1"/>
  <c r="I35" i="65071"/>
  <c r="I33" i="65069"/>
  <c r="I36" i="65066"/>
  <c r="H37" i="65095"/>
  <c r="H38" s="1"/>
  <c r="H39" s="1"/>
  <c r="H50" i="65076"/>
  <c r="H51" s="1"/>
  <c r="H52" s="1"/>
  <c r="D209" i="65139"/>
  <c r="D208" s="1"/>
  <c r="D207" s="1"/>
  <c r="D29" i="304" s="1"/>
  <c r="E57" i="65139"/>
  <c r="E147" s="1"/>
  <c r="D114"/>
  <c r="D90" s="1"/>
  <c r="N14" i="65065"/>
  <c r="J56"/>
  <c r="N19"/>
  <c r="D70" i="65139" l="1"/>
  <c r="D57" s="1"/>
  <c r="J35" i="65089"/>
  <c r="I35" i="65122"/>
  <c r="H52" i="65080"/>
  <c r="H35" i="65122"/>
  <c r="H35" i="65115"/>
  <c r="H34" i="65089"/>
  <c r="H35" s="1"/>
  <c r="H34" i="65123"/>
  <c r="H35" s="1"/>
  <c r="J34"/>
  <c r="J35" s="1"/>
  <c r="L35"/>
  <c r="H111" i="300"/>
  <c r="D5" i="65139"/>
  <c r="E205"/>
  <c r="E214" s="1"/>
  <c r="D149"/>
  <c r="E70" i="65137"/>
  <c r="G111" i="300"/>
  <c r="E9" i="65137"/>
  <c r="F111" i="300"/>
  <c r="I37" i="65093"/>
  <c r="I38" i="65075"/>
  <c r="I39" s="1"/>
  <c r="E39" i="65137"/>
  <c r="E76"/>
  <c r="I34" i="65089"/>
  <c r="I34" i="65096"/>
  <c r="I34" i="65098"/>
  <c r="I34" i="65105"/>
  <c r="I40" i="65077"/>
  <c r="I41" s="1"/>
  <c r="E86" i="65137"/>
  <c r="I34" i="65068"/>
  <c r="E11" i="65137"/>
  <c r="E69"/>
  <c r="I38" i="65095"/>
  <c r="I39" s="1"/>
  <c r="E25" i="65137"/>
  <c r="I34" i="65097"/>
  <c r="I34" i="65069"/>
  <c r="E24" i="65137"/>
  <c r="I34" i="65094"/>
  <c r="I34" i="65123"/>
  <c r="I35" s="1"/>
  <c r="E26" i="65137"/>
  <c r="D16" i="304"/>
  <c r="H170" i="65139"/>
  <c r="H169"/>
  <c r="H190"/>
  <c r="N16" i="65065"/>
  <c r="N32"/>
  <c r="I35" i="65089" l="1"/>
  <c r="D147" i="65139"/>
  <c r="D205" s="1"/>
  <c r="D214" s="1"/>
  <c r="D17" i="304"/>
  <c r="D14" s="1"/>
  <c r="I35" i="65094"/>
  <c r="I35" i="65097"/>
  <c r="I35" i="65068"/>
  <c r="I35" i="65098"/>
  <c r="I35" i="65096"/>
  <c r="I35" i="65069"/>
  <c r="I35" i="65105"/>
  <c r="I38" i="65093"/>
  <c r="I35" i="65115"/>
  <c r="N15" i="65065"/>
  <c r="D40" i="304" l="1"/>
  <c r="N13" i="65076"/>
  <c r="M28" i="65093"/>
  <c r="N28" s="1"/>
  <c r="M28" i="65079"/>
  <c r="N28" s="1"/>
  <c r="M28" i="65067"/>
  <c r="N28" s="1"/>
  <c r="G107" i="300" l="1"/>
  <c r="H107"/>
  <c r="K107"/>
  <c r="G108"/>
  <c r="H108"/>
  <c r="K108"/>
  <c r="F108"/>
  <c r="F107"/>
  <c r="M45" i="65076"/>
  <c r="N45" s="1"/>
  <c r="L108" i="300" l="1"/>
  <c r="L107"/>
  <c r="G106"/>
  <c r="H106"/>
  <c r="G102"/>
  <c r="H102"/>
  <c r="G103"/>
  <c r="H103"/>
  <c r="G95"/>
  <c r="H95"/>
  <c r="G96"/>
  <c r="H96"/>
  <c r="G97"/>
  <c r="H97"/>
  <c r="G88"/>
  <c r="H88"/>
  <c r="G89"/>
  <c r="H89"/>
  <c r="G83"/>
  <c r="H83"/>
  <c r="G84"/>
  <c r="H84"/>
  <c r="G85"/>
  <c r="H85"/>
  <c r="G86"/>
  <c r="H86"/>
  <c r="G71"/>
  <c r="H71"/>
  <c r="G72"/>
  <c r="H72"/>
  <c r="G73"/>
  <c r="H73"/>
  <c r="G74"/>
  <c r="H74"/>
  <c r="G75"/>
  <c r="H75"/>
  <c r="G76"/>
  <c r="H76"/>
  <c r="G77"/>
  <c r="H77"/>
  <c r="G79"/>
  <c r="H79"/>
  <c r="G80"/>
  <c r="H80"/>
  <c r="G61"/>
  <c r="H61"/>
  <c r="G62"/>
  <c r="H62"/>
  <c r="G63"/>
  <c r="H63"/>
  <c r="G66"/>
  <c r="H66"/>
  <c r="G67"/>
  <c r="H67"/>
  <c r="G68"/>
  <c r="H68"/>
  <c r="G69"/>
  <c r="H69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9"/>
  <c r="H59"/>
  <c r="G39"/>
  <c r="H39"/>
  <c r="G40"/>
  <c r="H40"/>
  <c r="G41"/>
  <c r="H41"/>
  <c r="G43"/>
  <c r="H43"/>
  <c r="G44"/>
  <c r="H44"/>
  <c r="G36"/>
  <c r="L36" s="1"/>
  <c r="H36"/>
  <c r="G33"/>
  <c r="G31" s="1"/>
  <c r="H33"/>
  <c r="H31" s="1"/>
  <c r="G10"/>
  <c r="H10"/>
  <c r="G11"/>
  <c r="H11"/>
  <c r="G12"/>
  <c r="H12"/>
  <c r="G13"/>
  <c r="H13"/>
  <c r="H103" i="65139"/>
  <c r="F73"/>
  <c r="F211"/>
  <c r="F201"/>
  <c r="F189"/>
  <c r="F187" s="1"/>
  <c r="F179"/>
  <c r="F178" s="1"/>
  <c r="F167"/>
  <c r="F160"/>
  <c r="F159" s="1"/>
  <c r="F141"/>
  <c r="F140" s="1"/>
  <c r="F128"/>
  <c r="F122"/>
  <c r="F121" s="1"/>
  <c r="F119"/>
  <c r="F117"/>
  <c r="F115"/>
  <c r="F112"/>
  <c r="F107"/>
  <c r="F97"/>
  <c r="F96" s="1"/>
  <c r="F86"/>
  <c r="F85" s="1"/>
  <c r="F82"/>
  <c r="F78"/>
  <c r="F76" s="1"/>
  <c r="F158" l="1"/>
  <c r="G70" i="300"/>
  <c r="H70"/>
  <c r="H105"/>
  <c r="G105"/>
  <c r="E36" i="304" s="1"/>
  <c r="F209" i="65139"/>
  <c r="F208" s="1"/>
  <c r="F207" s="1"/>
  <c r="F186"/>
  <c r="F173"/>
  <c r="F172" s="1"/>
  <c r="F157"/>
  <c r="F151"/>
  <c r="F150" s="1"/>
  <c r="F114"/>
  <c r="F90" s="1"/>
  <c r="F75"/>
  <c r="F177"/>
  <c r="F71"/>
  <c r="F68"/>
  <c r="F66"/>
  <c r="F62"/>
  <c r="F59"/>
  <c r="F52"/>
  <c r="F51" s="1"/>
  <c r="F46"/>
  <c r="F38"/>
  <c r="F37" s="1"/>
  <c r="F35"/>
  <c r="F33"/>
  <c r="F28"/>
  <c r="F20"/>
  <c r="F19" s="1"/>
  <c r="F16"/>
  <c r="F15" s="1"/>
  <c r="F12"/>
  <c r="F7"/>
  <c r="G99" i="300"/>
  <c r="H99"/>
  <c r="G94"/>
  <c r="H94"/>
  <c r="G91"/>
  <c r="H91"/>
  <c r="H87"/>
  <c r="G87"/>
  <c r="G82"/>
  <c r="H82"/>
  <c r="G60"/>
  <c r="H60"/>
  <c r="G47"/>
  <c r="H47"/>
  <c r="G37"/>
  <c r="H37"/>
  <c r="G34"/>
  <c r="H34"/>
  <c r="H24" s="1"/>
  <c r="G21"/>
  <c r="H21"/>
  <c r="H15"/>
  <c r="G9"/>
  <c r="H9"/>
  <c r="M13" i="65094"/>
  <c r="N13" s="1"/>
  <c r="M32" i="65095"/>
  <c r="N32" s="1"/>
  <c r="M31" i="65093"/>
  <c r="N31" s="1"/>
  <c r="M30" i="65080"/>
  <c r="N30" s="1"/>
  <c r="M29" i="65078"/>
  <c r="N29" s="1"/>
  <c r="N28" i="65077"/>
  <c r="M34"/>
  <c r="N34" s="1"/>
  <c r="M32" i="65076"/>
  <c r="N32" s="1"/>
  <c r="M29" i="65075"/>
  <c r="N29" s="1"/>
  <c r="M32"/>
  <c r="N32" s="1"/>
  <c r="M28" i="65066"/>
  <c r="N28" s="1"/>
  <c r="G24" i="300" l="1"/>
  <c r="E24" i="304" s="1"/>
  <c r="F6" i="65139"/>
  <c r="F27"/>
  <c r="F58"/>
  <c r="F149"/>
  <c r="E21" i="304"/>
  <c r="E23"/>
  <c r="E26"/>
  <c r="E27"/>
  <c r="E31"/>
  <c r="G15" i="300"/>
  <c r="G46"/>
  <c r="H46"/>
  <c r="H7" s="1"/>
  <c r="F70" i="65139"/>
  <c r="F57" l="1"/>
  <c r="F5"/>
  <c r="E25" i="304"/>
  <c r="E22"/>
  <c r="G7" i="300"/>
  <c r="F147" i="65139" l="1"/>
  <c r="F205" s="1"/>
  <c r="F214" s="1"/>
  <c r="H181"/>
  <c r="H182"/>
  <c r="E34" i="304"/>
  <c r="K44" i="300"/>
  <c r="L44" s="1"/>
  <c r="F44"/>
  <c r="M16" i="65122"/>
  <c r="N16" s="1"/>
  <c r="K43" i="300"/>
  <c r="L43" s="1"/>
  <c r="F43"/>
  <c r="M16" i="65075"/>
  <c r="N16" s="1"/>
  <c r="D27" i="65124"/>
  <c r="M8" i="65080"/>
  <c r="H211" i="65139"/>
  <c r="G209"/>
  <c r="H108"/>
  <c r="H94"/>
  <c r="G122"/>
  <c r="G121" s="1"/>
  <c r="H121" s="1"/>
  <c r="H77"/>
  <c r="H164"/>
  <c r="E19" i="304"/>
  <c r="H175" i="65139"/>
  <c r="M28" i="65085"/>
  <c r="N28" s="1"/>
  <c r="H213" i="65139"/>
  <c r="H206"/>
  <c r="H204"/>
  <c r="H203"/>
  <c r="H202"/>
  <c r="G201"/>
  <c r="F19" i="304" s="1"/>
  <c r="H200" i="65139"/>
  <c r="H193"/>
  <c r="H191"/>
  <c r="H189"/>
  <c r="H188"/>
  <c r="H180"/>
  <c r="H176"/>
  <c r="H168"/>
  <c r="G167"/>
  <c r="H165"/>
  <c r="H163"/>
  <c r="H162"/>
  <c r="G160"/>
  <c r="H156"/>
  <c r="H155"/>
  <c r="H153"/>
  <c r="M13" i="65098"/>
  <c r="N13" s="1"/>
  <c r="M8"/>
  <c r="N8" s="1"/>
  <c r="M13" i="65096"/>
  <c r="N13" s="1"/>
  <c r="M8"/>
  <c r="N8" s="1"/>
  <c r="M13" i="65071"/>
  <c r="N13" s="1"/>
  <c r="M8"/>
  <c r="N8" s="1"/>
  <c r="M13" i="65105"/>
  <c r="M13" i="65097"/>
  <c r="N13" s="1"/>
  <c r="M8"/>
  <c r="N8" s="1"/>
  <c r="M13" i="65095"/>
  <c r="N13" s="1"/>
  <c r="M8"/>
  <c r="N8" s="1"/>
  <c r="M8" i="65094"/>
  <c r="N8" s="1"/>
  <c r="M13" i="65093"/>
  <c r="N13" s="1"/>
  <c r="M8"/>
  <c r="N8" s="1"/>
  <c r="M13" i="65089"/>
  <c r="N13" s="1"/>
  <c r="M8"/>
  <c r="N8" s="1"/>
  <c r="M13" i="65088"/>
  <c r="N13" s="1"/>
  <c r="M8"/>
  <c r="N8" s="1"/>
  <c r="M13" i="65087"/>
  <c r="M8"/>
  <c r="N8" s="1"/>
  <c r="M13" i="65086"/>
  <c r="N13" s="1"/>
  <c r="M8"/>
  <c r="N8" s="1"/>
  <c r="M13" i="65085"/>
  <c r="N13" s="1"/>
  <c r="M8"/>
  <c r="N8" s="1"/>
  <c r="M13" i="65084"/>
  <c r="N13" s="1"/>
  <c r="M8"/>
  <c r="N8" s="1"/>
  <c r="M13" i="65083"/>
  <c r="N13" s="1"/>
  <c r="M8"/>
  <c r="N8" s="1"/>
  <c r="M13" i="65122"/>
  <c r="N13" s="1"/>
  <c r="M8"/>
  <c r="N8" s="1"/>
  <c r="M13" i="65081"/>
  <c r="N13" s="1"/>
  <c r="M8"/>
  <c r="N8" s="1"/>
  <c r="M13" i="65082"/>
  <c r="N13" s="1"/>
  <c r="M8"/>
  <c r="N8" s="1"/>
  <c r="M13" i="65080"/>
  <c r="M13" i="65079"/>
  <c r="N13" s="1"/>
  <c r="M8"/>
  <c r="N8" s="1"/>
  <c r="M13" i="65078"/>
  <c r="N13" s="1"/>
  <c r="M8"/>
  <c r="N8" s="1"/>
  <c r="M13" i="65077"/>
  <c r="N13" s="1"/>
  <c r="M8"/>
  <c r="N8" s="1"/>
  <c r="M16" i="65076"/>
  <c r="M11"/>
  <c r="N11" s="1"/>
  <c r="M13" i="65075"/>
  <c r="N13" s="1"/>
  <c r="M8"/>
  <c r="N8" s="1"/>
  <c r="M13" i="65115"/>
  <c r="N13" s="1"/>
  <c r="M8"/>
  <c r="N8" s="1"/>
  <c r="M13" i="65100"/>
  <c r="N13" s="1"/>
  <c r="M8"/>
  <c r="N8" s="1"/>
  <c r="M13" i="65074"/>
  <c r="N13" s="1"/>
  <c r="M8"/>
  <c r="N8" s="1"/>
  <c r="M13" i="65070"/>
  <c r="N13" s="1"/>
  <c r="M8"/>
  <c r="N8" s="1"/>
  <c r="M13" i="65069"/>
  <c r="M8"/>
  <c r="N8" s="1"/>
  <c r="M13" i="65068"/>
  <c r="N13" s="1"/>
  <c r="M8"/>
  <c r="N8" s="1"/>
  <c r="M13" i="65123"/>
  <c r="N13" s="1"/>
  <c r="M8"/>
  <c r="N8" s="1"/>
  <c r="M13" i="65099"/>
  <c r="M8"/>
  <c r="N8" s="1"/>
  <c r="M13" i="65067"/>
  <c r="N13" s="1"/>
  <c r="M8"/>
  <c r="N8" s="1"/>
  <c r="M13" i="65066"/>
  <c r="N13" s="1"/>
  <c r="M8"/>
  <c r="N8" s="1"/>
  <c r="M18" i="65065"/>
  <c r="N18" s="1"/>
  <c r="M13"/>
  <c r="N13" s="1"/>
  <c r="M13" i="16"/>
  <c r="N13" s="1"/>
  <c r="M8"/>
  <c r="N8" s="1"/>
  <c r="H148" i="65139"/>
  <c r="H146"/>
  <c r="H145"/>
  <c r="H144"/>
  <c r="H143"/>
  <c r="H142"/>
  <c r="G141"/>
  <c r="G140" s="1"/>
  <c r="H140" s="1"/>
  <c r="H139"/>
  <c r="H138"/>
  <c r="H137"/>
  <c r="H134"/>
  <c r="H133"/>
  <c r="H132"/>
  <c r="H131"/>
  <c r="H130"/>
  <c r="H129"/>
  <c r="G128"/>
  <c r="H128" s="1"/>
  <c r="H127"/>
  <c r="H126"/>
  <c r="H125"/>
  <c r="H124"/>
  <c r="H123"/>
  <c r="G119"/>
  <c r="H118"/>
  <c r="G117"/>
  <c r="G115"/>
  <c r="H115" s="1"/>
  <c r="H113"/>
  <c r="G112"/>
  <c r="H112" s="1"/>
  <c r="H111"/>
  <c r="H110"/>
  <c r="H109"/>
  <c r="G107"/>
  <c r="H106"/>
  <c r="H105"/>
  <c r="H104"/>
  <c r="H102"/>
  <c r="H101"/>
  <c r="H100"/>
  <c r="H99"/>
  <c r="H98"/>
  <c r="G97"/>
  <c r="G96" s="1"/>
  <c r="H95"/>
  <c r="H93"/>
  <c r="H89"/>
  <c r="H88"/>
  <c r="H87"/>
  <c r="G86"/>
  <c r="G85" s="1"/>
  <c r="H84"/>
  <c r="H83"/>
  <c r="G82"/>
  <c r="H81"/>
  <c r="H80"/>
  <c r="H79"/>
  <c r="G78"/>
  <c r="G76" s="1"/>
  <c r="H74"/>
  <c r="G73"/>
  <c r="H73" s="1"/>
  <c r="H72"/>
  <c r="G71"/>
  <c r="H71" s="1"/>
  <c r="H69"/>
  <c r="G68"/>
  <c r="H68" s="1"/>
  <c r="H67"/>
  <c r="G66"/>
  <c r="H66" s="1"/>
  <c r="H64"/>
  <c r="H63"/>
  <c r="G62"/>
  <c r="H61"/>
  <c r="H60"/>
  <c r="G59"/>
  <c r="H59" s="1"/>
  <c r="H56"/>
  <c r="H55"/>
  <c r="H54"/>
  <c r="H53"/>
  <c r="G52"/>
  <c r="G51" s="1"/>
  <c r="H50"/>
  <c r="H49"/>
  <c r="G46"/>
  <c r="H45"/>
  <c r="H44"/>
  <c r="H43"/>
  <c r="H42"/>
  <c r="H41"/>
  <c r="H40"/>
  <c r="H39"/>
  <c r="G38"/>
  <c r="H36"/>
  <c r="G35"/>
  <c r="H35" s="1"/>
  <c r="H34"/>
  <c r="G33"/>
  <c r="H33" s="1"/>
  <c r="H32"/>
  <c r="H31"/>
  <c r="H30"/>
  <c r="H29"/>
  <c r="G28"/>
  <c r="H26"/>
  <c r="H25"/>
  <c r="H24"/>
  <c r="H23"/>
  <c r="H22"/>
  <c r="H21"/>
  <c r="G20"/>
  <c r="G19" s="1"/>
  <c r="H18"/>
  <c r="H17"/>
  <c r="G16"/>
  <c r="G15" s="1"/>
  <c r="H14"/>
  <c r="H13"/>
  <c r="H12"/>
  <c r="H11"/>
  <c r="H10"/>
  <c r="H8"/>
  <c r="F72" i="65137"/>
  <c r="G72" s="1"/>
  <c r="F65"/>
  <c r="F64"/>
  <c r="G64" s="1"/>
  <c r="L18" i="300"/>
  <c r="L19"/>
  <c r="E43" i="65125"/>
  <c r="F43"/>
  <c r="G10" i="65137"/>
  <c r="G12"/>
  <c r="G13"/>
  <c r="G14"/>
  <c r="G15"/>
  <c r="G16"/>
  <c r="E17"/>
  <c r="F17"/>
  <c r="G17"/>
  <c r="G18"/>
  <c r="G19"/>
  <c r="G20"/>
  <c r="G21"/>
  <c r="G22"/>
  <c r="G27"/>
  <c r="G28"/>
  <c r="G31"/>
  <c r="G33"/>
  <c r="G34"/>
  <c r="G35"/>
  <c r="G36"/>
  <c r="G37"/>
  <c r="G38"/>
  <c r="E40"/>
  <c r="F40"/>
  <c r="G40"/>
  <c r="G41"/>
  <c r="G42"/>
  <c r="G43"/>
  <c r="G44"/>
  <c r="G45"/>
  <c r="G46"/>
  <c r="E47"/>
  <c r="F47"/>
  <c r="G47"/>
  <c r="G48"/>
  <c r="G49"/>
  <c r="G50"/>
  <c r="G51"/>
  <c r="G52"/>
  <c r="G53"/>
  <c r="E54"/>
  <c r="F54"/>
  <c r="G54"/>
  <c r="G55"/>
  <c r="G56"/>
  <c r="G57"/>
  <c r="G58"/>
  <c r="G59"/>
  <c r="G60"/>
  <c r="G62"/>
  <c r="G63"/>
  <c r="E61"/>
  <c r="G66"/>
  <c r="G67"/>
  <c r="G71"/>
  <c r="G73"/>
  <c r="G74"/>
  <c r="G75"/>
  <c r="G78"/>
  <c r="G79"/>
  <c r="G80"/>
  <c r="G81"/>
  <c r="G82"/>
  <c r="G83"/>
  <c r="G84"/>
  <c r="G85"/>
  <c r="C5" i="65124"/>
  <c r="D5"/>
  <c r="C6"/>
  <c r="D6"/>
  <c r="C7"/>
  <c r="D7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D23"/>
  <c r="C24"/>
  <c r="D24"/>
  <c r="C25"/>
  <c r="D25"/>
  <c r="C26"/>
  <c r="D26"/>
  <c r="C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D40"/>
  <c r="M16" i="65105"/>
  <c r="N16" s="1"/>
  <c r="M28"/>
  <c r="N28" s="1"/>
  <c r="M16" i="65098"/>
  <c r="M28"/>
  <c r="N28" s="1"/>
  <c r="M16" i="65097"/>
  <c r="N16" s="1"/>
  <c r="M28"/>
  <c r="N28" s="1"/>
  <c r="M16" i="65096"/>
  <c r="N16" s="1"/>
  <c r="M28"/>
  <c r="N28" s="1"/>
  <c r="M16" i="65095"/>
  <c r="N16" s="1"/>
  <c r="M16" i="65094"/>
  <c r="N16" s="1"/>
  <c r="M28"/>
  <c r="M16" i="65093"/>
  <c r="N16" s="1"/>
  <c r="G34" i="65124"/>
  <c r="M16" i="65089"/>
  <c r="N16" s="1"/>
  <c r="M28"/>
  <c r="N28" s="1"/>
  <c r="M16" i="65088"/>
  <c r="N16" s="1"/>
  <c r="M28"/>
  <c r="M16" i="65087"/>
  <c r="N16" s="1"/>
  <c r="M28"/>
  <c r="M16" i="65086"/>
  <c r="N16" s="1"/>
  <c r="M28"/>
  <c r="N28" s="1"/>
  <c r="M16" i="65085"/>
  <c r="N16" s="1"/>
  <c r="M16" i="65084"/>
  <c r="M28"/>
  <c r="M16" i="65083"/>
  <c r="M28"/>
  <c r="N28" s="1"/>
  <c r="M29" i="65122"/>
  <c r="N29" s="1"/>
  <c r="M16" i="65081"/>
  <c r="M28"/>
  <c r="N28" s="1"/>
  <c r="M16" i="65082"/>
  <c r="N16" s="1"/>
  <c r="M28"/>
  <c r="N28" s="1"/>
  <c r="M16" i="65080"/>
  <c r="N16" s="1"/>
  <c r="M41"/>
  <c r="N41" s="1"/>
  <c r="M44"/>
  <c r="N44" s="1"/>
  <c r="M48"/>
  <c r="N48" s="1"/>
  <c r="M16" i="65079"/>
  <c r="N16" s="1"/>
  <c r="G22" i="65124"/>
  <c r="M34" i="65079"/>
  <c r="N34" s="1"/>
  <c r="M16" i="65078"/>
  <c r="N16" s="1"/>
  <c r="M33"/>
  <c r="N33" s="1"/>
  <c r="M16" i="65077"/>
  <c r="N16" s="1"/>
  <c r="J20" i="65124"/>
  <c r="M8" i="65076"/>
  <c r="N8" s="1"/>
  <c r="M19"/>
  <c r="N19" s="1"/>
  <c r="M37"/>
  <c r="N37" s="1"/>
  <c r="M41"/>
  <c r="N41" s="1"/>
  <c r="K19" i="65124"/>
  <c r="J18"/>
  <c r="M16" i="65115"/>
  <c r="N16" s="1"/>
  <c r="M28"/>
  <c r="M16" i="65100"/>
  <c r="N16" s="1"/>
  <c r="M28"/>
  <c r="N28" s="1"/>
  <c r="M16" i="65074"/>
  <c r="N28"/>
  <c r="M16" i="65071"/>
  <c r="M29"/>
  <c r="M16" i="65070"/>
  <c r="M28"/>
  <c r="N28" s="1"/>
  <c r="M16" i="65069"/>
  <c r="N16" s="1"/>
  <c r="M28"/>
  <c r="N28" s="1"/>
  <c r="M16" i="65068"/>
  <c r="N16" s="1"/>
  <c r="M28"/>
  <c r="N28" s="1"/>
  <c r="M16" i="65123"/>
  <c r="N16" s="1"/>
  <c r="M28"/>
  <c r="N28" s="1"/>
  <c r="M16" i="65099"/>
  <c r="N16" s="1"/>
  <c r="M28"/>
  <c r="M16" i="65067"/>
  <c r="N16" s="1"/>
  <c r="M16" i="65066"/>
  <c r="N16" s="1"/>
  <c r="G7" i="65124"/>
  <c r="M31" i="65066"/>
  <c r="N31" s="1"/>
  <c r="M8" i="65065"/>
  <c r="N8" s="1"/>
  <c r="M21"/>
  <c r="N21" s="1"/>
  <c r="M34"/>
  <c r="N34" s="1"/>
  <c r="M47"/>
  <c r="N47" s="1"/>
  <c r="M50"/>
  <c r="N50" s="1"/>
  <c r="M16" i="16"/>
  <c r="N16" s="1"/>
  <c r="M28"/>
  <c r="L8" i="300"/>
  <c r="F10"/>
  <c r="K10"/>
  <c r="L10" s="1"/>
  <c r="F11"/>
  <c r="K11"/>
  <c r="L11" s="1"/>
  <c r="F12"/>
  <c r="K12"/>
  <c r="L12" s="1"/>
  <c r="F13"/>
  <c r="F9" s="1"/>
  <c r="D21" i="304" s="1"/>
  <c r="K13" i="300"/>
  <c r="L13" s="1"/>
  <c r="F21"/>
  <c r="D23" i="304" s="1"/>
  <c r="L25" i="300"/>
  <c r="L26"/>
  <c r="L27"/>
  <c r="L28"/>
  <c r="L29"/>
  <c r="L30"/>
  <c r="L32"/>
  <c r="F33"/>
  <c r="K33"/>
  <c r="L35"/>
  <c r="F36"/>
  <c r="K36"/>
  <c r="L38"/>
  <c r="F39"/>
  <c r="K39"/>
  <c r="L39" s="1"/>
  <c r="F40"/>
  <c r="K40"/>
  <c r="L40" s="1"/>
  <c r="F41"/>
  <c r="K41"/>
  <c r="L41" s="1"/>
  <c r="L42"/>
  <c r="F48"/>
  <c r="K48"/>
  <c r="L48" s="1"/>
  <c r="F49"/>
  <c r="K49"/>
  <c r="L49" s="1"/>
  <c r="F50"/>
  <c r="K50"/>
  <c r="L50" s="1"/>
  <c r="F51"/>
  <c r="K51"/>
  <c r="L51" s="1"/>
  <c r="F52"/>
  <c r="K52"/>
  <c r="L52" s="1"/>
  <c r="F53"/>
  <c r="K53"/>
  <c r="L53" s="1"/>
  <c r="F54"/>
  <c r="K54"/>
  <c r="L54" s="1"/>
  <c r="F55"/>
  <c r="K55"/>
  <c r="L55" s="1"/>
  <c r="F56"/>
  <c r="K56"/>
  <c r="L56" s="1"/>
  <c r="F59"/>
  <c r="K59"/>
  <c r="L59" s="1"/>
  <c r="F61"/>
  <c r="K61"/>
  <c r="L61" s="1"/>
  <c r="F62"/>
  <c r="K62"/>
  <c r="L62" s="1"/>
  <c r="F63"/>
  <c r="K63"/>
  <c r="L63" s="1"/>
  <c r="F66"/>
  <c r="K66"/>
  <c r="L66" s="1"/>
  <c r="F67"/>
  <c r="K67"/>
  <c r="L67" s="1"/>
  <c r="F68"/>
  <c r="K68"/>
  <c r="L68" s="1"/>
  <c r="F69"/>
  <c r="K69"/>
  <c r="L69" s="1"/>
  <c r="F71"/>
  <c r="K71"/>
  <c r="L71" s="1"/>
  <c r="F72"/>
  <c r="K72"/>
  <c r="L72" s="1"/>
  <c r="F73"/>
  <c r="K73"/>
  <c r="L73" s="1"/>
  <c r="F74"/>
  <c r="K74"/>
  <c r="L74" s="1"/>
  <c r="F75"/>
  <c r="K75"/>
  <c r="L75" s="1"/>
  <c r="F76"/>
  <c r="K76"/>
  <c r="L76" s="1"/>
  <c r="F77"/>
  <c r="K77"/>
  <c r="L77" s="1"/>
  <c r="F79"/>
  <c r="K79"/>
  <c r="L79" s="1"/>
  <c r="F80"/>
  <c r="K80"/>
  <c r="L80" s="1"/>
  <c r="F83"/>
  <c r="K83"/>
  <c r="L83" s="1"/>
  <c r="F84"/>
  <c r="K84"/>
  <c r="L84" s="1"/>
  <c r="F85"/>
  <c r="K85"/>
  <c r="L85" s="1"/>
  <c r="F86"/>
  <c r="K86"/>
  <c r="L86" s="1"/>
  <c r="F88"/>
  <c r="K88"/>
  <c r="L88" s="1"/>
  <c r="F89"/>
  <c r="F87" s="1"/>
  <c r="K89"/>
  <c r="L89" s="1"/>
  <c r="F91"/>
  <c r="D26" i="304" s="1"/>
  <c r="F95" i="300"/>
  <c r="K95"/>
  <c r="L95" s="1"/>
  <c r="F96"/>
  <c r="K96"/>
  <c r="L96" s="1"/>
  <c r="F97"/>
  <c r="K97"/>
  <c r="L97" s="1"/>
  <c r="L100"/>
  <c r="L101"/>
  <c r="F102"/>
  <c r="K102"/>
  <c r="L102" s="1"/>
  <c r="F103"/>
  <c r="K103"/>
  <c r="L103" s="1"/>
  <c r="F106"/>
  <c r="K106"/>
  <c r="L106" s="1"/>
  <c r="F34" i="304"/>
  <c r="G34"/>
  <c r="I19" i="65124"/>
  <c r="F40"/>
  <c r="F33"/>
  <c r="F32"/>
  <c r="F31"/>
  <c r="F29"/>
  <c r="F24"/>
  <c r="F23"/>
  <c r="F21"/>
  <c r="F17"/>
  <c r="F16"/>
  <c r="F11"/>
  <c r="F10"/>
  <c r="F8"/>
  <c r="F6"/>
  <c r="F5"/>
  <c r="J40"/>
  <c r="D41" i="65125"/>
  <c r="C41" s="1"/>
  <c r="J37" i="65124"/>
  <c r="D38" i="65125"/>
  <c r="C38" s="1"/>
  <c r="G36" i="65124"/>
  <c r="J35"/>
  <c r="J34"/>
  <c r="D36" i="65125"/>
  <c r="C36" s="1"/>
  <c r="J33" i="65124"/>
  <c r="D35" i="65125"/>
  <c r="C35" s="1"/>
  <c r="J31" i="65124"/>
  <c r="J29"/>
  <c r="D31" i="65125"/>
  <c r="C31" s="1"/>
  <c r="J28" i="65124"/>
  <c r="D29" i="65125"/>
  <c r="C29" s="1"/>
  <c r="J26" i="65124"/>
  <c r="J25"/>
  <c r="D27" i="65125"/>
  <c r="C27" s="1"/>
  <c r="J24" i="65124"/>
  <c r="D26" i="65125"/>
  <c r="C26" s="1"/>
  <c r="J21" i="65124"/>
  <c r="D23" i="65125"/>
  <c r="C23" s="1"/>
  <c r="G21" i="65124"/>
  <c r="F19"/>
  <c r="D20" i="65125"/>
  <c r="C20" s="1"/>
  <c r="F18" i="65124"/>
  <c r="J16"/>
  <c r="D18" i="65125"/>
  <c r="C18" s="1"/>
  <c r="J15" i="65124"/>
  <c r="D16" i="65125"/>
  <c r="C16" s="1"/>
  <c r="D14"/>
  <c r="C14" s="1"/>
  <c r="J11" i="65124"/>
  <c r="D13" i="65125"/>
  <c r="C13" s="1"/>
  <c r="J10" i="65124"/>
  <c r="D12" i="65125"/>
  <c r="C12" s="1"/>
  <c r="J7" i="65124"/>
  <c r="J5"/>
  <c r="E15"/>
  <c r="J9"/>
  <c r="E5"/>
  <c r="H107" i="65139"/>
  <c r="H82"/>
  <c r="H62"/>
  <c r="H47"/>
  <c r="H78"/>
  <c r="G65" i="65137"/>
  <c r="F37" i="65124"/>
  <c r="E38"/>
  <c r="E36"/>
  <c r="E35"/>
  <c r="E33"/>
  <c r="E32"/>
  <c r="E29"/>
  <c r="E28"/>
  <c r="M33" i="65084"/>
  <c r="N33" s="1"/>
  <c r="E27" i="65124"/>
  <c r="E26"/>
  <c r="E25"/>
  <c r="E24"/>
  <c r="E22"/>
  <c r="E21"/>
  <c r="L21" s="1"/>
  <c r="E18"/>
  <c r="E17"/>
  <c r="M33" i="65074"/>
  <c r="E13" i="65124"/>
  <c r="E10"/>
  <c r="M33" i="65123"/>
  <c r="N33" s="1"/>
  <c r="E8" i="65124"/>
  <c r="E6"/>
  <c r="E39"/>
  <c r="E37"/>
  <c r="E14"/>
  <c r="H141" i="65139"/>
  <c r="G6"/>
  <c r="H16"/>
  <c r="H38"/>
  <c r="H122"/>
  <c r="H7"/>
  <c r="H28"/>
  <c r="H97"/>
  <c r="G114"/>
  <c r="E7" i="65124"/>
  <c r="M33" i="65068"/>
  <c r="E11" i="65124"/>
  <c r="M39" i="65078"/>
  <c r="M33" i="65087"/>
  <c r="N33" s="1"/>
  <c r="E16" i="65124"/>
  <c r="M33" i="65100"/>
  <c r="E30" i="65124"/>
  <c r="M33" i="65086"/>
  <c r="N33" s="1"/>
  <c r="H20" i="65139"/>
  <c r="H52"/>
  <c r="M33" i="65089"/>
  <c r="N33" s="1"/>
  <c r="M33" i="65085"/>
  <c r="N33" s="1"/>
  <c r="M33" i="65082"/>
  <c r="N33" s="1"/>
  <c r="G6" i="65124"/>
  <c r="F12"/>
  <c r="D15" i="65125"/>
  <c r="C15" s="1"/>
  <c r="G19" i="65124"/>
  <c r="G20"/>
  <c r="J22"/>
  <c r="J23"/>
  <c r="F26"/>
  <c r="F35"/>
  <c r="M33" i="65070"/>
  <c r="E34" i="65124"/>
  <c r="M33" i="65069"/>
  <c r="F24" i="65137" s="1"/>
  <c r="M33" i="65115"/>
  <c r="M39" i="65077"/>
  <c r="M33" i="65083"/>
  <c r="N33" s="1"/>
  <c r="D8" i="65125"/>
  <c r="C8" s="1"/>
  <c r="D17"/>
  <c r="C17" s="1"/>
  <c r="D21"/>
  <c r="C21" s="1"/>
  <c r="J19" i="65124"/>
  <c r="M50" i="65076"/>
  <c r="F22" i="65124"/>
  <c r="D32" i="65125"/>
  <c r="C32" s="1"/>
  <c r="J30" i="65124"/>
  <c r="D39" i="65125"/>
  <c r="C39" s="1"/>
  <c r="J38" i="65124"/>
  <c r="D10" i="65125"/>
  <c r="C10" s="1"/>
  <c r="J8" i="65124"/>
  <c r="J12"/>
  <c r="D22" i="65125"/>
  <c r="C22" s="1"/>
  <c r="F20" i="65124"/>
  <c r="K23"/>
  <c r="I23"/>
  <c r="I41" s="1"/>
  <c r="D28" i="65125"/>
  <c r="C28" s="1"/>
  <c r="J27" i="65124"/>
  <c r="F30"/>
  <c r="J36"/>
  <c r="F36"/>
  <c r="F38"/>
  <c r="J39"/>
  <c r="D42" i="65125"/>
  <c r="C42" s="1"/>
  <c r="M34" i="65122"/>
  <c r="N34" s="1"/>
  <c r="M39" i="65079"/>
  <c r="M56" i="65065"/>
  <c r="N56" s="1"/>
  <c r="J6" i="65124"/>
  <c r="J13"/>
  <c r="J17"/>
  <c r="D25" i="65125"/>
  <c r="C25" s="1"/>
  <c r="D24"/>
  <c r="C24" s="1"/>
  <c r="D40"/>
  <c r="C40" s="1"/>
  <c r="M33" i="65088"/>
  <c r="M37" i="65095"/>
  <c r="M34" i="65071"/>
  <c r="M33" i="65098"/>
  <c r="H174" i="65139"/>
  <c r="D37" i="65125"/>
  <c r="C37" s="1"/>
  <c r="M36" i="65093"/>
  <c r="N36" s="1"/>
  <c r="G23" i="65124"/>
  <c r="H201" i="65139"/>
  <c r="G179"/>
  <c r="G178" s="1"/>
  <c r="H178" s="1"/>
  <c r="G151"/>
  <c r="G150" s="1"/>
  <c r="H150" s="1"/>
  <c r="C23" i="65124"/>
  <c r="M37" i="65075"/>
  <c r="G18" i="65124"/>
  <c r="G186" i="65139"/>
  <c r="H96"/>
  <c r="H119"/>
  <c r="H117"/>
  <c r="H135"/>
  <c r="H152"/>
  <c r="H91"/>
  <c r="H116"/>
  <c r="H120"/>
  <c r="H210"/>
  <c r="E17" i="304"/>
  <c r="E29"/>
  <c r="E18"/>
  <c r="H86" i="65139"/>
  <c r="K94" i="300"/>
  <c r="F82"/>
  <c r="K82"/>
  <c r="L82" s="1"/>
  <c r="K9"/>
  <c r="L9" s="1"/>
  <c r="M33" i="65081"/>
  <c r="N33" s="1"/>
  <c r="E16" i="304"/>
  <c r="N33" i="65088" l="1"/>
  <c r="F69" i="65137"/>
  <c r="M34" i="65100"/>
  <c r="H114" i="65139"/>
  <c r="H85"/>
  <c r="N8" i="65080"/>
  <c r="M52"/>
  <c r="H6" i="65124"/>
  <c r="H41" s="1"/>
  <c r="G58" i="65139"/>
  <c r="H58" s="1"/>
  <c r="G27"/>
  <c r="H6"/>
  <c r="H27"/>
  <c r="H160"/>
  <c r="F61" i="65137"/>
  <c r="G61" s="1"/>
  <c r="E20" i="65124"/>
  <c r="G37" i="65139"/>
  <c r="F37" i="300"/>
  <c r="L33"/>
  <c r="K31"/>
  <c r="L31" s="1"/>
  <c r="L26" i="65124"/>
  <c r="E40"/>
  <c r="N13" i="65105"/>
  <c r="F39" i="65124"/>
  <c r="N16" i="65098"/>
  <c r="M34"/>
  <c r="N34" s="1"/>
  <c r="N33"/>
  <c r="D34" i="65125"/>
  <c r="C34" s="1"/>
  <c r="N28" i="65088"/>
  <c r="D33" i="65125"/>
  <c r="C33" s="1"/>
  <c r="N28" i="65087"/>
  <c r="E31" i="65124"/>
  <c r="N13" i="65087"/>
  <c r="D30" i="65125"/>
  <c r="C30" s="1"/>
  <c r="N28" i="65084"/>
  <c r="F28" i="65124"/>
  <c r="N16" i="65084"/>
  <c r="F27" i="65124"/>
  <c r="N16" i="65083"/>
  <c r="F25" i="65124"/>
  <c r="L25" s="1"/>
  <c r="N16" i="65081"/>
  <c r="E23" i="65124"/>
  <c r="L23" s="1"/>
  <c r="N13" i="65080"/>
  <c r="E19" i="65124"/>
  <c r="N16" i="65076"/>
  <c r="F94" i="300"/>
  <c r="D27" i="304" s="1"/>
  <c r="D19" i="65125"/>
  <c r="C19" s="1"/>
  <c r="N28" i="65115"/>
  <c r="N34" i="65100"/>
  <c r="N33"/>
  <c r="F15" i="65124"/>
  <c r="N16" i="65074"/>
  <c r="N33"/>
  <c r="J14" i="65124"/>
  <c r="N29" i="65071"/>
  <c r="F14" i="65124"/>
  <c r="N16" i="65071"/>
  <c r="M35"/>
  <c r="N35" s="1"/>
  <c r="N34"/>
  <c r="F13" i="65124"/>
  <c r="N16" i="65070"/>
  <c r="E12" i="65124"/>
  <c r="N13" i="65069"/>
  <c r="M34"/>
  <c r="N34" s="1"/>
  <c r="N33"/>
  <c r="M34" i="65068"/>
  <c r="N34" s="1"/>
  <c r="N33"/>
  <c r="D11" i="65125"/>
  <c r="C11" s="1"/>
  <c r="N28" i="65099"/>
  <c r="M33"/>
  <c r="N33" s="1"/>
  <c r="E9" i="65124"/>
  <c r="N13" i="65099"/>
  <c r="L8" i="65124"/>
  <c r="D7" i="65125"/>
  <c r="N28" i="16"/>
  <c r="F29" i="65137"/>
  <c r="G29" s="1"/>
  <c r="N33" i="65070"/>
  <c r="M34" i="65115"/>
  <c r="N34" s="1"/>
  <c r="N33"/>
  <c r="M38" i="65075"/>
  <c r="N38" s="1"/>
  <c r="N37"/>
  <c r="F60" i="300"/>
  <c r="F47"/>
  <c r="F46" s="1"/>
  <c r="D25" i="304" s="1"/>
  <c r="K87" i="300"/>
  <c r="L87" s="1"/>
  <c r="F32" i="65137"/>
  <c r="G32" s="1"/>
  <c r="N39" i="65079"/>
  <c r="M38" i="65095"/>
  <c r="N37"/>
  <c r="M40" i="65078"/>
  <c r="N40" s="1"/>
  <c r="N39"/>
  <c r="M40" i="65077"/>
  <c r="N39"/>
  <c r="M51" i="65076"/>
  <c r="N50"/>
  <c r="H179" i="65139"/>
  <c r="H151"/>
  <c r="G173"/>
  <c r="F27" i="304"/>
  <c r="G27" s="1"/>
  <c r="L94" i="300"/>
  <c r="K91"/>
  <c r="L91" s="1"/>
  <c r="L92"/>
  <c r="K21"/>
  <c r="L21" s="1"/>
  <c r="L22"/>
  <c r="E77" i="65137"/>
  <c r="G24"/>
  <c r="K70" i="300"/>
  <c r="L70" s="1"/>
  <c r="F70"/>
  <c r="F21" i="304"/>
  <c r="G21" s="1"/>
  <c r="H167" i="65139"/>
  <c r="L36" i="65124"/>
  <c r="L37"/>
  <c r="L11"/>
  <c r="K105" i="300"/>
  <c r="F36" i="304" s="1"/>
  <c r="G36" s="1"/>
  <c r="F105" i="300"/>
  <c r="L6" i="65124"/>
  <c r="M33" i="65094"/>
  <c r="L35" i="65124"/>
  <c r="L33"/>
  <c r="G70" i="65137"/>
  <c r="K60" i="300"/>
  <c r="L60" s="1"/>
  <c r="K34"/>
  <c r="L34" s="1"/>
  <c r="M40" i="65079"/>
  <c r="K47" i="300"/>
  <c r="L47" s="1"/>
  <c r="L17" i="65124"/>
  <c r="M33" i="65067"/>
  <c r="N33" s="1"/>
  <c r="L5" i="65124"/>
  <c r="G208" i="65139"/>
  <c r="H208" s="1"/>
  <c r="H209"/>
  <c r="E14" i="304"/>
  <c r="E40" s="1"/>
  <c r="G19"/>
  <c r="M33" i="65096"/>
  <c r="F34" i="65124"/>
  <c r="L34" s="1"/>
  <c r="J32"/>
  <c r="L32" s="1"/>
  <c r="E8" i="65137"/>
  <c r="D41" i="65124"/>
  <c r="F9"/>
  <c r="F34" i="300"/>
  <c r="F31"/>
  <c r="M36" i="65066"/>
  <c r="N36" s="1"/>
  <c r="D9" i="65125"/>
  <c r="C9" s="1"/>
  <c r="F7" i="65124"/>
  <c r="E23" i="65137"/>
  <c r="M33" i="16"/>
  <c r="M33" i="65097"/>
  <c r="E30" i="65137"/>
  <c r="L20" i="65124"/>
  <c r="L38"/>
  <c r="L39"/>
  <c r="M35" i="65098"/>
  <c r="N35" s="1"/>
  <c r="F25" i="65137"/>
  <c r="G25" s="1"/>
  <c r="M37" i="65093"/>
  <c r="E68" i="65137"/>
  <c r="L31" i="65124"/>
  <c r="L30"/>
  <c r="L29"/>
  <c r="L28"/>
  <c r="M34" i="65089"/>
  <c r="N34" s="1"/>
  <c r="L27" i="65124"/>
  <c r="L24"/>
  <c r="M35" i="65122"/>
  <c r="N35" s="1"/>
  <c r="K41" i="65124"/>
  <c r="L22"/>
  <c r="F99" i="300"/>
  <c r="L19" i="65124"/>
  <c r="F17" i="300"/>
  <c r="F15" s="1"/>
  <c r="D22" i="304" s="1"/>
  <c r="L18" i="65124"/>
  <c r="L16"/>
  <c r="L15"/>
  <c r="L14"/>
  <c r="L13"/>
  <c r="L12"/>
  <c r="E41"/>
  <c r="M35" i="65069"/>
  <c r="N35" s="1"/>
  <c r="F11" i="65137"/>
  <c r="L10" i="65124"/>
  <c r="K99" i="300"/>
  <c r="G41" i="65124"/>
  <c r="L7"/>
  <c r="K37" i="300"/>
  <c r="L37" s="1"/>
  <c r="C7" i="65125"/>
  <c r="L42" i="65124"/>
  <c r="H187" i="65139"/>
  <c r="G177"/>
  <c r="H186"/>
  <c r="G90"/>
  <c r="H90" s="1"/>
  <c r="G75"/>
  <c r="H75" s="1"/>
  <c r="H76"/>
  <c r="H51"/>
  <c r="H46"/>
  <c r="H37"/>
  <c r="H19"/>
  <c r="H15"/>
  <c r="G5"/>
  <c r="E35" i="304"/>
  <c r="L9" i="65124" l="1"/>
  <c r="J41"/>
  <c r="N52" i="65080"/>
  <c r="F76" i="65137"/>
  <c r="N33" i="16"/>
  <c r="M34"/>
  <c r="K111" i="300"/>
  <c r="M39" i="65075"/>
  <c r="N39" s="1"/>
  <c r="G207" i="65139"/>
  <c r="F29" i="304" s="1"/>
  <c r="G29" s="1"/>
  <c r="D36"/>
  <c r="D35" s="1"/>
  <c r="D37" s="1"/>
  <c r="M41" i="65078"/>
  <c r="N41" s="1"/>
  <c r="M35" i="65068"/>
  <c r="N35" s="1"/>
  <c r="D43" i="65125"/>
  <c r="F41" i="65124"/>
  <c r="G172" i="65139"/>
  <c r="H173"/>
  <c r="F9" i="65137"/>
  <c r="F23" i="304"/>
  <c r="G23" s="1"/>
  <c r="M34" i="65097"/>
  <c r="N34" s="1"/>
  <c r="N33"/>
  <c r="F26" i="65137"/>
  <c r="G26" s="1"/>
  <c r="M34" i="65096"/>
  <c r="N34" s="1"/>
  <c r="N33"/>
  <c r="M34" i="65094"/>
  <c r="N33"/>
  <c r="M38" i="65093"/>
  <c r="N38" s="1"/>
  <c r="N37"/>
  <c r="M35" i="65115"/>
  <c r="N35" s="1"/>
  <c r="E30" i="304"/>
  <c r="E32" s="1"/>
  <c r="D31"/>
  <c r="D30" s="1"/>
  <c r="D32" s="1"/>
  <c r="F26"/>
  <c r="G26" s="1"/>
  <c r="M41" i="65079"/>
  <c r="N41" s="1"/>
  <c r="N40"/>
  <c r="M39" i="65095"/>
  <c r="N39" s="1"/>
  <c r="N38"/>
  <c r="M41" i="65077"/>
  <c r="N40"/>
  <c r="M52" i="65076"/>
  <c r="N52" s="1"/>
  <c r="N51"/>
  <c r="F31" i="304"/>
  <c r="F30" s="1"/>
  <c r="L99" i="300"/>
  <c r="C43" i="65125"/>
  <c r="L17" i="300"/>
  <c r="L105"/>
  <c r="G11" i="65137"/>
  <c r="G69"/>
  <c r="M34" i="65123"/>
  <c r="K46" i="300"/>
  <c r="G70" i="65139"/>
  <c r="G57" s="1"/>
  <c r="G147" s="1"/>
  <c r="F24" i="300"/>
  <c r="E7" i="65137"/>
  <c r="F68"/>
  <c r="M35" i="65089"/>
  <c r="N35" s="1"/>
  <c r="G76" i="65137"/>
  <c r="K24" i="300"/>
  <c r="F18" i="304"/>
  <c r="G18" s="1"/>
  <c r="H177" i="65139"/>
  <c r="G15" i="304"/>
  <c r="H5" i="65139"/>
  <c r="E37" i="304"/>
  <c r="N41" i="65077" l="1"/>
  <c r="F86" i="65137"/>
  <c r="G9"/>
  <c r="F8"/>
  <c r="G8" s="1"/>
  <c r="M35" i="16"/>
  <c r="N35" s="1"/>
  <c r="N34"/>
  <c r="G68" i="65137"/>
  <c r="F32" i="304"/>
  <c r="G32" s="1"/>
  <c r="H207" i="65139"/>
  <c r="M35" i="65097"/>
  <c r="N35" s="1"/>
  <c r="H70" i="65139"/>
  <c r="F23" i="65137"/>
  <c r="G23" s="1"/>
  <c r="H172" i="65139"/>
  <c r="M35" i="65096"/>
  <c r="N35" s="1"/>
  <c r="G30" i="304"/>
  <c r="G31"/>
  <c r="N34" i="65094"/>
  <c r="M35"/>
  <c r="N35" s="1"/>
  <c r="E20" i="304"/>
  <c r="E28" s="1"/>
  <c r="E33" s="1"/>
  <c r="D24"/>
  <c r="D20" s="1"/>
  <c r="F35"/>
  <c r="F24"/>
  <c r="G24" s="1"/>
  <c r="L24" i="300"/>
  <c r="F25" i="304"/>
  <c r="G25" s="1"/>
  <c r="L46" i="300"/>
  <c r="M35" i="65123"/>
  <c r="N35" s="1"/>
  <c r="N34"/>
  <c r="F7" i="300"/>
  <c r="F16" i="304"/>
  <c r="G16" s="1"/>
  <c r="H57" i="65139"/>
  <c r="H147"/>
  <c r="F77" i="65137" l="1"/>
  <c r="G86"/>
  <c r="H166" i="65139"/>
  <c r="G159"/>
  <c r="E41" i="304"/>
  <c r="E42" s="1"/>
  <c r="D41"/>
  <c r="D42" s="1"/>
  <c r="D28"/>
  <c r="D33" s="1"/>
  <c r="D38" s="1"/>
  <c r="F37"/>
  <c r="G37" s="1"/>
  <c r="G35"/>
  <c r="E38"/>
  <c r="G77" i="65137" l="1"/>
  <c r="H159" i="65139"/>
  <c r="G158"/>
  <c r="H158" l="1"/>
  <c r="G157"/>
  <c r="H157" l="1"/>
  <c r="G149"/>
  <c r="H149" l="1"/>
  <c r="G205"/>
  <c r="F17" i="304"/>
  <c r="G214" i="65139" l="1"/>
  <c r="H205"/>
  <c r="G17" i="304"/>
  <c r="F14"/>
  <c r="C2" i="65061" l="1"/>
  <c r="G14" i="304"/>
  <c r="F40"/>
  <c r="H214" i="65139"/>
  <c r="A3" i="65061"/>
  <c r="G40" i="304" l="1"/>
  <c r="N9" i="65105"/>
  <c r="M8"/>
  <c r="N8" s="1"/>
  <c r="C40" i="65124"/>
  <c r="C41" s="1"/>
  <c r="K16" i="300"/>
  <c r="L16" s="1"/>
  <c r="L40" i="65124" l="1"/>
  <c r="L41" s="1"/>
  <c r="M33" i="65105"/>
  <c r="K15" i="300"/>
  <c r="K7" s="1"/>
  <c r="L7" s="1"/>
  <c r="F39" i="65137"/>
  <c r="M34" i="65105"/>
  <c r="N33" l="1"/>
  <c r="L15" i="300"/>
  <c r="F22" i="304"/>
  <c r="G22" s="1"/>
  <c r="M35" i="65105"/>
  <c r="N35" s="1"/>
  <c r="N34"/>
  <c r="G39" i="65137"/>
  <c r="F30"/>
  <c r="F7" s="1"/>
  <c r="C119" i="300" l="1"/>
  <c r="L111"/>
  <c r="F20" i="304"/>
  <c r="G20" s="1"/>
  <c r="G30" i="65137"/>
  <c r="G7"/>
  <c r="F41" i="304" l="1"/>
  <c r="G41" s="1"/>
  <c r="F28"/>
  <c r="F33" s="1"/>
  <c r="F42" l="1"/>
  <c r="G28"/>
  <c r="G33"/>
  <c r="F38"/>
  <c r="G42" l="1"/>
  <c r="L43" i="65124"/>
  <c r="G38" i="304"/>
  <c r="L44" i="65124" l="1"/>
</calcChain>
</file>

<file path=xl/sharedStrings.xml><?xml version="1.0" encoding="utf-8"?>
<sst xmlns="http://schemas.openxmlformats.org/spreadsheetml/2006/main" count="2546" uniqueCount="866">
  <si>
    <t>073</t>
  </si>
  <si>
    <t>Bolničke usluge</t>
  </si>
  <si>
    <t>074</t>
  </si>
  <si>
    <t>Usluge zdravstvene zaštite</t>
  </si>
  <si>
    <t>075</t>
  </si>
  <si>
    <t>IiR Zdravstvo</t>
  </si>
  <si>
    <t>076</t>
  </si>
  <si>
    <t>Zdravstvo n. k.</t>
  </si>
  <si>
    <t>08</t>
  </si>
  <si>
    <t>Rekreacija, kultura i religija     (56+….+61)</t>
  </si>
  <si>
    <t>081</t>
  </si>
  <si>
    <t>082</t>
  </si>
  <si>
    <t xml:space="preserve">Usluge kulture </t>
  </si>
  <si>
    <t>083</t>
  </si>
  <si>
    <t>084</t>
  </si>
  <si>
    <t>085</t>
  </si>
  <si>
    <t>IiR Rekreacija, kultura i religija</t>
  </si>
  <si>
    <t>086</t>
  </si>
  <si>
    <t>Rekreacija, kultura i religija n. k.</t>
  </si>
  <si>
    <t>09</t>
  </si>
  <si>
    <t>Obrazovanje         (63+…..+70)</t>
  </si>
  <si>
    <t>091</t>
  </si>
  <si>
    <t>Predškolsko i osnovno obrazovanje</t>
  </si>
  <si>
    <t>092</t>
  </si>
  <si>
    <t>Srednje obrazovanje</t>
  </si>
  <si>
    <t>093</t>
  </si>
  <si>
    <t>Obrazovanje poslije srednje škole koje nije visoko obrazovanje</t>
  </si>
  <si>
    <t>094</t>
  </si>
  <si>
    <t>Visoko obrazovanje</t>
  </si>
  <si>
    <t>095</t>
  </si>
  <si>
    <t>096</t>
  </si>
  <si>
    <t>Pomoćne usluge obrazovanju</t>
  </si>
  <si>
    <t>097</t>
  </si>
  <si>
    <t>IiR Obrazovanje</t>
  </si>
  <si>
    <t>098</t>
  </si>
  <si>
    <t>Obrazovanje n. k.</t>
  </si>
  <si>
    <t>10</t>
  </si>
  <si>
    <t>Socijalna zaštita      (72+…..+80)</t>
  </si>
  <si>
    <t>101</t>
  </si>
  <si>
    <t>Bolest i hendikepiranost</t>
  </si>
  <si>
    <t>102</t>
  </si>
  <si>
    <t>Starost</t>
  </si>
  <si>
    <t>103</t>
  </si>
  <si>
    <t>Nasljednici</t>
  </si>
  <si>
    <t>104</t>
  </si>
  <si>
    <t>105</t>
  </si>
  <si>
    <t>106</t>
  </si>
  <si>
    <t>Stanovanje</t>
  </si>
  <si>
    <t>107</t>
  </si>
  <si>
    <t>Socijalno isključenje n. k.</t>
  </si>
  <si>
    <t>108</t>
  </si>
  <si>
    <t>IiR Socijalna zaštita</t>
  </si>
  <si>
    <t>109</t>
  </si>
  <si>
    <t>Socijalna zaštita n. k.</t>
  </si>
  <si>
    <t>Ukupni rashodi (zbroj funkcija) (2+11+17+24+34+41+48+55+62+71)</t>
  </si>
  <si>
    <t>INDEX
4/3</t>
  </si>
  <si>
    <t xml:space="preserve">IiR Zaštita životne sredine </t>
  </si>
  <si>
    <t xml:space="preserve">Religijske i druge zajedničke usluge </t>
  </si>
  <si>
    <t>Opće javne usluge       (3+…..+10)</t>
  </si>
  <si>
    <t>Izvršni i zakonodavni organi, financijski i fiskalni poslovi, vanjski poslovi</t>
  </si>
  <si>
    <t>Transferi općeg karaktera između različitih razina vlasti</t>
  </si>
  <si>
    <t>Obrana      (12+….+16)</t>
  </si>
  <si>
    <t>Vojna obrana</t>
  </si>
  <si>
    <t>Civilna obrana</t>
  </si>
  <si>
    <t>Inozemna vojna pomoć</t>
  </si>
  <si>
    <t>IiR Obrana</t>
  </si>
  <si>
    <t>Obrana n. k.</t>
  </si>
  <si>
    <t>Promet</t>
  </si>
  <si>
    <t>Zaštita raznovrsnosti flore i faune i zaštita okoliša</t>
  </si>
  <si>
    <t>Vodoopskrba</t>
  </si>
  <si>
    <t>Izvanbolničke usluge</t>
  </si>
  <si>
    <t>Usluge športa i rekreacije</t>
  </si>
  <si>
    <t xml:space="preserve">Usluge emitiranja i izdavaštva </t>
  </si>
  <si>
    <t>Obrazovanje koje nije definirano razinom</t>
  </si>
  <si>
    <t>Obitelj i djeca</t>
  </si>
  <si>
    <t>Neuposlenost</t>
  </si>
  <si>
    <t>I - PRIHODI, PRIMICI I FINANCIRANJE</t>
  </si>
  <si>
    <t xml:space="preserve">II - RASHODI I IZDACI  </t>
  </si>
  <si>
    <t>Ministarstvo
(razdjel)</t>
  </si>
  <si>
    <t>Proračunska
institucija</t>
  </si>
  <si>
    <t>OPIS</t>
  </si>
  <si>
    <t>01</t>
  </si>
  <si>
    <t>0001</t>
  </si>
  <si>
    <t xml:space="preserve"> Doprinosi poslodavca</t>
  </si>
  <si>
    <t xml:space="preserve"> Putni troškovi</t>
  </si>
  <si>
    <t xml:space="preserve"> Izdaci za energiju</t>
  </si>
  <si>
    <t xml:space="preserve"> Izdaci za usluge prijevoza i goriva</t>
  </si>
  <si>
    <t xml:space="preserve"> Izdaci za tekuće održavanje</t>
  </si>
  <si>
    <t xml:space="preserve"> Tekuće održavanje cesta</t>
  </si>
  <si>
    <t xml:space="preserve"> Kapitalni grantovi</t>
  </si>
  <si>
    <t xml:space="preserve"> Izdaci za nabavku stalnih sredstava</t>
  </si>
  <si>
    <t xml:space="preserve"> Nabavka građevina</t>
  </si>
  <si>
    <t xml:space="preserve"> Nabavka opreme</t>
  </si>
  <si>
    <t xml:space="preserve"> Ukupan broj zaposlenih:</t>
  </si>
  <si>
    <t xml:space="preserve"> Ukupno za proračunsku instituciju:</t>
  </si>
  <si>
    <t xml:space="preserve"> Ukupno za ministarstvo (razdjel):</t>
  </si>
  <si>
    <t xml:space="preserve"> Grantovi političkim strankama</t>
  </si>
  <si>
    <t xml:space="preserve"> Tekuća pričuva Vlade</t>
  </si>
  <si>
    <t xml:space="preserve"> Tekuća pričuva predsjednika Vlade</t>
  </si>
  <si>
    <t xml:space="preserve"> Grantovi za povratak raseljenih osoba</t>
  </si>
  <si>
    <t xml:space="preserve"> Grantovi za šport i kulturu</t>
  </si>
  <si>
    <t xml:space="preserve"> Grantovi za informiranje</t>
  </si>
  <si>
    <t xml:space="preserve"> Grantovi za financiranje vjerskih zajednica</t>
  </si>
  <si>
    <t>616000</t>
  </si>
  <si>
    <t xml:space="preserve"> Rekonstrukcija i investicijsko održavanje</t>
  </si>
  <si>
    <t xml:space="preserve"> Grantovi za zdravstvene i socijalne potrebe</t>
  </si>
  <si>
    <t>614200</t>
  </si>
  <si>
    <t>614300</t>
  </si>
  <si>
    <t>614100</t>
  </si>
  <si>
    <t xml:space="preserve"> Tekuća pričuva ministra financija</t>
  </si>
  <si>
    <t>Potrošačka
jedinica</t>
  </si>
  <si>
    <t xml:space="preserve"> Ostali grantovi-povrat i drugo</t>
  </si>
  <si>
    <t xml:space="preserve"> Isplate stipendija</t>
  </si>
  <si>
    <t xml:space="preserve"> Ukupno za potrošačku jedinicu:</t>
  </si>
  <si>
    <t xml:space="preserve"> Grantovi za branitelje i stradalnike dom. rata</t>
  </si>
  <si>
    <t xml:space="preserve"> Grant za zaštitu od prirodnih i drugih nesreća</t>
  </si>
  <si>
    <t>SKUPŠTINA ŽUPANIJE POSAVSKE</t>
  </si>
  <si>
    <t>0002</t>
  </si>
  <si>
    <t>VLADA ŽUPANIJE POSAVSKE</t>
  </si>
  <si>
    <t>11</t>
  </si>
  <si>
    <t xml:space="preserve"> Rashodi - Tekuća pričuva</t>
  </si>
  <si>
    <t xml:space="preserve"> Tekuća pričuva zamjenika pred. Vlade</t>
  </si>
  <si>
    <t>URED ZA RASELJENE</t>
  </si>
  <si>
    <t>URED ZA ZAKONODAVSTVO</t>
  </si>
  <si>
    <t>0003</t>
  </si>
  <si>
    <t>0004</t>
  </si>
  <si>
    <t>ZAJEDNIČKA SLUŽBA VLADE</t>
  </si>
  <si>
    <t>12</t>
  </si>
  <si>
    <t>MINISTARSTVO UNUTARNJIH POSLOVA ŽUPANIJE POSAVSKE</t>
  </si>
  <si>
    <t>13</t>
  </si>
  <si>
    <t>MINISTARSTVO PRAVOSUĐA I UPRAVE</t>
  </si>
  <si>
    <t>14</t>
  </si>
  <si>
    <t>02</t>
  </si>
  <si>
    <t>05</t>
  </si>
  <si>
    <t>15</t>
  </si>
  <si>
    <t>16</t>
  </si>
  <si>
    <t>MINISTARSTVO FINANCIJA</t>
  </si>
  <si>
    <t>MINISTARSTVO ZDRAVSTVA, RADA I SOCIJALNE POLITIKE</t>
  </si>
  <si>
    <t>17</t>
  </si>
  <si>
    <t>18</t>
  </si>
  <si>
    <t>MINISTARSTVO POLJOPRIVREDE, VODOPRIVREDE I ŠUMARSTVA</t>
  </si>
  <si>
    <t>19</t>
  </si>
  <si>
    <t>MINISTARSTVO PROSVJETE, ZNANOSTI, KULTURE I ŠPORTA</t>
  </si>
  <si>
    <t>20</t>
  </si>
  <si>
    <t>MINISTARSTVO PROSVJETE - OSNOVNA ŠKOLA ORAŠJE</t>
  </si>
  <si>
    <t>03</t>
  </si>
  <si>
    <t>0005</t>
  </si>
  <si>
    <t>0006</t>
  </si>
  <si>
    <t>0007</t>
  </si>
  <si>
    <t>21</t>
  </si>
  <si>
    <t>22</t>
  </si>
  <si>
    <t>AGENCIJA ZA PRIVATIZACIJU</t>
  </si>
  <si>
    <t>UPRAVA ZA CIVILNU ZAŠTITU ŽUPANIJE POSAVSKE</t>
  </si>
  <si>
    <t>23</t>
  </si>
  <si>
    <t>KANTONALNI SUD ODŽAK</t>
  </si>
  <si>
    <t>24</t>
  </si>
  <si>
    <t>26</t>
  </si>
  <si>
    <t>27</t>
  </si>
  <si>
    <t>KANTONALNO TUŽITELJSTVO</t>
  </si>
  <si>
    <t xml:space="preserve"> UKUPNI IZDACI </t>
  </si>
  <si>
    <t>SLUŽBA ZA ODNOSE S JAVNOŠĆU</t>
  </si>
  <si>
    <t xml:space="preserve"> Grantovi za šumarstvo</t>
  </si>
  <si>
    <t xml:space="preserve"> Doprinosi poslodavca i ostali doprinosi</t>
  </si>
  <si>
    <t xml:space="preserve"> Plaće i naknade troškova zaposlenih</t>
  </si>
  <si>
    <t xml:space="preserve"> Izdaci za materijal, sitan inv. i usluge</t>
  </si>
  <si>
    <t xml:space="preserve"> Nabavka materijala i sitnog inventara</t>
  </si>
  <si>
    <t xml:space="preserve"> Izdaci osiguranja, bank. usluga i usluga p.p.</t>
  </si>
  <si>
    <t xml:space="preserve"> Ugovorene i druge posebne usluge</t>
  </si>
  <si>
    <t>MINISTARSTVO PROSVJETE - SREDNJA ŠKOLA PERE ZEČEVIĆA ODŽAK</t>
  </si>
  <si>
    <t>MINISTARSTVO PROSVJETE - OSNOVNA ŠKOLA VLADIMIRA NAZORA ODŽAK</t>
  </si>
  <si>
    <t>MINISTARSTVO PROSVJETE - OSNOVNA ŠKOLA RUĐERA BOŠKOVIĆA DONJA MAHALA</t>
  </si>
  <si>
    <t>MINISTARSTVO PROSVJETE - OSNOVNA ŠKOLA FRA ILIJE STARČEVIĆA TOLISA</t>
  </si>
  <si>
    <t>MINISTARSTVO PROSVJETE - OSNOVNA ŠKOLA STJEPANA RADIĆA OŠTRA LUKA-BOK</t>
  </si>
  <si>
    <t>MINISTARSTVO PROSVJETE - OSNOVNA ŠKOLA A.G. MATOŠA VIDOVICE</t>
  </si>
  <si>
    <t>MINISTARSTVO PROSVJETE - OSNOVNA ŠKOLA BRAĆE RADIĆA DOMALJEVAC</t>
  </si>
  <si>
    <t xml:space="preserve"> </t>
  </si>
  <si>
    <t xml:space="preserve"> Grant za zaštitu okoliša</t>
  </si>
  <si>
    <t>MINISTARSTVO GOSPODARSTVA I PROSTORNOG UREĐENJA</t>
  </si>
  <si>
    <t>MINISTARSTVO PROMETA, VEZA, TURIZMA I ZAŠTITE OKOLIŠA</t>
  </si>
  <si>
    <t>MINISTARSTVO BRANITELJA</t>
  </si>
  <si>
    <t xml:space="preserve"> Vozački ispiti-vlastiti prihodi</t>
  </si>
  <si>
    <t>28</t>
  </si>
  <si>
    <t>ŽUPANIJSKA UPRAVA ZA INSPEKCIJSKE POSLOVE</t>
  </si>
  <si>
    <t>I PRIHODI OD POREZA</t>
  </si>
  <si>
    <t>Ekonomski kod</t>
  </si>
  <si>
    <t xml:space="preserve"> Otplate domaćeg pozajmljivanja</t>
  </si>
  <si>
    <t xml:space="preserve"> Izdaci za negativne tečajne razlike</t>
  </si>
  <si>
    <t>II NEPOREZNI PRIHODI</t>
  </si>
  <si>
    <t>1.Porez na dobit pojedinaca i poduzeća</t>
  </si>
  <si>
    <t>3.Porez na imovinu</t>
  </si>
  <si>
    <t>5.Porez na dohodak</t>
  </si>
  <si>
    <t>6.Prihodi od neizravnih poreza</t>
  </si>
  <si>
    <t>7.Ostali porezi</t>
  </si>
  <si>
    <t>3.Novčane kazne</t>
  </si>
  <si>
    <t xml:space="preserve"> Kamate na domaće pozajmljivanje-OPEC fond</t>
  </si>
  <si>
    <t xml:space="preserve"> MINISTARSTVO PRAVOSUĐA I UPRAVE - OPĆINSKI SUD ORAŠJE</t>
  </si>
  <si>
    <t>MINISTARSTVO PRAVOSUĐA I UPRAVE - ZAVOD ZA PRUŽANJE PRAVNE POMOĆI</t>
  </si>
  <si>
    <t>06</t>
  </si>
  <si>
    <t>I  OPĆI DIO</t>
  </si>
  <si>
    <t>Članak 1.</t>
  </si>
  <si>
    <t xml:space="preserve">Bosna i Hercegovina </t>
  </si>
  <si>
    <t xml:space="preserve">FEDERACIJA BOSNE I HERCEGOVINE </t>
  </si>
  <si>
    <t>ŽUPANIJA POSAVSKA</t>
  </si>
  <si>
    <t xml:space="preserve">Skupština </t>
  </si>
  <si>
    <t xml:space="preserve"> Bruto plaće i naknade plaća</t>
  </si>
  <si>
    <t xml:space="preserve"> Naknade troškova zaposlenih</t>
  </si>
  <si>
    <t xml:space="preserve"> Izdaci za komunikaciju i komunalne usluge</t>
  </si>
  <si>
    <t xml:space="preserve"> Unajmljivanje imovine, opreme i nemat.imovine</t>
  </si>
  <si>
    <t xml:space="preserve"> Tekući grantovi i drugi tekući rashodi</t>
  </si>
  <si>
    <t xml:space="preserve"> Izdaci za kamate </t>
  </si>
  <si>
    <t xml:space="preserve"> Izdaci za otplate dugova</t>
  </si>
  <si>
    <t xml:space="preserve"> Izdaci za kamate</t>
  </si>
  <si>
    <t>614500</t>
  </si>
  <si>
    <t xml:space="preserve"> Agencija za državnu službu ŽP</t>
  </si>
  <si>
    <t>615100</t>
  </si>
  <si>
    <t>1.Prihodi od poduzetničkih aktivnosti i imovine i prihodi od pozitivnih tečajnih razlika</t>
  </si>
  <si>
    <t xml:space="preserve"> Kamate na domaće pozajmljivanje-Koreja</t>
  </si>
  <si>
    <t>Izdaci za otplate dugova</t>
  </si>
  <si>
    <t xml:space="preserve"> Kamate na domaće pozajmljivanje-OPEC</t>
  </si>
  <si>
    <t xml:space="preserve"> Otplate domaćeg pozajmljivanja - OPEC</t>
  </si>
  <si>
    <t xml:space="preserve"> Kamate na domaće pozajmljivanje-Austrija</t>
  </si>
  <si>
    <t>Članak 2.</t>
  </si>
  <si>
    <t>II POSEBAN DIO</t>
  </si>
  <si>
    <t>Članak 3.</t>
  </si>
  <si>
    <t xml:space="preserve"> Grant za razvoj turizma</t>
  </si>
  <si>
    <t>MINISTARSTVO PRAVOSUĐA I UPRAVE - OPĆINSKO PRAVOBRANITELJSTVO ODŽAK</t>
  </si>
  <si>
    <t>MINISTARSTVO PRAVOSUĐA I UPRAVE - OPĆINSKO PRAVOBRANITELJSTVO ORAŠJE</t>
  </si>
  <si>
    <t xml:space="preserve"> Grantovi za financiranje višeg i visokog obrazovanja    
 i Zavoda za školstvo</t>
  </si>
  <si>
    <t xml:space="preserve"> Grant za Crveni križ Županije Posavske</t>
  </si>
  <si>
    <t>ŽUPANIJSKO PRAVOBRANITELJSTVO</t>
  </si>
  <si>
    <t xml:space="preserve"> Grant za Gospodarsku komoru ŽP</t>
  </si>
  <si>
    <t>SADRŽAJ</t>
  </si>
  <si>
    <t>1.</t>
  </si>
  <si>
    <t xml:space="preserve">Opći dio </t>
  </si>
  <si>
    <t>2.</t>
  </si>
  <si>
    <t>Prihodi, primici i financiranje</t>
  </si>
  <si>
    <t>3.</t>
  </si>
  <si>
    <t>4.</t>
  </si>
  <si>
    <t>Posebni dio</t>
  </si>
  <si>
    <t>Skupština Županije Posavske</t>
  </si>
  <si>
    <t>Vlada Županije Posavske</t>
  </si>
  <si>
    <t>Ured za raseljene</t>
  </si>
  <si>
    <t>Ured za zakonodavstvo</t>
  </si>
  <si>
    <t>Služba za odnose s javnošću</t>
  </si>
  <si>
    <t>Zajednička služba Vlade</t>
  </si>
  <si>
    <t>Ministarstvo unutarnjih poslova Županije Posavske</t>
  </si>
  <si>
    <t>Ministarstvo pravosuđa i uprave</t>
  </si>
  <si>
    <t>Ministarstvo pravosuđa i uprave - Općinski sud Orašje</t>
  </si>
  <si>
    <t>Ministarstvo pravosuđa i uprave - Općinsko pravobraniteljstvo Orašje</t>
  </si>
  <si>
    <t>Ministarstvo pravosuđa i uprave - Općinsko pravobraniteljstvo Odžak</t>
  </si>
  <si>
    <t>Ministarstvo pravosuđa i uprave - Zavod za pružanje pravne pomoći</t>
  </si>
  <si>
    <t>Ministarstvo gospodarstva i prostornog uređenja</t>
  </si>
  <si>
    <t>Ministarstvo financija</t>
  </si>
  <si>
    <t>Ministarstvo zdravstva, rada i socijalne politike</t>
  </si>
  <si>
    <t>Ministarstvo prometa, veza, turizma i zaštite okoliša</t>
  </si>
  <si>
    <t>Ministarstvo poljoprivrede, vodoprivrede i šumarstva</t>
  </si>
  <si>
    <t>Ministarstvo prosvjete, znanosti, kulture i športa</t>
  </si>
  <si>
    <t>Stranica</t>
  </si>
  <si>
    <t>Ministarstvo prosvjete - Srednja škola Pere Zečevića Odžak</t>
  </si>
  <si>
    <t>Ministarstvo prosvjete - Osnovna škola Orašje</t>
  </si>
  <si>
    <t>Ministarstvo prosvjete - Osnovna škola Vladimira Nazora Odžak</t>
  </si>
  <si>
    <t>Ministarstvo prosvjete - Osnovna škola Ruđera Boškovića Donja Mahala</t>
  </si>
  <si>
    <t>Ministarstvo prosvjete - Osnovna škola Fra Ilije Starčevića Tolisa</t>
  </si>
  <si>
    <t>Ministarstvo prosvjete - Osnovna škola Stjepana Radića Oštra Luka-Bok</t>
  </si>
  <si>
    <t>Ministarstvo prosvjete - Osnovna škola A.G.Matoša Vidovice</t>
  </si>
  <si>
    <t>Ministarstvo prosvjete - Osnovna škola Braće Radića Domaljevac</t>
  </si>
  <si>
    <t>Ministarstvo branitelja</t>
  </si>
  <si>
    <t>Agencija za privatizaciju</t>
  </si>
  <si>
    <t>Uprava za civilnu zaštitu Županije Posavske</t>
  </si>
  <si>
    <t>Kantonalni sud Odžak</t>
  </si>
  <si>
    <t>Županijsko pravobraniteljstvo</t>
  </si>
  <si>
    <t>Kantonalno tužiteljstvo</t>
  </si>
  <si>
    <t>Županijska uprava za inspekcijske poslove</t>
  </si>
  <si>
    <t>Završne odredbe</t>
  </si>
  <si>
    <t>RB</t>
  </si>
  <si>
    <t>5.</t>
  </si>
  <si>
    <t>O P I S</t>
  </si>
  <si>
    <t xml:space="preserve"> Grant za Kuću nade Odžak</t>
  </si>
  <si>
    <t>MINISTARSTVO PROSVJETE - ŠKOLSKI CENTAR FRA MARTINA NEDIĆA ORAŠJE</t>
  </si>
  <si>
    <t>MINISTARSTVO PROSVJETE - SREDNJA STRUKOVNA ŠKOLA ORAŠJE</t>
  </si>
  <si>
    <t>Ministarstvo prosvjete - Školski centar Fra Martina Nedića Orašje</t>
  </si>
  <si>
    <t>Ministarstvo prosvjete - Srednja strukovna škola Orašje</t>
  </si>
  <si>
    <t xml:space="preserve"> Grant za sanaciju šteta uzrokovanih poplavom</t>
  </si>
  <si>
    <t xml:space="preserve"> Grant za Sveučilište u Mostaru</t>
  </si>
  <si>
    <t xml:space="preserve"> Grantovi nižim razinama vlasti</t>
  </si>
  <si>
    <t>Članak 4.</t>
  </si>
  <si>
    <t>Članak 5.</t>
  </si>
  <si>
    <t>Predsjednik</t>
  </si>
  <si>
    <t xml:space="preserve">   Porezi na dobit pojedinaca (zaostale uplate poreza)</t>
  </si>
  <si>
    <t xml:space="preserve">   Porez na dobit od gospodarskih i profesionalnih djelatnosti</t>
  </si>
  <si>
    <t xml:space="preserve">   Porez na prihod od imovine i imovinskih prava</t>
  </si>
  <si>
    <t xml:space="preserve">   Porez na dobit</t>
  </si>
  <si>
    <t xml:space="preserve">   Porez po odbitku</t>
  </si>
  <si>
    <t xml:space="preserve">   Porez na dobit poduzeća</t>
  </si>
  <si>
    <t>2.Porezi na plaću i radnu snagu (zaostale uplate poreza)</t>
  </si>
  <si>
    <t xml:space="preserve">   Porezi na plaću i druga osobna primanja</t>
  </si>
  <si>
    <t xml:space="preserve">   Porezi na dodatna primanja</t>
  </si>
  <si>
    <t xml:space="preserve">   Porez na imovinu od fizičkih osoba</t>
  </si>
  <si>
    <t xml:space="preserve">   Porez na imovinu od pravnih osoba</t>
  </si>
  <si>
    <t xml:space="preserve">   Porez na imovinu za motorna vozila</t>
  </si>
  <si>
    <t xml:space="preserve">   Porez na naslijeđe i darove</t>
  </si>
  <si>
    <t xml:space="preserve">   Porez na promet nepokretnosti - fizičkih osoba</t>
  </si>
  <si>
    <t xml:space="preserve">   Porez na promet nepokretnosti - pravnih osoba</t>
  </si>
  <si>
    <t>4.Domaći porezi na dobra i usluge (zaostale obveze na 
   temelju poreza na promet dobara i usluga)</t>
  </si>
  <si>
    <t xml:space="preserve">   Porez na promet proizvoda (opća stopa od 20%)</t>
  </si>
  <si>
    <t xml:space="preserve">   Kaznena kamata</t>
  </si>
  <si>
    <t xml:space="preserve">   Porez na promet usluga, osim usluga u građevinarstvu</t>
  </si>
  <si>
    <t xml:space="preserve">   Porezi na prodaju dobara i usluga, ukupni promet ili 
   dodanu vrijednost</t>
  </si>
  <si>
    <t xml:space="preserve">   Porez na promet posebnih usluga</t>
  </si>
  <si>
    <t xml:space="preserve">   Porez na dobitke od igara na sreću</t>
  </si>
  <si>
    <t xml:space="preserve">   Ostali porezi na promet proizvoda i usluga</t>
  </si>
  <si>
    <t xml:space="preserve">   Porez na promet osnovnih proizvoda poljoprivrede, ribarstva i 
   proizvoda koji služe za ljudsku prehranu</t>
  </si>
  <si>
    <t xml:space="preserve">   Porez na dohodak</t>
  </si>
  <si>
    <t xml:space="preserve">   Prihodi od poreza na dohodak po konačnom obračunu</t>
  </si>
  <si>
    <t xml:space="preserve">   Prihodi od poreza na dohodak fiz.osoba od nesam.djelatnosti</t>
  </si>
  <si>
    <t xml:space="preserve">   Prihodi od poreza na dohodak fizi.osoba od samost.djelatnosti</t>
  </si>
  <si>
    <t xml:space="preserve">   Prihodi od poreza na dohodak fiz.os.od imovine i imov.prava</t>
  </si>
  <si>
    <t xml:space="preserve">   Prihodi od poreza na dohodak fiz.osoba od ulaganja kapitala</t>
  </si>
  <si>
    <t xml:space="preserve">   Prihodi od poreza na dohodak fizičkih osoba na dobitke od 
   nagradnih igara i igara na sreću</t>
  </si>
  <si>
    <t xml:space="preserve">   Prihodi od poreza na dohodak od dr.samostalnih djelatnosti</t>
  </si>
  <si>
    <t xml:space="preserve">   Prihodi od neizravnih poreza</t>
  </si>
  <si>
    <t xml:space="preserve">   Prihodi od neizravnih poreza koji pripadaju županijama</t>
  </si>
  <si>
    <t xml:space="preserve">   Prihodi od neizravnih poreza koji pripadaju Direkciji cesta</t>
  </si>
  <si>
    <t xml:space="preserve">   Ostali porezi</t>
  </si>
  <si>
    <t xml:space="preserve">   Pos.porez na plaću za zašt.od prir.i dr.nesr.(zaost.obveze)</t>
  </si>
  <si>
    <t xml:space="preserve">   Poseban porez za zaštitu od prirodnih i drugih nesreća po 
   osnovi ugovora o djelu i povr.i privr.poslova (zaostale obveze)</t>
  </si>
  <si>
    <t xml:space="preserve">   Prihodi od nefinanc.jav.poduzeća i financ.jav.institucija</t>
  </si>
  <si>
    <t xml:space="preserve">   Prihodi od davanja prava na eksploataciju prirodnih resursa</t>
  </si>
  <si>
    <t xml:space="preserve">   Ostali prihodi od imovine</t>
  </si>
  <si>
    <t xml:space="preserve">   Prihodi od kamate za depozite u banci</t>
  </si>
  <si>
    <t xml:space="preserve">   Kamata i divid.primljene od pozajmica i udj.u kapitalu</t>
  </si>
  <si>
    <t xml:space="preserve">   Kamate primljene od pozajmica Federaciji</t>
  </si>
  <si>
    <t xml:space="preserve">   Prihodi od pozitivnih tečajnih razlika</t>
  </si>
  <si>
    <t xml:space="preserve">   Administrativne pristojbe</t>
  </si>
  <si>
    <t xml:space="preserve">   Županijske administrativne pristojbe</t>
  </si>
  <si>
    <t xml:space="preserve">   Sudske pristojbe</t>
  </si>
  <si>
    <t xml:space="preserve">   Županijske sudske pristojbe</t>
  </si>
  <si>
    <t xml:space="preserve">   Ostale proračunske naknade</t>
  </si>
  <si>
    <t xml:space="preserve">   Županijske naknade</t>
  </si>
  <si>
    <t xml:space="preserve">   Ostale županijske naknade</t>
  </si>
  <si>
    <t xml:space="preserve">   Naknade za korištenje šuma</t>
  </si>
  <si>
    <t xml:space="preserve">   Naknada za obavljeni tehn.pregl.vozila koja pripada županijama</t>
  </si>
  <si>
    <t xml:space="preserve">   Naknada za opće korisne funkcije šuma</t>
  </si>
  <si>
    <t xml:space="preserve">   Naknada za korištenje državnih šuma</t>
  </si>
  <si>
    <t xml:space="preserve">   Naknada za opće korisne funkc.šuma utvrđene žup.propisima</t>
  </si>
  <si>
    <t xml:space="preserve">   Naknada za obavljanje stručnih poslova u privatnim šumama 
   utvrđena županijskim propisima</t>
  </si>
  <si>
    <t xml:space="preserve">   Naknada za korištenje podataka premjera i katastra</t>
  </si>
  <si>
    <t xml:space="preserve">   Naknada za vršenje usluga iz oblasti premjera i katastra</t>
  </si>
  <si>
    <t xml:space="preserve">   Vodne naknade</t>
  </si>
  <si>
    <t xml:space="preserve">   Posebna vodna naknada za zaštitu od poplava</t>
  </si>
  <si>
    <t xml:space="preserve">   Opća vodna naknada</t>
  </si>
  <si>
    <t xml:space="preserve">   Cestovne naknade</t>
  </si>
  <si>
    <t xml:space="preserve">   Naknada za uporabu cesta za vozila pravnih osoba</t>
  </si>
  <si>
    <t xml:space="preserve">   Naknada za uporabu cesta za vozila građana</t>
  </si>
  <si>
    <t xml:space="preserve">   Naknada za korištenje cestovnog zemljišta</t>
  </si>
  <si>
    <t xml:space="preserve">   Zaostale obveze po osnovi naknada za korištenje šuma</t>
  </si>
  <si>
    <t xml:space="preserve">   Naknada za korištenje općekorisnih funkcija šuma</t>
  </si>
  <si>
    <t xml:space="preserve">   Naknada za zaštitu okoliša</t>
  </si>
  <si>
    <t xml:space="preserve">   Naknada zagađivača okoliša pravnih osoba</t>
  </si>
  <si>
    <t xml:space="preserve">   Prihodi od pružanja javnih usluga</t>
  </si>
  <si>
    <t xml:space="preserve">   Federalna naknada za izvršene veterinarsko-zdravstvene 
   preglede i kontrolu u zemlji</t>
  </si>
  <si>
    <t xml:space="preserve">   Posebna vodna naknada za zaštitu voda za transportna 
   sredstva koja za pogon koriste naftu ili naftne derivate</t>
  </si>
  <si>
    <t xml:space="preserve">   Posebna vodna naknada za zaštitu voda (ispuštanje otpadnih 
   voda, uzgoj ribe, upotrebu umj.đubriva i kemik.za zašt.bilja)</t>
  </si>
  <si>
    <t xml:space="preserve">   Posebna vodna naknada za korištenje površinskih i 
   podzemnih voda za javnu vodoopskrbu</t>
  </si>
  <si>
    <t xml:space="preserve">   Posebne naknade za okoliš koje plaćaju pravne osobe pri 
   svakoj registraciji motornih vozila</t>
  </si>
  <si>
    <t xml:space="preserve">   Posebne naknade za okoliš koje plaćaju fizičke osobe pri 
   svakoj registraciji motornih vozila</t>
  </si>
  <si>
    <t xml:space="preserve">   Posebne naknade za zaštitu od prirodnih i dr.nesreća</t>
  </si>
  <si>
    <t xml:space="preserve">   Naknada za vatrogasne jedinice iz premije osiguranja imovine 
   od požara i prirodnih sila</t>
  </si>
  <si>
    <t xml:space="preserve">   Naknada iz funkcionalne premije osiguranja od 
   autoodgovornosti za vatrogasne jedinice</t>
  </si>
  <si>
    <t xml:space="preserve">   Naknada za zajedničke profesionalne vatrogasne jedinice iz 
   premije osiguranja imovine od požara i prirodnih sila</t>
  </si>
  <si>
    <t xml:space="preserve">   Prihodi od pružanja usluga građanima</t>
  </si>
  <si>
    <t xml:space="preserve">   Prihodi od pružanja usluga pravnim osobama</t>
  </si>
  <si>
    <t xml:space="preserve">   Prihodi od pružanja usluga drugima</t>
  </si>
  <si>
    <t xml:space="preserve">   Prihodi od pružanja usluga drugim razinama vlasti</t>
  </si>
  <si>
    <t xml:space="preserve">   Vlastiti prihodi proračunskih korisnika</t>
  </si>
  <si>
    <t xml:space="preserve">   Neplanirane uplate - prihodi</t>
  </si>
  <si>
    <t xml:space="preserve">   Prihodi od trošk.naplate po osn.pokret.postupka prin.naplate</t>
  </si>
  <si>
    <t xml:space="preserve">   Ostale neplanirane uplate</t>
  </si>
  <si>
    <t xml:space="preserve">   Novčane kazne</t>
  </si>
  <si>
    <t xml:space="preserve">   Novčane kazne po županijskim propisima</t>
  </si>
  <si>
    <t xml:space="preserve">   Ostale kazne</t>
  </si>
  <si>
    <t xml:space="preserve">   Ostali prihodi</t>
  </si>
  <si>
    <t xml:space="preserve">   Novčane kazne za prekršaje koje su registrirane u registru 
   novčanih kazni i troškovi prekršajnog postupka</t>
  </si>
  <si>
    <t>3. Donacije</t>
  </si>
  <si>
    <t xml:space="preserve">   Donacije</t>
  </si>
  <si>
    <t xml:space="preserve">   Domaće donacije</t>
  </si>
  <si>
    <t xml:space="preserve">   Donacije iz inozemstva</t>
  </si>
  <si>
    <t>V  PRIHODI PO OSNOVI ZAOSTALIH OBVEZA</t>
  </si>
  <si>
    <t xml:space="preserve">   Uplate zaostalih obveza od por.na promet visokotar.proizvoda</t>
  </si>
  <si>
    <t xml:space="preserve">   Uplate zaost.obveza od nakn.Za puteve iz cijene naft.derivata</t>
  </si>
  <si>
    <t>VI KAPITALNI PRIMICI</t>
  </si>
  <si>
    <t xml:space="preserve">   Kapitalni primici od prodaje stalnih sredstava</t>
  </si>
  <si>
    <t>1.Kapitalni primici od prodaje stalnih sredstava</t>
  </si>
  <si>
    <t xml:space="preserve">   Porez na imovinu</t>
  </si>
  <si>
    <t xml:space="preserve">   Porezi na plaće (zaostale uplate poreza)</t>
  </si>
  <si>
    <t xml:space="preserve">2.Naknade i pristojbe i prihodi od pružanja javnih usluga </t>
  </si>
  <si>
    <t xml:space="preserve">   Naknade za korištenje, zaštitu i unapređenje šuma 
   utvrđene županijskim propisima</t>
  </si>
  <si>
    <t xml:space="preserve">   Naknade i pristojbe za veterinarske i sanitarne preglede 
   životinja i biljaka</t>
  </si>
  <si>
    <t xml:space="preserve">       9.1.  Izdaci za otplate dugova</t>
  </si>
  <si>
    <t xml:space="preserve">      17010001 Ministarstvo zdravstva, rada i socijalne politike - 
      Civilne žrtve rata</t>
  </si>
  <si>
    <t xml:space="preserve">      99999999 Riznica ŽP - Proračunska potpora</t>
  </si>
  <si>
    <t>UKUPNO POREZNI I NEPOREZNI PRIHODI (I+II)</t>
  </si>
  <si>
    <t>UKUPNO PRIHODI (I+II+III+IV+V)</t>
  </si>
  <si>
    <t xml:space="preserve">   Naknade za korištenje poljopr.zemljišta u nepoljopr.svrhe</t>
  </si>
  <si>
    <t xml:space="preserve"> Grantovi za poljoprivredu</t>
  </si>
  <si>
    <t xml:space="preserve"> Grantovi za vodoprivredu</t>
  </si>
  <si>
    <t xml:space="preserve"> Grant za uređenje poljoprivrednog zemljišta</t>
  </si>
  <si>
    <t xml:space="preserve"> Transfer za sufinanciranje prijevoza učenika</t>
  </si>
  <si>
    <t>Ministarstvo unutarnjih poslova</t>
  </si>
  <si>
    <t>Proračunski
korisnik</t>
  </si>
  <si>
    <t>Ministarstvo prosvjete, znanosti, kulture i športa - Srednja škola Pere Zečevića Odžak</t>
  </si>
  <si>
    <t>Ministarstvo prosvjete, znanosti, kulture i športa - Školski centar fra Martina Nedića Orašje</t>
  </si>
  <si>
    <t>Ministarstvo prosvjete, znanosti, kulture i športa - Srednja strukovna škola Orašje</t>
  </si>
  <si>
    <t>Ministarstvo prosvjete, znanosti, kulture i športa - Osnovna škola Orašje</t>
  </si>
  <si>
    <t>Ministarstvo prosvjete, znanosti, kulture i športa - Osnovna škola Vladimira Nazora Odžak</t>
  </si>
  <si>
    <t>Ministarstvo prosvjete, znanosti, kulture i športa - Osnovna škola Ruđera Boškovića Donja Mahala</t>
  </si>
  <si>
    <t>Ministarstvo prosvjete, znanosti, kulture i športa - Osnovna škola fra Ilije Starčevića Tolisa</t>
  </si>
  <si>
    <t>Ministarstvo prosvjete, znanosti, kulture i športa - Osnovna škola Stjepana Radića Oštra Luka-Bok</t>
  </si>
  <si>
    <t>Ministarstvo prosvjete, znanosti, kulture i športa - Osnovna škola A.G.Matoša Vidovice</t>
  </si>
  <si>
    <t>Ministarstvo prosvjete, znanosti, kulture i športa - Osnovna škola Braće Radića Domaljevac</t>
  </si>
  <si>
    <t>Bruto plaće
611100</t>
  </si>
  <si>
    <t>Nakn.trošk.zaposlenih
611200</t>
  </si>
  <si>
    <t xml:space="preserve">Tekući grantovi
614000 </t>
  </si>
  <si>
    <t>Kapitalni grantovi
615000</t>
  </si>
  <si>
    <t>Izdaci za kamate
616000</t>
  </si>
  <si>
    <t>Otplate dugova
823000</t>
  </si>
  <si>
    <t>UKUPNO</t>
  </si>
  <si>
    <t>NAZIV</t>
  </si>
  <si>
    <t>Dopr.posl.
612000</t>
  </si>
  <si>
    <t>Mat.trošk.
613000</t>
  </si>
  <si>
    <t>Nab.staln.
sredstava
821000</t>
  </si>
  <si>
    <t>UKUPNO:</t>
  </si>
  <si>
    <t>Tekuća pričuva</t>
  </si>
  <si>
    <t>Proračun</t>
  </si>
  <si>
    <t>Izvor financiranja</t>
  </si>
  <si>
    <t>3=4+5+6</t>
  </si>
  <si>
    <t>1. Primljeni tekući grantovi od inozemnih vlada i 
   međunarodnih organizacija</t>
  </si>
  <si>
    <t xml:space="preserve">   Primljeni tekući grantovi od inoz.vlada i međ.organizacija</t>
  </si>
  <si>
    <t xml:space="preserve">   Primljeni tekući grantovi od međunarodnih organizacija</t>
  </si>
  <si>
    <t>2. Primljeni tekući grantovi od ostalih razina vlasti</t>
  </si>
  <si>
    <t xml:space="preserve">   Primljeni tekući grantovi od ostalih razina vlasti i fondova</t>
  </si>
  <si>
    <t xml:space="preserve">   Primljeni tekući grantovi od ostalih razina vlasti</t>
  </si>
  <si>
    <t xml:space="preserve">   Primljeni tekući grantovi od FBiH</t>
  </si>
  <si>
    <t xml:space="preserve">   Primljeni namjenski grantovi od drugih razina vlasti</t>
  </si>
  <si>
    <t>IV KAPITALNI GRANTOVI</t>
  </si>
  <si>
    <t>1. Primljeni kapitalni grantovi od inozemnih vlada i 
   međunarodnih organizacija</t>
  </si>
  <si>
    <t xml:space="preserve">   Primljeni kapitalni grantovi od inozemnih vlada i 
   međunarodnih organizacija</t>
  </si>
  <si>
    <t xml:space="preserve">   Primljeni kapitalni grantovi od inozemnih vlada</t>
  </si>
  <si>
    <t>2. Kapitalni grantovi od ostalih razina vlasti</t>
  </si>
  <si>
    <t xml:space="preserve">   Kapitalni grantovi od ostalih razina vlasti i fondova</t>
  </si>
  <si>
    <t xml:space="preserve">   Primljeni kapitalni grantovi od Federacije</t>
  </si>
  <si>
    <t>UKUPNO PRIHODI, TEKUĆI I KAPITALNI GRANTOVI I PRIMICI:</t>
  </si>
  <si>
    <t>Rashodi i izdaci</t>
  </si>
  <si>
    <t>Pokriće deficita</t>
  </si>
  <si>
    <t>III TEKUĆI GRANTOVI (GRANTOVI I DONACIJE)</t>
  </si>
  <si>
    <t>Funk. kod</t>
  </si>
  <si>
    <t>Opis</t>
  </si>
  <si>
    <t>011</t>
  </si>
  <si>
    <t>012</t>
  </si>
  <si>
    <t>Strana ekonomska pomoć</t>
  </si>
  <si>
    <t>013</t>
  </si>
  <si>
    <t>Opće usluge</t>
  </si>
  <si>
    <t>014</t>
  </si>
  <si>
    <t>Osnovno istraživanje</t>
  </si>
  <si>
    <t>015</t>
  </si>
  <si>
    <t>IiR Opće javne usluge</t>
  </si>
  <si>
    <t>016</t>
  </si>
  <si>
    <t>Opće javne usluge n. k.</t>
  </si>
  <si>
    <t>017</t>
  </si>
  <si>
    <t xml:space="preserve">Transakcije vezane za javni dug </t>
  </si>
  <si>
    <t>018</t>
  </si>
  <si>
    <t>021</t>
  </si>
  <si>
    <t>022</t>
  </si>
  <si>
    <t>023</t>
  </si>
  <si>
    <t>024</t>
  </si>
  <si>
    <t>025</t>
  </si>
  <si>
    <t>031</t>
  </si>
  <si>
    <t>Policijske usluge</t>
  </si>
  <si>
    <t>032</t>
  </si>
  <si>
    <t>033</t>
  </si>
  <si>
    <t>Sudovi</t>
  </si>
  <si>
    <t>034</t>
  </si>
  <si>
    <t>Zatvori</t>
  </si>
  <si>
    <t>035</t>
  </si>
  <si>
    <t>IiR  Javni red i sigurnost</t>
  </si>
  <si>
    <t>036</t>
  </si>
  <si>
    <t>Javni red i sigurnost n. k.</t>
  </si>
  <si>
    <t>04</t>
  </si>
  <si>
    <t>Ekonomski poslovi    (25+….+33)</t>
  </si>
  <si>
    <t>041</t>
  </si>
  <si>
    <t>Opći ekonomski, komercijalni i poslovi po pitanju rada</t>
  </si>
  <si>
    <t>042</t>
  </si>
  <si>
    <t>Poljoprivreda, šumarstvo, lov i ribolov</t>
  </si>
  <si>
    <t>043</t>
  </si>
  <si>
    <t>Gorivo i energija</t>
  </si>
  <si>
    <t>044</t>
  </si>
  <si>
    <t xml:space="preserve">Rudarstvo, proizvodnja i izgradnja </t>
  </si>
  <si>
    <t>045</t>
  </si>
  <si>
    <t>046</t>
  </si>
  <si>
    <t>Komunikacije</t>
  </si>
  <si>
    <t>047</t>
  </si>
  <si>
    <t>Ostale industrije</t>
  </si>
  <si>
    <t>048</t>
  </si>
  <si>
    <t>IiR Ekonomski poslovi</t>
  </si>
  <si>
    <t>049</t>
  </si>
  <si>
    <t>Ekonomski poslovi n. k.</t>
  </si>
  <si>
    <t>Zaštita životne sredine      (35+…..+40)</t>
  </si>
  <si>
    <t>051</t>
  </si>
  <si>
    <t xml:space="preserve">Upravljanje otpadom </t>
  </si>
  <si>
    <t>052</t>
  </si>
  <si>
    <t>Upravljanje otpadnim vodama</t>
  </si>
  <si>
    <t>053</t>
  </si>
  <si>
    <t>Smanjenje zagađenosti</t>
  </si>
  <si>
    <t>054</t>
  </si>
  <si>
    <t>055</t>
  </si>
  <si>
    <t>056</t>
  </si>
  <si>
    <t>Zaštita životne sredine n. k.</t>
  </si>
  <si>
    <t>Stambeni i zajednički poslovi    (42+….+47)</t>
  </si>
  <si>
    <t>061</t>
  </si>
  <si>
    <t>Stambeni razvoj</t>
  </si>
  <si>
    <t>062</t>
  </si>
  <si>
    <t>Razvoj zajednice</t>
  </si>
  <si>
    <t>063</t>
  </si>
  <si>
    <t>064</t>
  </si>
  <si>
    <t>Ulična rasvjeta</t>
  </si>
  <si>
    <t>065</t>
  </si>
  <si>
    <t>IiR Stambeni i zajednički poslovi</t>
  </si>
  <si>
    <t>066</t>
  </si>
  <si>
    <t>Stambeni i zajednički poslovi n. k.</t>
  </si>
  <si>
    <t>07</t>
  </si>
  <si>
    <t>Zdravstvo    (49+….+54)</t>
  </si>
  <si>
    <t>071</t>
  </si>
  <si>
    <t>Medicinski proizvodi, uređaji i oprema</t>
  </si>
  <si>
    <t>072</t>
  </si>
  <si>
    <t xml:space="preserve"> Nabavka stalnih sredstava u obliku prava</t>
  </si>
  <si>
    <t xml:space="preserve">   Porez na ukupan prihod fizičkih osoba</t>
  </si>
  <si>
    <t xml:space="preserve">   Porez na promet proizvoda (niža stopa)</t>
  </si>
  <si>
    <r>
      <t xml:space="preserve">      99999999 Riznica </t>
    </r>
    <r>
      <rPr>
        <b/>
        <sz val="10"/>
        <color indexed="8"/>
        <rFont val="Calibri"/>
        <family val="2"/>
        <charset val="238"/>
      </rPr>
      <t>(razgraničenja)</t>
    </r>
  </si>
  <si>
    <t xml:space="preserve">   Posebna vodna naknada za vađenje materijala iz vodotoka</t>
  </si>
  <si>
    <t xml:space="preserve">   Ostali povrati</t>
  </si>
  <si>
    <r>
      <t xml:space="preserve">      18010001 Ministarstvo prometa, veza, turizma i zašt.okoliša
      </t>
    </r>
    <r>
      <rPr>
        <sz val="10"/>
        <color indexed="8"/>
        <rFont val="Calibri"/>
        <family val="2"/>
        <charset val="238"/>
      </rPr>
      <t>- GSM licence</t>
    </r>
  </si>
  <si>
    <t xml:space="preserve">       5.1.  Izdaci za nabavku stalnih sredstava</t>
  </si>
  <si>
    <t xml:space="preserve">   Naknada za postavljanje reklamnih panoa</t>
  </si>
  <si>
    <t xml:space="preserve">   Prihodi od mjenice</t>
  </si>
  <si>
    <t xml:space="preserve">      16010001 Ministarstvo financija - Refundacija kamata</t>
  </si>
  <si>
    <t xml:space="preserve">      11010001 Vlada ŽP - Ured za Hrvate izvan RH</t>
  </si>
  <si>
    <t>Minist.prosv., znanosti, kulture i športa - Osnovna škola fra Ilije Starčevića Tolisa</t>
  </si>
  <si>
    <t xml:space="preserve"> Naknade troškova zaposlenih - volonteri ()</t>
  </si>
  <si>
    <t xml:space="preserve"> Ugovorene i druge posebne usluge-volonteri ()</t>
  </si>
  <si>
    <t xml:space="preserve">   Primici od prodaje zemljišta</t>
  </si>
  <si>
    <t xml:space="preserve">   Primici od prodaje prometnih vozila</t>
  </si>
  <si>
    <t xml:space="preserve"> Potpora riznici</t>
  </si>
  <si>
    <t>21 (21)</t>
  </si>
  <si>
    <t>Namjenski prihodi</t>
  </si>
  <si>
    <t>Grantovi i donacije</t>
  </si>
  <si>
    <t>Minist.prosv., znan., kult.i šp.- Osnovna škola Stjepana Radića Oštra Luka-Bok</t>
  </si>
  <si>
    <t>Minist.prosvj., znanosti, kulture i športa - Osnovna škola A.G.Matoša Vidovice</t>
  </si>
  <si>
    <t>Minist.prosv., znan., kulture i športa - Osnovna škola Braće Radića Domaljevac</t>
  </si>
  <si>
    <t xml:space="preserve">   Primljeni tekući grantovi od inozemnih vlada</t>
  </si>
  <si>
    <t xml:space="preserve">   Primljeni kapitalni grantovi od Države</t>
  </si>
  <si>
    <t>URED ZA RAZVOJ I EUROPSKE INTEGRACIJE ŽUPANIJE POSAVSKE</t>
  </si>
  <si>
    <t>43 (45)</t>
  </si>
  <si>
    <t>51 (51)</t>
  </si>
  <si>
    <t>32 (33)</t>
  </si>
  <si>
    <t>29 (29)</t>
  </si>
  <si>
    <t xml:space="preserve"> Ugovorene i druge posebne usluge-prostorni plan</t>
  </si>
  <si>
    <t xml:space="preserve"> Ugovorene i druge posebne usluge-Nerda</t>
  </si>
  <si>
    <t xml:space="preserve"> o/č Izdaci za tekuće održavanje</t>
  </si>
  <si>
    <t xml:space="preserve"> o/č Tekuće održavanje cesta</t>
  </si>
  <si>
    <t xml:space="preserve"> o/č Izdaci osiguranja, bank. usluga i usluga p.p.</t>
  </si>
  <si>
    <t xml:space="preserve"> o/č Izdaci za negativne tečajne razlike</t>
  </si>
  <si>
    <t xml:space="preserve"> o/č Ugovorene i druge posebne usluge</t>
  </si>
  <si>
    <t xml:space="preserve"> o/č Agencija za državnu službu</t>
  </si>
  <si>
    <t xml:space="preserve"> o/č Potpora riznici</t>
  </si>
  <si>
    <t xml:space="preserve"> o/č Vozački ispiti-vlastiti prihodi</t>
  </si>
  <si>
    <t xml:space="preserve"> o/č Ugovorene i druge posebne usluge-prostorni plan</t>
  </si>
  <si>
    <t xml:space="preserve"> o/č Ugovorene i druge posebne usluge-Nerda</t>
  </si>
  <si>
    <t xml:space="preserve"> o/č Grant za sanaciju šteta uzrokovanih poplavom</t>
  </si>
  <si>
    <t xml:space="preserve"> o/č Grant za Sveučilište u Mostaru</t>
  </si>
  <si>
    <t xml:space="preserve"> o/č Grantovi nižim razinama vlasti</t>
  </si>
  <si>
    <t xml:space="preserve"> o/č Transfer za zdravstvene institucije i centre za soc.rad</t>
  </si>
  <si>
    <t xml:space="preserve"> o/č Grant za zaštitu okoliša</t>
  </si>
  <si>
    <t xml:space="preserve"> o/č Grant za razvoj turizma</t>
  </si>
  <si>
    <t xml:space="preserve"> o/č Grantovi za šumarstvo</t>
  </si>
  <si>
    <t xml:space="preserve"> o/č Grantovi za financiranje višeg i visokog obrazovanja i 
       Zavoda za školstvo</t>
  </si>
  <si>
    <t xml:space="preserve"> o/č Grantovi za šport i kulturu</t>
  </si>
  <si>
    <t xml:space="preserve"> o/č Transfer za sufinanciranje prijevoza učenika</t>
  </si>
  <si>
    <t xml:space="preserve"> o/č Grant za sufinanciranje nabavke udžbenika učenicima </t>
  </si>
  <si>
    <t xml:space="preserve"> o/č Grantovi za povratak raseljenih osoba</t>
  </si>
  <si>
    <t xml:space="preserve"> o/č Grantovi za zdravstvene i socijalne potrebe</t>
  </si>
  <si>
    <t xml:space="preserve"> o/č Isplate stipendija</t>
  </si>
  <si>
    <t xml:space="preserve"> o/č Grant za sufinanciranje osn.i srednjeg obrazovanja djece s 
       posebnim potrebama</t>
  </si>
  <si>
    <t xml:space="preserve"> o/č Grantovi za branitelje i stradalnike dom. rata</t>
  </si>
  <si>
    <t xml:space="preserve"> o/č Grant za zaštitu od prirodnih i drugih nesreća</t>
  </si>
  <si>
    <t xml:space="preserve"> o/č Grantovi političkim strankama</t>
  </si>
  <si>
    <t xml:space="preserve"> o/č Grantovi neprofitnim organizacijama i udrugama građana</t>
  </si>
  <si>
    <t xml:space="preserve"> o/č Grant za Crveni križ Županije Posavske</t>
  </si>
  <si>
    <t xml:space="preserve"> o/č Grant za Kuću nade Odžak</t>
  </si>
  <si>
    <t xml:space="preserve"> o/č Grant za Udrugu roditelja djece s posebnim potrebama 
      Angelus Domaljevac</t>
  </si>
  <si>
    <t xml:space="preserve"> o/č Grant za Gospodarsku komoru ŽP</t>
  </si>
  <si>
    <t xml:space="preserve"> o/č Grantovi za informiranje</t>
  </si>
  <si>
    <t xml:space="preserve"> o/č Grantovi za financiranje vjerskih zajednica</t>
  </si>
  <si>
    <t xml:space="preserve"> o/č Grantovi za poljoprivredu</t>
  </si>
  <si>
    <t xml:space="preserve"> o/č Grantovi za vodoprivredu</t>
  </si>
  <si>
    <t xml:space="preserve"> o/č Grant za uređenje poljoprivrednog zemljišta</t>
  </si>
  <si>
    <t xml:space="preserve"> o/č Ostali grantovi-povrat i drugo</t>
  </si>
  <si>
    <t xml:space="preserve"> o/č Ostali grantovi-izvršenje sudskih presuda i rješenja o 
      izvršenju</t>
  </si>
  <si>
    <t xml:space="preserve"> Tekući grantovi drugim razinama vlasti i fondovima</t>
  </si>
  <si>
    <t xml:space="preserve"> Tekući grantovi pojedincima</t>
  </si>
  <si>
    <t xml:space="preserve"> Tekući grantovi neprofitnim organizacijama</t>
  </si>
  <si>
    <t xml:space="preserve"> Subvencije privatnim poduzećima i poduzetnicima</t>
  </si>
  <si>
    <t xml:space="preserve"> Drugi tekući rashodi</t>
  </si>
  <si>
    <t>P R O R A Č U N</t>
  </si>
  <si>
    <t>PRORAČUN za 
2018.godinu</t>
  </si>
  <si>
    <t>PRORAČUN za 2018.</t>
  </si>
  <si>
    <t>Ekon. 
kod</t>
  </si>
  <si>
    <t xml:space="preserve"> Ostali grantovi-izvršenje sudskih presuda i rješenja
 o izvršenju</t>
  </si>
  <si>
    <t>53 (60)</t>
  </si>
  <si>
    <t>43 (43)</t>
  </si>
  <si>
    <t>28 (28)</t>
  </si>
  <si>
    <t>Otplate domaćeg pozajmljivanja-Austrija</t>
  </si>
  <si>
    <t>Otplate domaćeg pozajmljivanja-Koreja</t>
  </si>
  <si>
    <t xml:space="preserve"> Otplate domaćeg pozajmljivanja - Austrija</t>
  </si>
  <si>
    <t xml:space="preserve"> Otplate domaćeg pozajmljivanja - Koreja</t>
  </si>
  <si>
    <t>105 (109)</t>
  </si>
  <si>
    <t xml:space="preserve">      11010001 Vlada ŽP - Fond za zaštitu okoliša Federacije BiH</t>
  </si>
  <si>
    <t>53 (55)</t>
  </si>
  <si>
    <t>53 (53)</t>
  </si>
  <si>
    <t>45 (45)</t>
  </si>
  <si>
    <t xml:space="preserve">   Grantovi od izvanproračunskih fondova</t>
  </si>
  <si>
    <t>947 (967)</t>
  </si>
  <si>
    <t xml:space="preserve"> o/č Grant za sufinanciranje profesionalne vatrogasne postrojbe</t>
  </si>
  <si>
    <t>Ured za razvoj i europske integracije Županije Posavske</t>
  </si>
  <si>
    <t>54 (61)</t>
  </si>
  <si>
    <t xml:space="preserve"> Ugovorene i druge posebne usluge-volonteri (1) (0)</t>
  </si>
  <si>
    <t xml:space="preserve"> Ugovorene i druge posebne usluge-volonteri (2) (0)</t>
  </si>
  <si>
    <t>Javni red i sihurnost       (18+….+23)</t>
  </si>
  <si>
    <t xml:space="preserve">Usluge protupožarne zaštite </t>
  </si>
  <si>
    <t xml:space="preserve">   Prihodi od zakupa javnog vodnog dobra na površ.vodama I kateg.</t>
  </si>
  <si>
    <t xml:space="preserve">   Ostali prih.za korišt., zaštitu i unapređ.šuma po žup.propisima</t>
  </si>
  <si>
    <t xml:space="preserve">     19010001 Min.poljopr., vodoprivrede i šumarstva - DR.SHARE</t>
  </si>
  <si>
    <t xml:space="preserve">   Primljeni namj.grantovi za obrazov.- SSŠ Orašje - Udruga Nerda</t>
  </si>
  <si>
    <t xml:space="preserve">      20020002 Sred.škola P.Zečevića Odžak-Ured za Hrvate izvan RH</t>
  </si>
  <si>
    <t xml:space="preserve">      20020002 Srednja strukovna škola Orašje - Federalno 
      ministarstvo obrazovanja i nauke</t>
  </si>
  <si>
    <t>INDEKS
6/4</t>
  </si>
  <si>
    <t>INDEKS
(4/3)</t>
  </si>
  <si>
    <t xml:space="preserve">   Posebna naknada za zaštitu od prir.i drugih nesreća gdje 
   je osnovica sumarni iznos neto prim.po osnovi dr.samostalne 
   djelatnosti i povremenog samostalnog rada</t>
  </si>
  <si>
    <t xml:space="preserve">   Posebna vodna naknada za korištenje površ..i podzemnih 
   voda za industrijske procese, uključujući i termoelektrane</t>
  </si>
  <si>
    <t xml:space="preserve">   Poseb.vodna naknada za korištenje površ.i podzem.voda za
   flaš.vode i min.vode za uzgoj ribe u ribnj.za navod.i dr.namj.</t>
  </si>
  <si>
    <t xml:space="preserve">   Posebna naknada za zaštitu od prirodnih i drugih nesreća 
   gdje je osnovica sumarni iznos neto plaće za isplatu</t>
  </si>
  <si>
    <t xml:space="preserve">   Posebna vodna naknada za korištenje vode za proizvodnju 
   električne energije</t>
  </si>
  <si>
    <t xml:space="preserve">   Naknade i pristojbe po Fed.zakonima i dr.propisima</t>
  </si>
  <si>
    <r>
      <t xml:space="preserve">      19010001 Minist.poljopr., vodoprivrede i šumarstva </t>
    </r>
    <r>
      <rPr>
        <b/>
        <sz val="10"/>
        <color indexed="8"/>
        <rFont val="Calibri"/>
        <family val="2"/>
        <charset val="238"/>
      </rPr>
      <t>(razgr.)</t>
    </r>
  </si>
  <si>
    <t xml:space="preserve"> Grant za Obrtničku komoru ŽP</t>
  </si>
  <si>
    <t xml:space="preserve"> o/č Grant za Obrtničku komoru ŽP</t>
  </si>
  <si>
    <t xml:space="preserve"> Grant za sufinanc.nabavke udžbenika učenicima</t>
  </si>
  <si>
    <t xml:space="preserve"> o/č Grant za Udrugu osoba s posebnim potrebama Put u  
      život Orašje</t>
  </si>
  <si>
    <t xml:space="preserve">   Grant od Federalnog zavoda za zapošljavanje - osnovne škole</t>
  </si>
  <si>
    <t xml:space="preserve">   Grant od Federalnog zavoda za zapošljavanje-Min.pravosuđa</t>
  </si>
  <si>
    <t>942 (958)</t>
  </si>
  <si>
    <t xml:space="preserve"> Grant za razvoj poduzetništva, obrta i zadruga</t>
  </si>
  <si>
    <t xml:space="preserve"> o/č Grant za razvoj poduzetništva, obrta i zadruga</t>
  </si>
  <si>
    <r>
      <t>P R O R A Č U N 
ŽUPANIJE POSAVSKE</t>
    </r>
    <r>
      <rPr>
        <b/>
        <sz val="10"/>
        <rFont val="Arial"/>
        <family val="2"/>
      </rPr>
      <t xml:space="preserve">
</t>
    </r>
    <r>
      <rPr>
        <b/>
        <sz val="14"/>
        <rFont val="Arial"/>
        <family val="2"/>
      </rPr>
      <t>za 2019. godinu</t>
    </r>
  </si>
  <si>
    <t>Izdaci za nabavku stalnih sredstava za 2019.g.(po pror.korisn.i izv.financiranja)</t>
  </si>
  <si>
    <t xml:space="preserve"> Županije Posavske za 2019. godinu</t>
  </si>
  <si>
    <t xml:space="preserve">     Proračun Županije Posavske za 2019.godinu sastoji se od:</t>
  </si>
  <si>
    <t>Prihodi, primici i financiranje" i "Rashodi i izdaci" po grupama utvrđuju se u Računu prihoda i rashoda za 2019.godinu kako slijedi:</t>
  </si>
  <si>
    <t>Izvršenje Proračuna 01.01.-30.09.18.</t>
  </si>
  <si>
    <t xml:space="preserve">   Porez na temelju autorskih prava, patenata i tehn.unapređenja</t>
  </si>
  <si>
    <t xml:space="preserve">   Prihodi od neizravnih poreza na ime financ.autocesta u FBiH</t>
  </si>
  <si>
    <t xml:space="preserve">   Prihodi od zakupa korištenja sportsko-gospodarskih lovišta</t>
  </si>
  <si>
    <t xml:space="preserve">   Federalna naknada za uvjerenje o veterin.-zdravstvenom 
   stanju životinja iz uvoza</t>
  </si>
  <si>
    <t xml:space="preserve">   Povrati naknada troškova zaposlenih</t>
  </si>
  <si>
    <t xml:space="preserve">      20030001 Osn.škola Orašje - Ured za Hrvate izvan RH</t>
  </si>
  <si>
    <t xml:space="preserve">      20030007 Osn.šk.B.Radića Domaljevac- Ured za Hrv. izvan RH</t>
  </si>
  <si>
    <t xml:space="preserve">      20020002 Srednja škola Pere Zečevića Odžak - Federalno 
      ministarstvo obrazovanja i nauke</t>
  </si>
  <si>
    <t xml:space="preserve">   Kapitalni grantovi od nevladinih izvora</t>
  </si>
  <si>
    <t xml:space="preserve">   Kapitalni grantovi od poduzeća</t>
  </si>
  <si>
    <t xml:space="preserve">      20030002 Osnovna škola V.Nazora Odžak - BH Telecom d.d.</t>
  </si>
  <si>
    <t xml:space="preserve">      20030003 Osn.škola R.Boškovića D.Mahala - BH Telecom d.d.</t>
  </si>
  <si>
    <t xml:space="preserve">   Primljeni tekući grantovi od gradova</t>
  </si>
  <si>
    <t xml:space="preserve">      14020003 Općinski sud Orašje</t>
  </si>
  <si>
    <t>PRORAČUN za 2019.</t>
  </si>
  <si>
    <t>54 (54)</t>
  </si>
  <si>
    <r>
      <t xml:space="preserve">44 (45) </t>
    </r>
    <r>
      <rPr>
        <b/>
        <i/>
        <sz val="10"/>
        <rFont val="Arial"/>
        <family val="2"/>
        <charset val="238"/>
      </rPr>
      <t>(59)</t>
    </r>
  </si>
  <si>
    <t>107 (110)</t>
  </si>
  <si>
    <t>31 (31)</t>
  </si>
  <si>
    <t>48 (49)</t>
  </si>
  <si>
    <t>20 (20)</t>
  </si>
  <si>
    <t>PRORAČUN ŽUPANIJE POSAVSKE ZA 2019. GODINU (po korisnicima i ekonomskim klasifikacijama izdataka)</t>
  </si>
  <si>
    <t>FUNKCIJSKA KLASIFIKACIJA RASHODA I IZDATAKA PRORAČUNA ŽUPANIJE POSAVSKE ZA 2019.GODINU</t>
  </si>
  <si>
    <t>PRORAČUN za 2019. godinu</t>
  </si>
  <si>
    <t>IZDACI ZA NABAVKU STALNIH SREDSTAVA ŽUPANIJE POSAVSKE ZA 2019. GODINU (po proračunskim korisnicima i izvorima financiranja)</t>
  </si>
  <si>
    <t xml:space="preserve">     Ovaj Proračun stupa na snagu narednog dana od dana objave u "Narodnim novinama Županije Posavske", a primjenjivat će se za fiskalnu 2019. godinu.</t>
  </si>
  <si>
    <t>PRORAČUN za 
2019.godinu</t>
  </si>
  <si>
    <t>Subanalitika</t>
  </si>
  <si>
    <t>BA6017</t>
  </si>
  <si>
    <t>BA6006</t>
  </si>
  <si>
    <t>BA6012</t>
  </si>
  <si>
    <t>BA6014</t>
  </si>
  <si>
    <t>BA6016</t>
  </si>
  <si>
    <t>BA6001</t>
  </si>
  <si>
    <t>BA6008</t>
  </si>
  <si>
    <t>BA6009</t>
  </si>
  <si>
    <t>BA6013</t>
  </si>
  <si>
    <t>BA6015</t>
  </si>
  <si>
    <t>BA6007</t>
  </si>
  <si>
    <t>BA6018</t>
  </si>
  <si>
    <t>AA6001</t>
  </si>
  <si>
    <t>BA6010</t>
  </si>
  <si>
    <t>FA6002</t>
  </si>
  <si>
    <t>FA6001</t>
  </si>
  <si>
    <t>GA6003</t>
  </si>
  <si>
    <t>GA6002</t>
  </si>
  <si>
    <t>GA6005</t>
  </si>
  <si>
    <t>GA6006</t>
  </si>
  <si>
    <t>GA6008</t>
  </si>
  <si>
    <t>GA6009</t>
  </si>
  <si>
    <t>HA6001</t>
  </si>
  <si>
    <t>IA6004</t>
  </si>
  <si>
    <t>IA6002</t>
  </si>
  <si>
    <t>IA6003</t>
  </si>
  <si>
    <t>JA6004</t>
  </si>
  <si>
    <t>JA6008</t>
  </si>
  <si>
    <t>JA6005</t>
  </si>
  <si>
    <t>JA6007</t>
  </si>
  <si>
    <t>KA6007</t>
  </si>
  <si>
    <t>KA6004</t>
  </si>
  <si>
    <t xml:space="preserve"> Grantovi za šport</t>
  </si>
  <si>
    <t xml:space="preserve"> Grantovi za kulturu</t>
  </si>
  <si>
    <t>KA6009</t>
  </si>
  <si>
    <t>KA6003</t>
  </si>
  <si>
    <t>KA6008</t>
  </si>
  <si>
    <t>KA6001</t>
  </si>
  <si>
    <t>KA6006</t>
  </si>
  <si>
    <t>KB6001</t>
  </si>
  <si>
    <t>LA6001</t>
  </si>
  <si>
    <t>NA6002</t>
  </si>
  <si>
    <t>NA6003</t>
  </si>
  <si>
    <t xml:space="preserve"> Grantovi za zdravstvene potrebe</t>
  </si>
  <si>
    <t xml:space="preserve"> Grantovi za socijalne potrebe</t>
  </si>
  <si>
    <t xml:space="preserve"> o/č Grantovi za zdravstvene potrebe</t>
  </si>
  <si>
    <t xml:space="preserve"> o/č Grantovi za socijalne potrebe</t>
  </si>
  <si>
    <t xml:space="preserve"> o/č Grantovi za šport</t>
  </si>
  <si>
    <t xml:space="preserve"> o/č Grantovi za kulturu</t>
  </si>
  <si>
    <t>51 (53)</t>
  </si>
  <si>
    <t>936 (950)</t>
  </si>
  <si>
    <t>Izmjene i dopune PRORAČUNA za 2018.</t>
  </si>
  <si>
    <t>PRORAČUN za 2018./Izmjene i dopune Proračuna za 2018.</t>
  </si>
  <si>
    <t>Izmjene i dopune Proračuna za 2018.</t>
  </si>
  <si>
    <t>Izmjene i dopune Proračuna za 2018.godinu</t>
  </si>
  <si>
    <t xml:space="preserve">     15010001 Min.gospod.i prost.uređenja-Prostorni plan</t>
  </si>
  <si>
    <t xml:space="preserve">      18010001 Minist.prometa, veza, turizma i zaštite okoliša - 
      Fed.ministarstvo raseljenih osoba i izbjeglica</t>
  </si>
  <si>
    <t>iz prorač.
sredstava</t>
  </si>
  <si>
    <t>iz ostalih izvora</t>
  </si>
  <si>
    <t>12=10+11</t>
  </si>
  <si>
    <t>INDEKS 12/8</t>
  </si>
  <si>
    <t>Izvršenje 
Proračuna 
01.01.-30.09.18.</t>
  </si>
  <si>
    <t>Izmjene i 
dopune 
Proračuna 
za 2018.</t>
  </si>
  <si>
    <t>PRORAČUN 
za 2018.</t>
  </si>
  <si>
    <t>8=6+7</t>
  </si>
  <si>
    <t>INDEKS 
8/4</t>
  </si>
  <si>
    <t xml:space="preserve"> Grantovi neprofitnim organizacijama i udrugama građana</t>
  </si>
  <si>
    <t>PRORAČUN 
za 2019.</t>
  </si>
  <si>
    <t>822, 823</t>
  </si>
  <si>
    <t>813, 814, 815</t>
  </si>
  <si>
    <t>Ekonomski 
kod</t>
  </si>
  <si>
    <t xml:space="preserve">     1.1.  Prihodi od poreza</t>
  </si>
  <si>
    <t xml:space="preserve">     1.2.  Neporezni prihodi</t>
  </si>
  <si>
    <t xml:space="preserve">     1.3.  Tekući grantovi (grantovi i donacije)</t>
  </si>
  <si>
    <t xml:space="preserve">     1.4.  Kapitalni grantovi</t>
  </si>
  <si>
    <t xml:space="preserve">     1.5.  Prihodi po osnovi zaostalih obveza</t>
  </si>
  <si>
    <t xml:space="preserve">     2.1.  Rashodi - Tekuća pričuva</t>
  </si>
  <si>
    <t xml:space="preserve">     2.2.  Plaće i naknade troškova zaposlenih</t>
  </si>
  <si>
    <t xml:space="preserve">     2.3.  Doprinosi poslodavca i ostali doprinosi</t>
  </si>
  <si>
    <t xml:space="preserve">     2.4.  Izdaci za materijal, sitan inventar i usluge</t>
  </si>
  <si>
    <t xml:space="preserve">     2.5.  Tekući grantovi i drugi tekući rashodi</t>
  </si>
  <si>
    <t xml:space="preserve">     2.6.  Kapitalni grantovi</t>
  </si>
  <si>
    <t xml:space="preserve">     2.7.  Izdaci za kamate</t>
  </si>
  <si>
    <t xml:space="preserve">   1. PRORAČUNSKI PRIHODI (1.1.+1.2.+1.3.+1.4.+1.5.)</t>
  </si>
  <si>
    <t xml:space="preserve">   2. PRORAČUNSKI RASHODI (2.1.+2.2.)</t>
  </si>
  <si>
    <t xml:space="preserve">   3. TEKUĆA BILANCA (1-2)</t>
  </si>
  <si>
    <t xml:space="preserve">   4. PRIMICI OD PRODAJE NEFINANCIJSKE IMOVINE</t>
  </si>
  <si>
    <t xml:space="preserve">   5. IZDACI ZA NABAVKU NEFINANCIJSKE IMOVINE</t>
  </si>
  <si>
    <t xml:space="preserve">   6. NETO NABAVKA NEFINANCIJSKE IMOVINE (4-5)</t>
  </si>
  <si>
    <t xml:space="preserve">   7. UKUPAN SUFICIT/DEFICIT (3+6)</t>
  </si>
  <si>
    <t xml:space="preserve">   8. PRIMICI OD FINANCIJSKE IMOVINE I ZADUŽIVANJA</t>
  </si>
  <si>
    <t xml:space="preserve">   9. IZDACI ZA NABAVKU FINANCIJSKE IMOVINE I     OTPLATE DUGOVA</t>
  </si>
  <si>
    <t xml:space="preserve">   10. NETO FINANCIRANJE (8-9)</t>
  </si>
  <si>
    <t xml:space="preserve">   11. UKUPAN FINANCIJSKI REZULTAT (7+10)</t>
  </si>
  <si>
    <t xml:space="preserve">   UKUPNO PRIHODI, PRIMICI I FINANCIRANJE</t>
  </si>
  <si>
    <t xml:space="preserve">   UKUPNO RASHODI I IZDACI</t>
  </si>
  <si>
    <t xml:space="preserve">   UKUPNO POKRIĆE AKUMULIRANOG DEFICITA</t>
  </si>
  <si>
    <t>6.</t>
  </si>
  <si>
    <t>Blaž Župarić</t>
  </si>
  <si>
    <t>Bosnia and Herzegovina
Federation of Bosnia and Herzegovina
Posavina County
THE ASSEMBLY</t>
  </si>
  <si>
    <t>Bosna i Hercegovina
Federacija Bosne i 
Hercegovine
Županija Posavska
S K U P Š T I N A</t>
  </si>
  <si>
    <t>Domaljevac, prosinac 2018. godine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</si>
  <si>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</si>
  <si>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</si>
  <si>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</si>
  <si>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</si>
  <si>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</si>
  <si>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</si>
  <si>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</si>
  <si>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</si>
  <si>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</si>
  <si>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</si>
  <si>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</si>
  <si>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</si>
  <si>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</si>
  <si>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</si>
  <si>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</si>
  <si>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</si>
  <si>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</si>
  <si>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</si>
  <si>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</si>
  <si>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</si>
  <si>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</si>
  <si>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</si>
  <si>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</si>
  <si>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</si>
  <si>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</si>
  <si>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</si>
  <si>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</si>
  <si>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</si>
  <si>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</si>
  <si>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</si>
  <si>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</si>
  <si>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</si>
  <si>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</si>
  <si>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</si>
  <si>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</si>
  <si>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</si>
  <si>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</si>
  <si>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</si>
  <si>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Funkcijska klasifikacija rashoda i izdataka Proračuna ŽP za 2019. godinu</t>
  </si>
  <si>
    <t>Proračun ŽP za 2019. godinu (po korisnicima i ek.klasifikacijama izdataka)</t>
  </si>
  <si>
    <t xml:space="preserve"> Grant za sufinanciranje osn.i srednjeg obrazovanja djece s 
 posebnim potrebama</t>
  </si>
  <si>
    <t xml:space="preserve">      20010001 Ministarstvo prosvjete, znanosti, kulture i športa - 
      Nabavka besplatnih udžbenika</t>
  </si>
  <si>
    <t xml:space="preserve"> Grant za sufinanc.profesionalne vatrogasne postrojbe</t>
  </si>
  <si>
    <t>44 (45)</t>
  </si>
  <si>
    <t xml:space="preserve">      20030002 Osnovna škola V.Nazora Odžak - Federalno ministarstvo 
      obrazovanja i nauke</t>
  </si>
  <si>
    <t xml:space="preserve">      20030004 Osnovna škola fra I.Starčevića Tolisa - Federalno ministarstvo 
      obrazovanja i nauke</t>
  </si>
  <si>
    <t xml:space="preserve">      23010001 Uprava za civilnu zaštitu</t>
  </si>
  <si>
    <r>
      <t xml:space="preserve">      19010001 Minist.poljopr., vodoprivrede i šumarstva </t>
    </r>
    <r>
      <rPr>
        <b/>
        <sz val="10"/>
        <color indexed="8"/>
        <rFont val="Calibri"/>
        <family val="2"/>
        <charset val="238"/>
      </rPr>
      <t>(razgraničenja)</t>
    </r>
  </si>
  <si>
    <t xml:space="preserve">      99999999 Riznica</t>
  </si>
  <si>
    <t xml:space="preserve"> Ugovorene i dr. posebne usluge-volonteri (40) (50)</t>
  </si>
  <si>
    <t xml:space="preserve"> Naknade troškova zaposlenih - volonteri (40) (50)</t>
  </si>
  <si>
    <t>52 (52)</t>
  </si>
  <si>
    <t xml:space="preserve"> Transfer za zdravstvene institucije i centre za soc.rad</t>
  </si>
  <si>
    <t xml:space="preserve"> Grant za Udr.rod.djece s pos.potr.Angelus Domaljevac</t>
  </si>
  <si>
    <t xml:space="preserve"> Grant za Udr.osoba s pos.potrebama Put u život Orašje</t>
  </si>
  <si>
    <t xml:space="preserve">   Prihodi od iznajmljivanja zemljišta</t>
  </si>
  <si>
    <t>KA6010</t>
  </si>
  <si>
    <t>KA6011</t>
  </si>
  <si>
    <t>HA6003</t>
  </si>
  <si>
    <t>HA6004</t>
  </si>
  <si>
    <t>55 (55)</t>
  </si>
  <si>
    <t>968 (980)</t>
  </si>
  <si>
    <t xml:space="preserve"> o/č Ugovorene i druge posebne usluge-volonterski rad (40) (50)</t>
  </si>
  <si>
    <r>
      <t xml:space="preserve">      20020004 Sred.struk.škola Orašje-Ured za Hrvate izvan RH </t>
    </r>
    <r>
      <rPr>
        <b/>
        <sz val="10"/>
        <color indexed="8"/>
        <rFont val="Calibri"/>
        <family val="2"/>
        <charset val="238"/>
      </rPr>
      <t>(razgr.)</t>
    </r>
  </si>
  <si>
    <r>
      <t xml:space="preserve">      27010001 Kant.tužiteljstvo - IPA </t>
    </r>
    <r>
      <rPr>
        <b/>
        <sz val="10"/>
        <color indexed="8"/>
        <rFont val="Calibri"/>
        <family val="2"/>
        <charset val="238"/>
      </rPr>
      <t>(razgr.)</t>
    </r>
  </si>
  <si>
    <t>Domaljevac, 28.12.2018.godine</t>
  </si>
  <si>
    <t xml:space="preserve">     Na temelju članka 26. stavak (1.) točka f) Ustava Županije Posavske ("Narodne novine Županije Posavske", broj: 1/96, 3/96, 7/99, 3/00, 5/00 i 7/04) i članka 37.(3.) Zakona o proračunima u Federaciji Bosne i Hercegovine ("Službene novine Federacije BiH", broj: 102/13, 9/14, 13/14, 8/15, 91/15, 102/15, 104/16 i 5/18), Skupština Županije Posavske na  II. izvanrednoj sjednici održanoj dana 28.12.2018. godine usvaja</t>
  </si>
  <si>
    <t>Broj: 01-14-96/18</t>
  </si>
</sst>
</file>

<file path=xl/styles.xml><?xml version="1.0" encoding="utf-8"?>
<styleSheet xmlns="http://schemas.openxmlformats.org/spreadsheetml/2006/main">
  <numFmts count="5">
    <numFmt numFmtId="43" formatCode="_-* #,##0.00\ _k_n_-;\-* #,##0.00\ _k_n_-;_-* &quot;-&quot;??\ _k_n_-;_-@_-"/>
    <numFmt numFmtId="164" formatCode="#,##0\ &quot;KM&quot;;\-#,##0\ &quot;KM&quot;"/>
    <numFmt numFmtId="165" formatCode="_-* #,##0.00_-;\-* #,##0.00_-;_-* &quot;-&quot;??_-;_-@_-"/>
    <numFmt numFmtId="166" formatCode="_-* #,##0_-;\-* #,##0_-;_-* &quot;-&quot;??_-;_-@_-"/>
    <numFmt numFmtId="167" formatCode="000"/>
  </numFmts>
  <fonts count="42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i/>
      <sz val="10"/>
      <name val="Arial"/>
      <family val="2"/>
      <charset val="238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0"/>
      <color theme="0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5">
    <xf numFmtId="0" fontId="0" fillId="0" borderId="0"/>
    <xf numFmtId="165" fontId="11" fillId="0" borderId="0" applyFont="0" applyFill="0" applyBorder="0" applyAlignment="0" applyProtection="0"/>
    <xf numFmtId="0" fontId="29" fillId="5" borderId="0" applyNumberFormat="0" applyBorder="0" applyAlignment="0" applyProtection="0"/>
    <xf numFmtId="0" fontId="2" fillId="0" borderId="0"/>
    <xf numFmtId="0" fontId="10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301">
    <xf numFmtId="0" fontId="0" fillId="0" borderId="0" xfId="0"/>
    <xf numFmtId="0" fontId="3" fillId="0" borderId="0" xfId="3" applyFont="1"/>
    <xf numFmtId="0" fontId="3" fillId="0" borderId="0" xfId="3" applyFont="1" applyAlignment="1">
      <alignment horizontal="center"/>
    </xf>
    <xf numFmtId="0" fontId="3" fillId="0" borderId="1" xfId="3" applyFont="1" applyBorder="1" applyAlignment="1">
      <alignment horizontal="center" vertical="center" textRotation="90" wrapText="1"/>
    </xf>
    <xf numFmtId="0" fontId="3" fillId="0" borderId="3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49" fontId="3" fillId="0" borderId="3" xfId="3" applyNumberFormat="1" applyFont="1" applyBorder="1" applyAlignment="1">
      <alignment horizontal="center"/>
    </xf>
    <xf numFmtId="49" fontId="3" fillId="0" borderId="4" xfId="3" applyNumberFormat="1" applyFont="1" applyBorder="1" applyAlignment="1">
      <alignment horizontal="center"/>
    </xf>
    <xf numFmtId="0" fontId="3" fillId="0" borderId="4" xfId="3" applyFont="1" applyBorder="1"/>
    <xf numFmtId="0" fontId="2" fillId="0" borderId="0" xfId="3"/>
    <xf numFmtId="0" fontId="2" fillId="0" borderId="3" xfId="3" applyBorder="1"/>
    <xf numFmtId="0" fontId="2" fillId="0" borderId="4" xfId="3" applyBorder="1"/>
    <xf numFmtId="0" fontId="3" fillId="0" borderId="3" xfId="3" applyFont="1" applyBorder="1"/>
    <xf numFmtId="0" fontId="4" fillId="0" borderId="4" xfId="3" applyFont="1" applyBorder="1"/>
    <xf numFmtId="0" fontId="2" fillId="0" borderId="4" xfId="3" applyFill="1" applyBorder="1"/>
    <xf numFmtId="3" fontId="3" fillId="0" borderId="4" xfId="3" applyNumberFormat="1" applyFont="1" applyBorder="1"/>
    <xf numFmtId="0" fontId="2" fillId="0" borderId="5" xfId="3" applyBorder="1"/>
    <xf numFmtId="0" fontId="2" fillId="0" borderId="6" xfId="3" applyBorder="1"/>
    <xf numFmtId="0" fontId="2" fillId="0" borderId="0" xfId="3" applyAlignment="1">
      <alignment horizontal="center"/>
    </xf>
    <xf numFmtId="3" fontId="3" fillId="0" borderId="4" xfId="3" applyNumberFormat="1" applyFont="1" applyBorder="1" applyAlignment="1">
      <alignment horizontal="right"/>
    </xf>
    <xf numFmtId="0" fontId="2" fillId="0" borderId="4" xfId="3" applyFont="1" applyBorder="1"/>
    <xf numFmtId="0" fontId="3" fillId="0" borderId="4" xfId="3" applyFont="1" applyBorder="1" applyAlignment="1">
      <alignment horizontal="left"/>
    </xf>
    <xf numFmtId="0" fontId="3" fillId="0" borderId="7" xfId="3" applyFont="1" applyBorder="1"/>
    <xf numFmtId="0" fontId="0" fillId="0" borderId="4" xfId="0" applyBorder="1"/>
    <xf numFmtId="0" fontId="2" fillId="0" borderId="8" xfId="3" applyBorder="1"/>
    <xf numFmtId="0" fontId="3" fillId="0" borderId="8" xfId="3" applyFont="1" applyBorder="1"/>
    <xf numFmtId="0" fontId="3" fillId="0" borderId="4" xfId="0" applyFont="1" applyBorder="1"/>
    <xf numFmtId="0" fontId="2" fillId="0" borderId="9" xfId="3" applyBorder="1"/>
    <xf numFmtId="0" fontId="2" fillId="0" borderId="3" xfId="3" applyBorder="1" applyAlignment="1">
      <alignment horizontal="center"/>
    </xf>
    <xf numFmtId="0" fontId="2" fillId="0" borderId="5" xfId="3" applyBorder="1" applyAlignment="1">
      <alignment horizontal="center"/>
    </xf>
    <xf numFmtId="3" fontId="2" fillId="0" borderId="4" xfId="3" applyNumberFormat="1" applyBorder="1"/>
    <xf numFmtId="3" fontId="4" fillId="0" borderId="4" xfId="3" applyNumberFormat="1" applyFont="1" applyBorder="1"/>
    <xf numFmtId="3" fontId="2" fillId="0" borderId="6" xfId="3" applyNumberFormat="1" applyBorder="1"/>
    <xf numFmtId="0" fontId="2" fillId="0" borderId="0" xfId="3" applyFont="1" applyAlignment="1">
      <alignment horizontal="left"/>
    </xf>
    <xf numFmtId="0" fontId="7" fillId="0" borderId="0" xfId="3" applyFont="1" applyAlignment="1">
      <alignment horizontal="left"/>
    </xf>
    <xf numFmtId="3" fontId="3" fillId="3" borderId="4" xfId="3" applyNumberFormat="1" applyFont="1" applyFill="1" applyBorder="1"/>
    <xf numFmtId="0" fontId="3" fillId="0" borderId="3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4" xfId="3" applyFont="1" applyBorder="1" applyAlignment="1">
      <alignment horizontal="left"/>
    </xf>
    <xf numFmtId="0" fontId="0" fillId="0" borderId="10" xfId="0" applyBorder="1"/>
    <xf numFmtId="0" fontId="2" fillId="0" borderId="10" xfId="3" applyFill="1" applyBorder="1"/>
    <xf numFmtId="3" fontId="4" fillId="0" borderId="4" xfId="3" applyNumberFormat="1" applyFont="1" applyBorder="1" applyAlignment="1">
      <alignment horizontal="right"/>
    </xf>
    <xf numFmtId="0" fontId="4" fillId="0" borderId="4" xfId="0" applyFont="1" applyBorder="1"/>
    <xf numFmtId="0" fontId="3" fillId="0" borderId="0" xfId="0" applyFont="1"/>
    <xf numFmtId="0" fontId="2" fillId="0" borderId="12" xfId="3" applyFont="1" applyBorder="1"/>
    <xf numFmtId="0" fontId="10" fillId="0" borderId="0" xfId="0" applyFont="1"/>
    <xf numFmtId="0" fontId="0" fillId="0" borderId="4" xfId="0" applyBorder="1" applyAlignment="1">
      <alignment wrapText="1"/>
    </xf>
    <xf numFmtId="0" fontId="3" fillId="0" borderId="4" xfId="0" applyFont="1" applyBorder="1" applyAlignment="1">
      <alignment horizontal="right" wrapText="1"/>
    </xf>
    <xf numFmtId="0" fontId="3" fillId="0" borderId="4" xfId="0" applyFont="1" applyFill="1" applyBorder="1" applyAlignment="1">
      <alignment wrapText="1"/>
    </xf>
    <xf numFmtId="0" fontId="3" fillId="0" borderId="3" xfId="0" applyFont="1" applyBorder="1" applyAlignment="1">
      <alignment horizontal="right" wrapText="1"/>
    </xf>
    <xf numFmtId="0" fontId="3" fillId="0" borderId="12" xfId="3" applyFont="1" applyBorder="1"/>
    <xf numFmtId="0" fontId="2" fillId="0" borderId="13" xfId="3" applyBorder="1" applyAlignment="1">
      <alignment horizontal="center"/>
    </xf>
    <xf numFmtId="0" fontId="2" fillId="0" borderId="14" xfId="3" applyBorder="1"/>
    <xf numFmtId="0" fontId="2" fillId="0" borderId="0" xfId="3" applyFont="1"/>
    <xf numFmtId="3" fontId="2" fillId="0" borderId="4" xfId="3" applyNumberForma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Border="1" applyAlignment="1"/>
    <xf numFmtId="3" fontId="2" fillId="0" borderId="16" xfId="3" applyNumberFormat="1" applyBorder="1"/>
    <xf numFmtId="2" fontId="3" fillId="0" borderId="0" xfId="3" applyNumberFormat="1" applyFont="1"/>
    <xf numFmtId="3" fontId="2" fillId="0" borderId="0" xfId="3" applyNumberFormat="1"/>
    <xf numFmtId="3" fontId="3" fillId="0" borderId="0" xfId="3" applyNumberFormat="1" applyFont="1"/>
    <xf numFmtId="3" fontId="3" fillId="0" borderId="8" xfId="0" applyNumberFormat="1" applyFont="1" applyBorder="1"/>
    <xf numFmtId="3" fontId="0" fillId="0" borderId="8" xfId="0" applyNumberFormat="1" applyBorder="1"/>
    <xf numFmtId="3" fontId="2" fillId="0" borderId="0" xfId="3" applyNumberFormat="1" applyFont="1"/>
    <xf numFmtId="0" fontId="4" fillId="0" borderId="0" xfId="3" applyFont="1"/>
    <xf numFmtId="0" fontId="4" fillId="0" borderId="3" xfId="3" applyFont="1" applyBorder="1"/>
    <xf numFmtId="0" fontId="4" fillId="0" borderId="0" xfId="0" applyFont="1"/>
    <xf numFmtId="0" fontId="4" fillId="0" borderId="3" xfId="0" applyFont="1" applyBorder="1" applyAlignment="1">
      <alignment horizontal="center"/>
    </xf>
    <xf numFmtId="0" fontId="4" fillId="0" borderId="4" xfId="0" applyFont="1" applyFill="1" applyBorder="1" applyAlignment="1">
      <alignment wrapText="1"/>
    </xf>
    <xf numFmtId="3" fontId="4" fillId="0" borderId="8" xfId="0" applyNumberFormat="1" applyFont="1" applyBorder="1"/>
    <xf numFmtId="3" fontId="0" fillId="0" borderId="0" xfId="0" applyNumberFormat="1"/>
    <xf numFmtId="0" fontId="6" fillId="0" borderId="0" xfId="3" applyFont="1" applyAlignment="1">
      <alignment horizontal="left"/>
    </xf>
    <xf numFmtId="0" fontId="10" fillId="0" borderId="0" xfId="3" applyFont="1" applyAlignment="1">
      <alignment horizontal="left"/>
    </xf>
    <xf numFmtId="0" fontId="10" fillId="0" borderId="0" xfId="3" applyFont="1"/>
    <xf numFmtId="3" fontId="3" fillId="0" borderId="4" xfId="3" applyNumberFormat="1" applyFont="1" applyFill="1" applyBorder="1"/>
    <xf numFmtId="3" fontId="10" fillId="0" borderId="4" xfId="3" applyNumberFormat="1" applyFont="1" applyBorder="1"/>
    <xf numFmtId="0" fontId="2" fillId="0" borderId="4" xfId="3" applyFont="1" applyFill="1" applyBorder="1"/>
    <xf numFmtId="0" fontId="2" fillId="0" borderId="0" xfId="3" applyFont="1" applyFill="1"/>
    <xf numFmtId="0" fontId="2" fillId="0" borderId="0" xfId="3" applyFill="1"/>
    <xf numFmtId="0" fontId="3" fillId="0" borderId="0" xfId="3" applyFont="1" applyFill="1"/>
    <xf numFmtId="0" fontId="0" fillId="0" borderId="4" xfId="0" applyFill="1" applyBorder="1" applyAlignment="1">
      <alignment wrapText="1"/>
    </xf>
    <xf numFmtId="0" fontId="0" fillId="0" borderId="4" xfId="0" applyFill="1" applyBorder="1"/>
    <xf numFmtId="0" fontId="4" fillId="0" borderId="4" xfId="3" applyFont="1" applyFill="1" applyBorder="1"/>
    <xf numFmtId="3" fontId="4" fillId="0" borderId="4" xfId="3" applyNumberFormat="1" applyFont="1" applyFill="1" applyBorder="1"/>
    <xf numFmtId="3" fontId="4" fillId="0" borderId="4" xfId="3" applyNumberFormat="1" applyFont="1" applyFill="1" applyBorder="1" applyProtection="1">
      <protection locked="0"/>
    </xf>
    <xf numFmtId="0" fontId="9" fillId="0" borderId="0" xfId="0" applyFont="1" applyAlignment="1">
      <alignment horizontal="center" vertical="top"/>
    </xf>
    <xf numFmtId="0" fontId="3" fillId="2" borderId="4" xfId="0" applyFont="1" applyFill="1" applyBorder="1" applyAlignment="1">
      <alignment horizontal="center"/>
    </xf>
    <xf numFmtId="3" fontId="3" fillId="0" borderId="4" xfId="3" applyNumberFormat="1" applyFont="1" applyFill="1" applyBorder="1" applyAlignment="1">
      <alignment horizontal="right"/>
    </xf>
    <xf numFmtId="49" fontId="3" fillId="0" borderId="3" xfId="3" applyNumberFormat="1" applyFont="1" applyFill="1" applyBorder="1" applyAlignment="1">
      <alignment horizontal="center"/>
    </xf>
    <xf numFmtId="49" fontId="3" fillId="0" borderId="4" xfId="3" applyNumberFormat="1" applyFont="1" applyFill="1" applyBorder="1" applyAlignment="1">
      <alignment horizontal="center"/>
    </xf>
    <xf numFmtId="3" fontId="3" fillId="0" borderId="0" xfId="3" applyNumberFormat="1" applyFont="1" applyAlignment="1">
      <alignment horizontal="center"/>
    </xf>
    <xf numFmtId="0" fontId="5" fillId="0" borderId="0" xfId="3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4" fontId="2" fillId="0" borderId="0" xfId="3" applyNumberFormat="1"/>
    <xf numFmtId="4" fontId="2" fillId="0" borderId="20" xfId="3" applyNumberFormat="1" applyBorder="1"/>
    <xf numFmtId="4" fontId="7" fillId="0" borderId="0" xfId="3" applyNumberFormat="1" applyFont="1" applyAlignment="1">
      <alignment horizontal="left"/>
    </xf>
    <xf numFmtId="4" fontId="2" fillId="0" borderId="22" xfId="3" applyNumberFormat="1" applyBorder="1"/>
    <xf numFmtId="3" fontId="2" fillId="0" borderId="10" xfId="3" applyNumberFormat="1" applyBorder="1"/>
    <xf numFmtId="3" fontId="3" fillId="3" borderId="10" xfId="3" applyNumberFormat="1" applyFont="1" applyFill="1" applyBorder="1"/>
    <xf numFmtId="3" fontId="4" fillId="0" borderId="10" xfId="3" applyNumberFormat="1" applyFont="1" applyBorder="1"/>
    <xf numFmtId="3" fontId="2" fillId="0" borderId="10" xfId="3" applyNumberFormat="1" applyFill="1" applyBorder="1"/>
    <xf numFmtId="0" fontId="3" fillId="0" borderId="10" xfId="3" applyFont="1" applyBorder="1" applyAlignment="1">
      <alignment horizontal="center"/>
    </xf>
    <xf numFmtId="3" fontId="3" fillId="0" borderId="10" xfId="3" applyNumberFormat="1" applyFont="1" applyFill="1" applyBorder="1" applyAlignment="1">
      <alignment horizontal="right"/>
    </xf>
    <xf numFmtId="3" fontId="3" fillId="0" borderId="10" xfId="3" applyNumberFormat="1" applyFont="1" applyBorder="1"/>
    <xf numFmtId="3" fontId="4" fillId="0" borderId="10" xfId="3" applyNumberFormat="1" applyFont="1" applyFill="1" applyBorder="1"/>
    <xf numFmtId="3" fontId="3" fillId="0" borderId="4" xfId="3" applyNumberFormat="1" applyFont="1" applyBorder="1" applyAlignment="1">
      <alignment horizontal="center"/>
    </xf>
    <xf numFmtId="3" fontId="2" fillId="0" borderId="4" xfId="3" applyNumberFormat="1" applyFont="1" applyFill="1" applyBorder="1"/>
    <xf numFmtId="3" fontId="8" fillId="0" borderId="4" xfId="3" applyNumberFormat="1" applyFont="1" applyFill="1" applyBorder="1"/>
    <xf numFmtId="3" fontId="10" fillId="0" borderId="4" xfId="3" applyNumberFormat="1" applyFont="1" applyFill="1" applyBorder="1"/>
    <xf numFmtId="3" fontId="3" fillId="0" borderId="6" xfId="3" applyNumberFormat="1" applyFont="1" applyBorder="1"/>
    <xf numFmtId="4" fontId="4" fillId="0" borderId="21" xfId="3" applyNumberFormat="1" applyFont="1" applyBorder="1" applyAlignment="1">
      <alignment horizontal="right"/>
    </xf>
    <xf numFmtId="3" fontId="4" fillId="0" borderId="0" xfId="3" applyNumberFormat="1" applyFont="1"/>
    <xf numFmtId="3" fontId="4" fillId="0" borderId="0" xfId="0" applyNumberFormat="1" applyFont="1"/>
    <xf numFmtId="3" fontId="4" fillId="0" borderId="8" xfId="0" applyNumberFormat="1" applyFont="1" applyFill="1" applyBorder="1"/>
    <xf numFmtId="164" fontId="9" fillId="0" borderId="14" xfId="3" applyNumberFormat="1" applyFont="1" applyBorder="1" applyAlignment="1"/>
    <xf numFmtId="0" fontId="2" fillId="0" borderId="3" xfId="3" applyBorder="1" applyAlignment="1">
      <alignment vertical="center"/>
    </xf>
    <xf numFmtId="0" fontId="2" fillId="0" borderId="4" xfId="3" applyBorder="1" applyAlignment="1">
      <alignment vertical="center"/>
    </xf>
    <xf numFmtId="0" fontId="2" fillId="0" borderId="8" xfId="3" applyBorder="1" applyAlignment="1">
      <alignment vertical="center"/>
    </xf>
    <xf numFmtId="0" fontId="0" fillId="0" borderId="4" xfId="0" applyFill="1" applyBorder="1" applyAlignment="1">
      <alignment vertical="center" wrapText="1"/>
    </xf>
    <xf numFmtId="3" fontId="4" fillId="0" borderId="4" xfId="3" applyNumberFormat="1" applyFont="1" applyFill="1" applyBorder="1" applyAlignment="1">
      <alignment vertical="center"/>
    </xf>
    <xf numFmtId="0" fontId="10" fillId="0" borderId="0" xfId="3" applyFont="1" applyAlignment="1">
      <alignment vertical="center"/>
    </xf>
    <xf numFmtId="0" fontId="2" fillId="0" borderId="0" xfId="3" applyAlignment="1">
      <alignment vertical="center"/>
    </xf>
    <xf numFmtId="0" fontId="0" fillId="0" borderId="4" xfId="0" applyBorder="1" applyAlignment="1">
      <alignment vertical="center" wrapText="1"/>
    </xf>
    <xf numFmtId="0" fontId="4" fillId="0" borderId="3" xfId="3" applyFont="1" applyBorder="1" applyAlignment="1">
      <alignment vertical="center"/>
    </xf>
    <xf numFmtId="0" fontId="4" fillId="0" borderId="4" xfId="3" applyFont="1" applyBorder="1" applyAlignment="1">
      <alignment vertical="center"/>
    </xf>
    <xf numFmtId="0" fontId="4" fillId="0" borderId="4" xfId="3" applyFont="1" applyFill="1" applyBorder="1" applyAlignment="1">
      <alignment vertical="center" wrapText="1"/>
    </xf>
    <xf numFmtId="3" fontId="4" fillId="0" borderId="10" xfId="3" applyNumberFormat="1" applyFont="1" applyBorder="1" applyAlignment="1">
      <alignment vertical="center"/>
    </xf>
    <xf numFmtId="0" fontId="4" fillId="0" borderId="0" xfId="3" applyFont="1" applyAlignment="1">
      <alignment vertical="center"/>
    </xf>
    <xf numFmtId="3" fontId="4" fillId="0" borderId="0" xfId="3" applyNumberFormat="1" applyFont="1" applyAlignment="1">
      <alignment vertical="center"/>
    </xf>
    <xf numFmtId="0" fontId="10" fillId="0" borderId="4" xfId="0" applyFont="1" applyBorder="1" applyAlignment="1">
      <alignment wrapText="1"/>
    </xf>
    <xf numFmtId="0" fontId="0" fillId="0" borderId="3" xfId="0" applyBorder="1" applyAlignment="1">
      <alignment horizontal="right"/>
    </xf>
    <xf numFmtId="3" fontId="8" fillId="0" borderId="8" xfId="0" applyNumberFormat="1" applyFont="1" applyBorder="1"/>
    <xf numFmtId="4" fontId="8" fillId="0" borderId="19" xfId="0" applyNumberFormat="1" applyFont="1" applyBorder="1"/>
    <xf numFmtId="0" fontId="8" fillId="0" borderId="0" xfId="0" applyFont="1"/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wrapText="1"/>
    </xf>
    <xf numFmtId="3" fontId="10" fillId="0" borderId="8" xfId="0" applyNumberFormat="1" applyFont="1" applyFill="1" applyBorder="1"/>
    <xf numFmtId="4" fontId="10" fillId="0" borderId="19" xfId="0" applyNumberFormat="1" applyFont="1" applyFill="1" applyBorder="1"/>
    <xf numFmtId="0" fontId="10" fillId="0" borderId="3" xfId="0" applyFont="1" applyBorder="1" applyAlignment="1">
      <alignment horizontal="right"/>
    </xf>
    <xf numFmtId="3" fontId="15" fillId="0" borderId="8" xfId="0" applyNumberFormat="1" applyFont="1" applyFill="1" applyBorder="1"/>
    <xf numFmtId="4" fontId="10" fillId="0" borderId="19" xfId="0" applyNumberFormat="1" applyFont="1" applyBorder="1"/>
    <xf numFmtId="3" fontId="10" fillId="0" borderId="8" xfId="0" applyNumberFormat="1" applyFont="1" applyBorder="1"/>
    <xf numFmtId="0" fontId="3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3" fillId="0" borderId="4" xfId="0" applyFont="1" applyFill="1" applyBorder="1"/>
    <xf numFmtId="4" fontId="8" fillId="0" borderId="19" xfId="0" applyNumberFormat="1" applyFont="1" applyFill="1" applyBorder="1"/>
    <xf numFmtId="3" fontId="16" fillId="0" borderId="8" xfId="0" applyNumberFormat="1" applyFont="1" applyFill="1" applyBorder="1"/>
    <xf numFmtId="0" fontId="8" fillId="0" borderId="4" xfId="0" applyFont="1" applyFill="1" applyBorder="1"/>
    <xf numFmtId="3" fontId="8" fillId="0" borderId="8" xfId="0" applyNumberFormat="1" applyFont="1" applyFill="1" applyBorder="1"/>
    <xf numFmtId="0" fontId="16" fillId="0" borderId="3" xfId="0" applyFont="1" applyBorder="1" applyAlignment="1">
      <alignment horizontal="right"/>
    </xf>
    <xf numFmtId="0" fontId="8" fillId="0" borderId="4" xfId="0" applyFont="1" applyFill="1" applyBorder="1" applyAlignment="1">
      <alignment wrapText="1"/>
    </xf>
    <xf numFmtId="0" fontId="15" fillId="0" borderId="3" xfId="0" applyFont="1" applyBorder="1" applyAlignment="1">
      <alignment horizontal="right"/>
    </xf>
    <xf numFmtId="3" fontId="3" fillId="0" borderId="8" xfId="0" applyNumberFormat="1" applyFont="1" applyFill="1" applyBorder="1"/>
    <xf numFmtId="0" fontId="16" fillId="0" borderId="4" xfId="0" applyFont="1" applyFill="1" applyBorder="1" applyAlignment="1">
      <alignment wrapText="1"/>
    </xf>
    <xf numFmtId="0" fontId="16" fillId="0" borderId="4" xfId="0" applyFont="1" applyFill="1" applyBorder="1"/>
    <xf numFmtId="0" fontId="12" fillId="0" borderId="3" xfId="0" applyFont="1" applyBorder="1" applyAlignment="1">
      <alignment horizontal="right" wrapText="1"/>
    </xf>
    <xf numFmtId="0" fontId="12" fillId="0" borderId="4" xfId="0" applyFont="1" applyBorder="1" applyAlignment="1">
      <alignment horizontal="right" wrapText="1"/>
    </xf>
    <xf numFmtId="3" fontId="12" fillId="0" borderId="4" xfId="0" applyNumberFormat="1" applyFont="1" applyBorder="1"/>
    <xf numFmtId="0" fontId="12" fillId="0" borderId="0" xfId="0" applyFont="1"/>
    <xf numFmtId="0" fontId="3" fillId="0" borderId="0" xfId="0" applyFont="1" applyFill="1" applyBorder="1" applyAlignment="1"/>
    <xf numFmtId="3" fontId="4" fillId="0" borderId="4" xfId="0" applyNumberFormat="1" applyFont="1" applyFill="1" applyBorder="1" applyAlignment="1">
      <alignment horizontal="right" vertical="center"/>
    </xf>
    <xf numFmtId="0" fontId="18" fillId="0" borderId="26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3" fontId="0" fillId="0" borderId="8" xfId="0" applyNumberFormat="1" applyFill="1" applyBorder="1"/>
    <xf numFmtId="3" fontId="0" fillId="0" borderId="4" xfId="0" applyNumberFormat="1" applyBorder="1"/>
    <xf numFmtId="3" fontId="3" fillId="0" borderId="4" xfId="0" applyNumberFormat="1" applyFont="1" applyBorder="1"/>
    <xf numFmtId="0" fontId="0" fillId="0" borderId="4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/>
    <xf numFmtId="0" fontId="3" fillId="2" borderId="4" xfId="0" applyFont="1" applyFill="1" applyBorder="1"/>
    <xf numFmtId="3" fontId="3" fillId="2" borderId="4" xfId="0" applyNumberFormat="1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3" fontId="3" fillId="2" borderId="0" xfId="0" applyNumberFormat="1" applyFont="1" applyFill="1"/>
    <xf numFmtId="4" fontId="3" fillId="0" borderId="0" xfId="3" applyNumberFormat="1" applyFont="1" applyAlignment="1">
      <alignment horizontal="center"/>
    </xf>
    <xf numFmtId="0" fontId="0" fillId="0" borderId="1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19" fillId="0" borderId="0" xfId="0" applyFont="1" applyFill="1" applyBorder="1" applyAlignment="1"/>
    <xf numFmtId="0" fontId="20" fillId="0" borderId="0" xfId="0" applyFont="1" applyFill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Fill="1" applyBorder="1" applyAlignment="1"/>
    <xf numFmtId="0" fontId="21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67" fontId="4" fillId="0" borderId="4" xfId="0" applyNumberFormat="1" applyFont="1" applyFill="1" applyBorder="1" applyAlignment="1">
      <alignment horizontal="left" vertical="center" wrapText="1"/>
    </xf>
    <xf numFmtId="4" fontId="4" fillId="0" borderId="4" xfId="0" applyNumberFormat="1" applyFont="1" applyFill="1" applyBorder="1"/>
    <xf numFmtId="4" fontId="4" fillId="0" borderId="4" xfId="0" applyNumberFormat="1" applyFont="1" applyBorder="1"/>
    <xf numFmtId="0" fontId="10" fillId="0" borderId="4" xfId="3" applyFont="1" applyFill="1" applyBorder="1"/>
    <xf numFmtId="0" fontId="18" fillId="0" borderId="19" xfId="4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/>
    <xf numFmtId="43" fontId="8" fillId="0" borderId="0" xfId="0" applyNumberFormat="1" applyFont="1" applyFill="1"/>
    <xf numFmtId="0" fontId="8" fillId="0" borderId="0" xfId="0" applyFont="1" applyFill="1"/>
    <xf numFmtId="0" fontId="23" fillId="0" borderId="4" xfId="0" applyFont="1" applyBorder="1"/>
    <xf numFmtId="0" fontId="24" fillId="0" borderId="4" xfId="0" applyFont="1" applyFill="1" applyBorder="1" applyAlignment="1">
      <alignment wrapText="1"/>
    </xf>
    <xf numFmtId="0" fontId="24" fillId="0" borderId="4" xfId="0" applyFont="1" applyBorder="1"/>
    <xf numFmtId="0" fontId="23" fillId="0" borderId="4" xfId="0" applyFont="1" applyBorder="1" applyAlignment="1">
      <alignment wrapText="1"/>
    </xf>
    <xf numFmtId="43" fontId="8" fillId="0" borderId="0" xfId="6" applyFont="1" applyFill="1"/>
    <xf numFmtId="9" fontId="8" fillId="0" borderId="0" xfId="0" applyNumberFormat="1" applyFont="1" applyFill="1"/>
    <xf numFmtId="0" fontId="23" fillId="0" borderId="4" xfId="0" applyFont="1" applyFill="1" applyBorder="1"/>
    <xf numFmtId="0" fontId="25" fillId="0" borderId="4" xfId="0" applyFont="1" applyFill="1" applyBorder="1"/>
    <xf numFmtId="0" fontId="23" fillId="0" borderId="4" xfId="0" applyFont="1" applyFill="1" applyBorder="1" applyAlignment="1">
      <alignment wrapText="1"/>
    </xf>
    <xf numFmtId="0" fontId="25" fillId="0" borderId="4" xfId="0" applyFont="1" applyFill="1" applyBorder="1" applyAlignment="1">
      <alignment wrapText="1"/>
    </xf>
    <xf numFmtId="0" fontId="0" fillId="0" borderId="26" xfId="0" applyBorder="1" applyAlignment="1">
      <alignment horizontal="right"/>
    </xf>
    <xf numFmtId="0" fontId="23" fillId="0" borderId="12" xfId="0" applyFont="1" applyBorder="1"/>
    <xf numFmtId="0" fontId="0" fillId="0" borderId="12" xfId="0" applyFill="1" applyBorder="1" applyAlignment="1">
      <alignment wrapText="1"/>
    </xf>
    <xf numFmtId="3" fontId="4" fillId="0" borderId="28" xfId="0" applyNumberFormat="1" applyFont="1" applyFill="1" applyBorder="1"/>
    <xf numFmtId="0" fontId="10" fillId="0" borderId="26" xfId="0" applyFont="1" applyBorder="1" applyAlignment="1">
      <alignment horizontal="right"/>
    </xf>
    <xf numFmtId="0" fontId="0" fillId="0" borderId="12" xfId="0" applyBorder="1"/>
    <xf numFmtId="3" fontId="10" fillId="0" borderId="28" xfId="0" applyNumberFormat="1" applyFont="1" applyBorder="1"/>
    <xf numFmtId="4" fontId="22" fillId="6" borderId="19" xfId="0" applyNumberFormat="1" applyFont="1" applyFill="1" applyBorder="1"/>
    <xf numFmtId="4" fontId="8" fillId="6" borderId="19" xfId="0" applyNumberFormat="1" applyFont="1" applyFill="1" applyBorder="1"/>
    <xf numFmtId="4" fontId="10" fillId="0" borderId="29" xfId="0" applyNumberFormat="1" applyFont="1" applyBorder="1"/>
    <xf numFmtId="4" fontId="10" fillId="0" borderId="29" xfId="0" applyNumberFormat="1" applyFont="1" applyFill="1" applyBorder="1"/>
    <xf numFmtId="4" fontId="22" fillId="0" borderId="19" xfId="0" applyNumberFormat="1" applyFont="1" applyBorder="1"/>
    <xf numFmtId="4" fontId="22" fillId="6" borderId="30" xfId="0" applyNumberFormat="1" applyFont="1" applyFill="1" applyBorder="1"/>
    <xf numFmtId="0" fontId="10" fillId="0" borderId="4" xfId="3" applyFont="1" applyBorder="1"/>
    <xf numFmtId="3" fontId="3" fillId="0" borderId="0" xfId="0" applyNumberFormat="1" applyFont="1" applyFill="1" applyBorder="1" applyAlignment="1"/>
    <xf numFmtId="2" fontId="3" fillId="0" borderId="0" xfId="0" applyNumberFormat="1" applyFont="1" applyFill="1" applyBorder="1" applyAlignment="1">
      <alignment horizontal="right"/>
    </xf>
    <xf numFmtId="10" fontId="0" fillId="0" borderId="0" xfId="0" applyNumberFormat="1"/>
    <xf numFmtId="4" fontId="30" fillId="0" borderId="0" xfId="5" applyNumberFormat="1" applyFont="1"/>
    <xf numFmtId="4" fontId="26" fillId="6" borderId="19" xfId="0" applyNumberFormat="1" applyFont="1" applyFill="1" applyBorder="1"/>
    <xf numFmtId="4" fontId="27" fillId="0" borderId="19" xfId="0" applyNumberFormat="1" applyFont="1" applyBorder="1"/>
    <xf numFmtId="4" fontId="27" fillId="0" borderId="19" xfId="0" applyNumberFormat="1" applyFont="1" applyFill="1" applyBorder="1"/>
    <xf numFmtId="0" fontId="10" fillId="0" borderId="4" xfId="0" applyFont="1" applyBorder="1"/>
    <xf numFmtId="0" fontId="3" fillId="2" borderId="18" xfId="4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/>
    </xf>
    <xf numFmtId="0" fontId="12" fillId="6" borderId="4" xfId="0" applyFont="1" applyFill="1" applyBorder="1"/>
    <xf numFmtId="3" fontId="12" fillId="6" borderId="4" xfId="0" applyNumberFormat="1" applyFont="1" applyFill="1" applyBorder="1"/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wrapText="1"/>
    </xf>
    <xf numFmtId="3" fontId="8" fillId="6" borderId="8" xfId="0" applyNumberFormat="1" applyFont="1" applyFill="1" applyBorder="1"/>
    <xf numFmtId="0" fontId="8" fillId="6" borderId="4" xfId="0" applyFont="1" applyFill="1" applyBorder="1"/>
    <xf numFmtId="0" fontId="8" fillId="6" borderId="4" xfId="1" applyNumberFormat="1" applyFont="1" applyFill="1" applyBorder="1" applyAlignment="1">
      <alignment wrapText="1"/>
    </xf>
    <xf numFmtId="3" fontId="8" fillId="6" borderId="4" xfId="0" applyNumberFormat="1" applyFont="1" applyFill="1" applyBorder="1"/>
    <xf numFmtId="0" fontId="12" fillId="6" borderId="4" xfId="0" applyFont="1" applyFill="1" applyBorder="1" applyAlignment="1">
      <alignment wrapText="1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3" fontId="3" fillId="6" borderId="8" xfId="0" applyNumberFormat="1" applyFont="1" applyFill="1" applyBorder="1"/>
    <xf numFmtId="0" fontId="16" fillId="6" borderId="3" xfId="0" applyFont="1" applyFill="1" applyBorder="1" applyAlignment="1">
      <alignment horizontal="center"/>
    </xf>
    <xf numFmtId="3" fontId="12" fillId="6" borderId="8" xfId="0" applyNumberFormat="1" applyFont="1" applyFill="1" applyBorder="1"/>
    <xf numFmtId="3" fontId="12" fillId="6" borderId="31" xfId="0" applyNumberFormat="1" applyFont="1" applyFill="1" applyBorder="1"/>
    <xf numFmtId="3" fontId="10" fillId="0" borderId="4" xfId="4" applyNumberFormat="1" applyFill="1" applyBorder="1"/>
    <xf numFmtId="3" fontId="3" fillId="0" borderId="4" xfId="4" applyNumberFormat="1" applyFont="1" applyFill="1" applyBorder="1"/>
    <xf numFmtId="3" fontId="10" fillId="0" borderId="10" xfId="4" applyNumberFormat="1" applyFill="1" applyBorder="1"/>
    <xf numFmtId="3" fontId="4" fillId="0" borderId="4" xfId="4" applyNumberFormat="1" applyFont="1" applyFill="1" applyBorder="1"/>
    <xf numFmtId="3" fontId="10" fillId="0" borderId="4" xfId="4" applyNumberFormat="1" applyFont="1" applyFill="1" applyBorder="1"/>
    <xf numFmtId="0" fontId="3" fillId="0" borderId="4" xfId="3" applyFont="1" applyFill="1" applyBorder="1"/>
    <xf numFmtId="3" fontId="3" fillId="0" borderId="10" xfId="4" applyNumberFormat="1" applyFont="1" applyFill="1" applyBorder="1"/>
    <xf numFmtId="3" fontId="29" fillId="0" borderId="0" xfId="2" applyNumberFormat="1" applyFill="1"/>
    <xf numFmtId="3" fontId="0" fillId="0" borderId="0" xfId="0" applyNumberFormat="1" applyFill="1"/>
    <xf numFmtId="3" fontId="4" fillId="0" borderId="4" xfId="3" applyNumberFormat="1" applyFont="1" applyFill="1" applyBorder="1" applyAlignment="1">
      <alignment horizontal="right"/>
    </xf>
    <xf numFmtId="4" fontId="26" fillId="0" borderId="19" xfId="0" applyNumberFormat="1" applyFont="1" applyBorder="1"/>
    <xf numFmtId="0" fontId="2" fillId="0" borderId="3" xfId="0" applyFont="1" applyBorder="1" applyAlignment="1">
      <alignment horizontal="right"/>
    </xf>
    <xf numFmtId="3" fontId="2" fillId="0" borderId="8" xfId="0" applyNumberFormat="1" applyFont="1" applyBorder="1"/>
    <xf numFmtId="4" fontId="2" fillId="0" borderId="19" xfId="0" applyNumberFormat="1" applyFont="1" applyBorder="1"/>
    <xf numFmtId="3" fontId="2" fillId="0" borderId="8" xfId="0" applyNumberFormat="1" applyFont="1" applyFill="1" applyBorder="1"/>
    <xf numFmtId="4" fontId="2" fillId="0" borderId="32" xfId="0" applyNumberFormat="1" applyFont="1" applyBorder="1"/>
    <xf numFmtId="3" fontId="0" fillId="0" borderId="28" xfId="0" applyNumberFormat="1" applyFill="1" applyBorder="1"/>
    <xf numFmtId="3" fontId="3" fillId="7" borderId="4" xfId="4" applyNumberFormat="1" applyFont="1" applyFill="1" applyBorder="1"/>
    <xf numFmtId="3" fontId="10" fillId="7" borderId="4" xfId="4" applyNumberFormat="1" applyFill="1" applyBorder="1"/>
    <xf numFmtId="3" fontId="4" fillId="7" borderId="4" xfId="4" applyNumberFormat="1" applyFont="1" applyFill="1" applyBorder="1"/>
    <xf numFmtId="3" fontId="4" fillId="7" borderId="4" xfId="3" applyNumberFormat="1" applyFont="1" applyFill="1" applyBorder="1"/>
    <xf numFmtId="0" fontId="28" fillId="0" borderId="4" xfId="3" applyFont="1" applyBorder="1"/>
    <xf numFmtId="3" fontId="28" fillId="0" borderId="4" xfId="3" applyNumberFormat="1" applyFont="1" applyBorder="1"/>
    <xf numFmtId="4" fontId="28" fillId="0" borderId="21" xfId="3" applyNumberFormat="1" applyFont="1" applyBorder="1" applyAlignment="1">
      <alignment horizontal="right"/>
    </xf>
    <xf numFmtId="0" fontId="28" fillId="0" borderId="4" xfId="3" applyFont="1" applyFill="1" applyBorder="1"/>
    <xf numFmtId="3" fontId="28" fillId="0" borderId="4" xfId="3" applyNumberFormat="1" applyFont="1" applyFill="1" applyBorder="1"/>
    <xf numFmtId="3" fontId="28" fillId="0" borderId="4" xfId="3" applyNumberFormat="1" applyFont="1" applyFill="1" applyBorder="1" applyProtection="1">
      <protection locked="0"/>
    </xf>
    <xf numFmtId="0" fontId="28" fillId="0" borderId="4" xfId="0" applyFont="1" applyBorder="1"/>
    <xf numFmtId="0" fontId="28" fillId="0" borderId="12" xfId="3" applyFont="1" applyBorder="1"/>
    <xf numFmtId="0" fontId="28" fillId="0" borderId="4" xfId="0" applyFont="1" applyFill="1" applyBorder="1" applyAlignment="1">
      <alignment wrapText="1"/>
    </xf>
    <xf numFmtId="0" fontId="28" fillId="0" borderId="4" xfId="0" applyFont="1" applyFill="1" applyBorder="1"/>
    <xf numFmtId="0" fontId="28" fillId="0" borderId="4" xfId="3" applyFont="1" applyFill="1" applyBorder="1" applyAlignment="1">
      <alignment wrapText="1"/>
    </xf>
    <xf numFmtId="0" fontId="28" fillId="0" borderId="4" xfId="0" applyFont="1" applyBorder="1" applyAlignment="1">
      <alignment wrapText="1"/>
    </xf>
    <xf numFmtId="0" fontId="2" fillId="0" borderId="4" xfId="0" applyFont="1" applyBorder="1"/>
    <xf numFmtId="0" fontId="2" fillId="0" borderId="4" xfId="0" applyFont="1" applyFill="1" applyBorder="1"/>
    <xf numFmtId="0" fontId="4" fillId="0" borderId="3" xfId="3" applyFont="1" applyBorder="1" applyAlignment="1">
      <alignment horizontal="center" vertical="top"/>
    </xf>
    <xf numFmtId="0" fontId="2" fillId="0" borderId="3" xfId="3" applyBorder="1" applyAlignment="1">
      <alignment horizontal="center" vertical="top"/>
    </xf>
    <xf numFmtId="0" fontId="28" fillId="0" borderId="3" xfId="3" applyFont="1" applyBorder="1" applyAlignment="1">
      <alignment horizontal="right" vertical="top"/>
    </xf>
    <xf numFmtId="0" fontId="2" fillId="0" borderId="3" xfId="3" applyFill="1" applyBorder="1" applyAlignment="1">
      <alignment horizontal="center" vertical="top"/>
    </xf>
    <xf numFmtId="0" fontId="28" fillId="0" borderId="3" xfId="3" applyFont="1" applyFill="1" applyBorder="1" applyAlignment="1">
      <alignment horizontal="right" vertical="top"/>
    </xf>
    <xf numFmtId="49" fontId="28" fillId="0" borderId="3" xfId="0" applyNumberFormat="1" applyFont="1" applyBorder="1" applyAlignment="1">
      <alignment horizontal="right" vertical="top"/>
    </xf>
    <xf numFmtId="49" fontId="28" fillId="0" borderId="3" xfId="0" applyNumberFormat="1" applyFont="1" applyFill="1" applyBorder="1" applyAlignment="1">
      <alignment horizontal="right" vertical="top"/>
    </xf>
    <xf numFmtId="0" fontId="3" fillId="0" borderId="3" xfId="3" applyFont="1" applyBorder="1" applyAlignment="1">
      <alignment vertical="top"/>
    </xf>
    <xf numFmtId="49" fontId="4" fillId="0" borderId="3" xfId="0" applyNumberFormat="1" applyFont="1" applyBorder="1" applyAlignment="1">
      <alignment horizontal="center" vertical="top"/>
    </xf>
    <xf numFmtId="49" fontId="2" fillId="0" borderId="3" xfId="3" applyNumberFormat="1" applyFont="1" applyBorder="1" applyAlignment="1">
      <alignment horizontal="center" vertical="top"/>
    </xf>
    <xf numFmtId="0" fontId="2" fillId="0" borderId="3" xfId="3" applyFont="1" applyBorder="1"/>
    <xf numFmtId="0" fontId="2" fillId="0" borderId="3" xfId="3" applyFont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0" fontId="2" fillId="0" borderId="4" xfId="3" applyFont="1" applyFill="1" applyBorder="1" applyAlignment="1">
      <alignment wrapText="1"/>
    </xf>
    <xf numFmtId="49" fontId="2" fillId="0" borderId="3" xfId="0" applyNumberFormat="1" applyFont="1" applyBorder="1" applyAlignment="1">
      <alignment horizontal="center" vertical="top"/>
    </xf>
    <xf numFmtId="3" fontId="2" fillId="0" borderId="4" xfId="3" applyNumberFormat="1" applyFont="1" applyBorder="1"/>
    <xf numFmtId="0" fontId="3" fillId="0" borderId="14" xfId="3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18" fillId="0" borderId="28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3" fontId="12" fillId="0" borderId="0" xfId="0" applyNumberFormat="1" applyFont="1" applyFill="1"/>
    <xf numFmtId="3" fontId="8" fillId="0" borderId="0" xfId="0" applyNumberFormat="1" applyFont="1" applyFill="1"/>
    <xf numFmtId="4" fontId="8" fillId="0" borderId="0" xfId="0" applyNumberFormat="1" applyFont="1" applyFill="1"/>
    <xf numFmtId="0" fontId="3" fillId="0" borderId="0" xfId="0" applyFont="1" applyFill="1" applyBorder="1"/>
    <xf numFmtId="3" fontId="0" fillId="0" borderId="0" xfId="0" applyNumberFormat="1" applyFill="1" applyBorder="1"/>
    <xf numFmtId="0" fontId="10" fillId="0" borderId="0" xfId="0" applyFont="1" applyFill="1"/>
    <xf numFmtId="0" fontId="2" fillId="0" borderId="0" xfId="0" applyFont="1" applyFill="1"/>
    <xf numFmtId="0" fontId="8" fillId="0" borderId="4" xfId="0" applyFont="1" applyBorder="1" applyAlignment="1">
      <alignment horizontal="center"/>
    </xf>
    <xf numFmtId="4" fontId="8" fillId="0" borderId="21" xfId="3" applyNumberFormat="1" applyFont="1" applyBorder="1" applyAlignment="1">
      <alignment horizontal="right"/>
    </xf>
    <xf numFmtId="0" fontId="2" fillId="0" borderId="4" xfId="0" applyFont="1" applyFill="1" applyBorder="1" applyAlignment="1">
      <alignment wrapText="1"/>
    </xf>
    <xf numFmtId="3" fontId="4" fillId="0" borderId="35" xfId="0" applyNumberFormat="1" applyFont="1" applyFill="1" applyBorder="1"/>
    <xf numFmtId="3" fontId="0" fillId="0" borderId="4" xfId="0" applyNumberFormat="1" applyFill="1" applyBorder="1"/>
    <xf numFmtId="3" fontId="3" fillId="0" borderId="4" xfId="3" applyNumberFormat="1" applyFont="1" applyBorder="1"/>
    <xf numFmtId="3" fontId="2" fillId="0" borderId="4" xfId="3" applyNumberFormat="1" applyBorder="1"/>
    <xf numFmtId="3" fontId="3" fillId="3" borderId="4" xfId="3" applyNumberFormat="1" applyFont="1" applyFill="1" applyBorder="1"/>
    <xf numFmtId="3" fontId="2" fillId="0" borderId="4" xfId="3" applyNumberFormat="1" applyFill="1" applyBorder="1"/>
    <xf numFmtId="3" fontId="3" fillId="0" borderId="4" xfId="3" applyNumberFormat="1" applyFont="1" applyFill="1" applyBorder="1" applyAlignment="1">
      <alignment horizontal="right"/>
    </xf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3" fillId="0" borderId="4" xfId="3" applyNumberFormat="1" applyFont="1" applyBorder="1"/>
    <xf numFmtId="3" fontId="2" fillId="0" borderId="4" xfId="3" applyNumberFormat="1" applyFill="1" applyBorder="1"/>
    <xf numFmtId="3" fontId="4" fillId="0" borderId="4" xfId="3" applyNumberFormat="1" applyFont="1" applyFill="1" applyBorder="1"/>
    <xf numFmtId="3" fontId="2" fillId="0" borderId="10" xfId="3" applyNumberFormat="1" applyBorder="1"/>
    <xf numFmtId="3" fontId="3" fillId="3" borderId="10" xfId="3" applyNumberFormat="1" applyFont="1" applyFill="1" applyBorder="1"/>
    <xf numFmtId="3" fontId="4" fillId="0" borderId="10" xfId="3" applyNumberFormat="1" applyFont="1" applyBorder="1"/>
    <xf numFmtId="3" fontId="2" fillId="0" borderId="10" xfId="3" applyNumberFormat="1" applyFill="1" applyBorder="1"/>
    <xf numFmtId="3" fontId="3" fillId="0" borderId="10" xfId="3" applyNumberFormat="1" applyFont="1" applyFill="1" applyBorder="1" applyAlignment="1">
      <alignment horizontal="right"/>
    </xf>
    <xf numFmtId="3" fontId="3" fillId="0" borderId="10" xfId="3" applyNumberFormat="1" applyFont="1" applyBorder="1"/>
    <xf numFmtId="3" fontId="4" fillId="0" borderId="10" xfId="3" applyNumberFormat="1" applyFont="1" applyFill="1" applyBorder="1"/>
    <xf numFmtId="3" fontId="2" fillId="0" borderId="4" xfId="3" applyNumberFormat="1" applyFont="1" applyFill="1" applyBorder="1"/>
    <xf numFmtId="3" fontId="4" fillId="0" borderId="10" xfId="3" applyNumberFormat="1" applyFont="1" applyBorder="1" applyAlignment="1">
      <alignment vertical="center"/>
    </xf>
    <xf numFmtId="3" fontId="2" fillId="0" borderId="10" xfId="8" applyNumberFormat="1" applyFill="1" applyBorder="1"/>
    <xf numFmtId="3" fontId="3" fillId="0" borderId="10" xfId="8" applyNumberFormat="1" applyFont="1" applyFill="1" applyBorder="1"/>
    <xf numFmtId="3" fontId="3" fillId="0" borderId="4" xfId="3" applyNumberFormat="1" applyFont="1" applyBorder="1"/>
    <xf numFmtId="3" fontId="2" fillId="0" borderId="4" xfId="3" applyNumberFormat="1" applyBorder="1"/>
    <xf numFmtId="3" fontId="3" fillId="3" borderId="4" xfId="3" applyNumberFormat="1" applyFont="1" applyFill="1" applyBorder="1"/>
    <xf numFmtId="3" fontId="2" fillId="0" borderId="4" xfId="3" applyNumberFormat="1" applyFill="1" applyBorder="1"/>
    <xf numFmtId="3" fontId="3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3" fillId="0" borderId="4" xfId="3" applyNumberFormat="1" applyFont="1" applyBorder="1"/>
    <xf numFmtId="3" fontId="2" fillId="0" borderId="4" xfId="3" applyNumberFormat="1" applyBorder="1"/>
    <xf numFmtId="3" fontId="4" fillId="0" borderId="4" xfId="3" applyNumberFormat="1" applyFont="1" applyBorder="1"/>
    <xf numFmtId="3" fontId="3" fillId="3" borderId="4" xfId="3" applyNumberFormat="1" applyFont="1" applyFill="1" applyBorder="1"/>
    <xf numFmtId="3" fontId="2" fillId="0" borderId="4" xfId="3" applyNumberForma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2" fillId="0" borderId="4" xfId="3" applyNumberFormat="1" applyBorder="1"/>
    <xf numFmtId="3" fontId="3" fillId="3" borderId="4" xfId="3" applyNumberFormat="1" applyFont="1" applyFill="1" applyBorder="1"/>
    <xf numFmtId="3" fontId="2" fillId="0" borderId="4" xfId="3" applyNumberForma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2" fillId="0" borderId="4" xfId="3" applyNumberFormat="1" applyBorder="1"/>
    <xf numFmtId="3" fontId="3" fillId="3" borderId="4" xfId="3" applyNumberFormat="1" applyFont="1" applyFill="1" applyBorder="1"/>
    <xf numFmtId="3" fontId="2" fillId="0" borderId="4" xfId="3" applyNumberForma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3" fillId="7" borderId="4" xfId="8" applyNumberFormat="1" applyFont="1" applyFill="1" applyBorder="1"/>
    <xf numFmtId="3" fontId="2" fillId="7" borderId="4" xfId="8" applyNumberFormat="1" applyFill="1" applyBorder="1"/>
    <xf numFmtId="3" fontId="3" fillId="0" borderId="4" xfId="3" applyNumberFormat="1" applyFont="1" applyBorder="1"/>
    <xf numFmtId="3" fontId="2" fillId="0" borderId="4" xfId="3" applyNumberFormat="1" applyBorder="1"/>
    <xf numFmtId="3" fontId="4" fillId="0" borderId="4" xfId="3" applyNumberFormat="1" applyFont="1" applyBorder="1"/>
    <xf numFmtId="3" fontId="3" fillId="3" borderId="4" xfId="3" applyNumberFormat="1" applyFont="1" applyFill="1" applyBorder="1"/>
    <xf numFmtId="3" fontId="2" fillId="0" borderId="4" xfId="3" applyNumberFormat="1" applyFill="1" applyBorder="1"/>
    <xf numFmtId="3" fontId="3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3" fillId="0" borderId="4" xfId="3" applyNumberFormat="1" applyFont="1" applyBorder="1"/>
    <xf numFmtId="3" fontId="2" fillId="0" borderId="4" xfId="3" applyNumberForma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3" fillId="0" borderId="4" xfId="3" applyNumberFormat="1" applyFont="1" applyBorder="1"/>
    <xf numFmtId="3" fontId="4" fillId="0" borderId="4" xfId="3" applyNumberFormat="1" applyFont="1" applyBorder="1"/>
    <xf numFmtId="3" fontId="3" fillId="3" borderId="4" xfId="3" applyNumberFormat="1" applyFont="1" applyFill="1" applyBorder="1"/>
    <xf numFmtId="3" fontId="2" fillId="0" borderId="4" xfId="3" applyNumberFormat="1" applyFill="1" applyBorder="1"/>
    <xf numFmtId="3" fontId="2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4" fillId="0" borderId="4" xfId="8" applyNumberFormat="1" applyFont="1" applyFill="1" applyBorder="1"/>
    <xf numFmtId="3" fontId="4" fillId="0" borderId="4" xfId="3" applyNumberFormat="1" applyFont="1" applyBorder="1"/>
    <xf numFmtId="3" fontId="3" fillId="3" borderId="4" xfId="3" applyNumberFormat="1" applyFon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3" fillId="0" borderId="4" xfId="3" applyNumberFormat="1" applyFont="1" applyFill="1" applyBorder="1" applyAlignment="1">
      <alignment horizontal="right"/>
    </xf>
    <xf numFmtId="3" fontId="3" fillId="7" borderId="4" xfId="8" applyNumberFormat="1" applyFont="1" applyFill="1" applyBorder="1"/>
    <xf numFmtId="3" fontId="2" fillId="7" borderId="4" xfId="8" applyNumberFormat="1" applyFill="1" applyBorder="1"/>
    <xf numFmtId="3" fontId="4" fillId="7" borderId="4" xfId="8" applyNumberFormat="1" applyFont="1" applyFill="1" applyBorder="1"/>
    <xf numFmtId="3" fontId="4" fillId="0" borderId="4" xfId="3" applyNumberFormat="1" applyFont="1" applyBorder="1"/>
    <xf numFmtId="3" fontId="3" fillId="3" borderId="4" xfId="3" applyNumberFormat="1" applyFont="1" applyFill="1" applyBorder="1"/>
    <xf numFmtId="3" fontId="3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4" fillId="0" borderId="4" xfId="8" applyNumberFormat="1" applyFont="1" applyFill="1" applyBorder="1"/>
    <xf numFmtId="3" fontId="3" fillId="0" borderId="4" xfId="3" applyNumberFormat="1" applyFont="1" applyBorder="1"/>
    <xf numFmtId="3" fontId="4" fillId="0" borderId="4" xfId="3" applyNumberFormat="1" applyFont="1" applyBorder="1"/>
    <xf numFmtId="3" fontId="3" fillId="3" borderId="4" xfId="3" applyNumberFormat="1" applyFon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4" fillId="0" borderId="4" xfId="8" applyNumberFormat="1" applyFont="1" applyFill="1" applyBorder="1"/>
    <xf numFmtId="3" fontId="3" fillId="0" borderId="4" xfId="3" applyNumberFormat="1" applyFont="1" applyBorder="1"/>
    <xf numFmtId="3" fontId="4" fillId="0" borderId="4" xfId="3" applyNumberFormat="1" applyFont="1" applyBorder="1"/>
    <xf numFmtId="3" fontId="3" fillId="3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4" fillId="0" borderId="4" xfId="8" applyNumberFormat="1" applyFont="1" applyFill="1" applyBorder="1"/>
    <xf numFmtId="3" fontId="3" fillId="0" borderId="4" xfId="3" applyNumberFormat="1" applyFont="1" applyBorder="1"/>
    <xf numFmtId="3" fontId="4" fillId="0" borderId="4" xfId="3" applyNumberFormat="1" applyFont="1" applyBorder="1"/>
    <xf numFmtId="3" fontId="3" fillId="3" borderId="4" xfId="3" applyNumberFormat="1" applyFon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4" fillId="0" borderId="4" xfId="8" applyNumberFormat="1" applyFont="1" applyFill="1" applyBorder="1"/>
    <xf numFmtId="0" fontId="2" fillId="0" borderId="4" xfId="3" applyBorder="1"/>
    <xf numFmtId="3" fontId="3" fillId="0" borderId="4" xfId="3" applyNumberFormat="1" applyFont="1" applyBorder="1" applyAlignment="1">
      <alignment horizontal="right"/>
    </xf>
    <xf numFmtId="3" fontId="2" fillId="0" borderId="4" xfId="3" applyNumberFormat="1" applyBorder="1"/>
    <xf numFmtId="3" fontId="3" fillId="3" borderId="4" xfId="3" applyNumberFormat="1" applyFont="1" applyFill="1" applyBorder="1"/>
    <xf numFmtId="3" fontId="2" fillId="0" borderId="4" xfId="3" applyNumberForma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3" applyNumberFormat="1" applyFont="1" applyFill="1" applyBorder="1"/>
    <xf numFmtId="3" fontId="8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4" fillId="0" borderId="4" xfId="8" applyNumberFormat="1" applyFont="1" applyFill="1" applyBorder="1"/>
    <xf numFmtId="0" fontId="3" fillId="0" borderId="4" xfId="3" applyFont="1" applyFill="1" applyBorder="1"/>
    <xf numFmtId="3" fontId="2" fillId="0" borderId="4" xfId="3" applyNumberFormat="1" applyBorder="1"/>
    <xf numFmtId="3" fontId="3" fillId="3" borderId="4" xfId="3" applyNumberFormat="1" applyFont="1" applyFill="1" applyBorder="1"/>
    <xf numFmtId="3" fontId="2" fillId="0" borderId="4" xfId="3" applyNumberForma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4" fillId="0" borderId="4" xfId="3" applyNumberFormat="1" applyFont="1" applyBorder="1"/>
    <xf numFmtId="3" fontId="3" fillId="3" borderId="4" xfId="3" applyNumberFormat="1" applyFon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4" fillId="0" borderId="4" xfId="8" applyNumberFormat="1" applyFont="1" applyFill="1" applyBorder="1"/>
    <xf numFmtId="3" fontId="3" fillId="0" borderId="4" xfId="3" applyNumberFormat="1" applyFont="1" applyBorder="1"/>
    <xf numFmtId="3" fontId="2" fillId="0" borderId="4" xfId="3" applyNumberFormat="1" applyBorder="1"/>
    <xf numFmtId="3" fontId="3" fillId="3" borderId="4" xfId="3" applyNumberFormat="1" applyFont="1" applyFill="1" applyBorder="1"/>
    <xf numFmtId="3" fontId="2" fillId="0" borderId="4" xfId="3" applyNumberForma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2" fillId="0" borderId="4" xfId="8" applyNumberFormat="1" applyFont="1" applyFill="1" applyBorder="1"/>
    <xf numFmtId="3" fontId="3" fillId="0" borderId="4" xfId="3" applyNumberFormat="1" applyFont="1" applyBorder="1"/>
    <xf numFmtId="3" fontId="2" fillId="0" borderId="4" xfId="3" applyNumberForma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4" fillId="0" borderId="4" xfId="3" applyNumberFormat="1" applyFont="1" applyFill="1" applyBorder="1" applyAlignment="1">
      <alignment vertical="center"/>
    </xf>
    <xf numFmtId="3" fontId="3" fillId="7" borderId="4" xfId="8" applyNumberFormat="1" applyFont="1" applyFill="1" applyBorder="1"/>
    <xf numFmtId="3" fontId="2" fillId="7" borderId="4" xfId="8" applyNumberFormat="1" applyFill="1" applyBorder="1"/>
    <xf numFmtId="3" fontId="4" fillId="7" borderId="4" xfId="8" applyNumberFormat="1" applyFont="1" applyFill="1" applyBorder="1"/>
    <xf numFmtId="3" fontId="3" fillId="0" borderId="4" xfId="3" applyNumberFormat="1" applyFont="1" applyBorder="1"/>
    <xf numFmtId="3" fontId="3" fillId="0" borderId="4" xfId="3" applyNumberFormat="1" applyFont="1" applyBorder="1" applyAlignment="1">
      <alignment horizontal="right"/>
    </xf>
    <xf numFmtId="3" fontId="4" fillId="0" borderId="4" xfId="3" applyNumberFormat="1" applyFont="1" applyBorder="1"/>
    <xf numFmtId="3" fontId="3" fillId="3" borderId="4" xfId="3" applyNumberFormat="1" applyFont="1" applyFill="1" applyBorder="1"/>
    <xf numFmtId="3" fontId="2" fillId="0" borderId="4" xfId="3" applyNumberFormat="1" applyFont="1" applyBorder="1"/>
    <xf numFmtId="3" fontId="4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4" fillId="0" borderId="4" xfId="8" applyNumberFormat="1" applyFont="1" applyFill="1" applyBorder="1"/>
    <xf numFmtId="3" fontId="3" fillId="0" borderId="4" xfId="3" applyNumberFormat="1" applyFont="1" applyBorder="1" applyAlignment="1">
      <alignment horizontal="right"/>
    </xf>
    <xf numFmtId="3" fontId="4" fillId="0" borderId="4" xfId="3" applyNumberFormat="1" applyFont="1" applyBorder="1"/>
    <xf numFmtId="3" fontId="3" fillId="3" borderId="4" xfId="3" applyNumberFormat="1" applyFon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4" fillId="0" borderId="4" xfId="8" applyNumberFormat="1" applyFont="1" applyFill="1" applyBorder="1"/>
    <xf numFmtId="3" fontId="3" fillId="0" borderId="4" xfId="3" applyNumberFormat="1" applyFont="1" applyBorder="1" applyAlignment="1">
      <alignment horizontal="right"/>
    </xf>
    <xf numFmtId="3" fontId="4" fillId="0" borderId="4" xfId="3" applyNumberFormat="1" applyFont="1" applyBorder="1"/>
    <xf numFmtId="3" fontId="3" fillId="3" borderId="4" xfId="3" applyNumberFormat="1" applyFon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4" fillId="0" borderId="4" xfId="8" applyNumberFormat="1" applyFont="1" applyFill="1" applyBorder="1"/>
    <xf numFmtId="3" fontId="4" fillId="7" borderId="4" xfId="3" applyNumberFormat="1" applyFont="1" applyFill="1" applyBorder="1"/>
    <xf numFmtId="3" fontId="3" fillId="0" borderId="4" xfId="3" applyNumberFormat="1" applyFont="1" applyBorder="1" applyAlignment="1">
      <alignment horizontal="right"/>
    </xf>
    <xf numFmtId="3" fontId="4" fillId="0" borderId="4" xfId="3" applyNumberFormat="1" applyFont="1" applyBorder="1"/>
    <xf numFmtId="3" fontId="3" fillId="3" borderId="4" xfId="3" applyNumberFormat="1" applyFon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4" fillId="0" borderId="4" xfId="8" applyNumberFormat="1" applyFont="1" applyFill="1" applyBorder="1"/>
    <xf numFmtId="3" fontId="3" fillId="0" borderId="4" xfId="3" applyNumberFormat="1" applyFont="1" applyBorder="1" applyAlignment="1">
      <alignment horizontal="right"/>
    </xf>
    <xf numFmtId="3" fontId="2" fillId="0" borderId="4" xfId="3" applyNumberFormat="1" applyBorder="1"/>
    <xf numFmtId="3" fontId="3" fillId="3" borderId="4" xfId="3" applyNumberFormat="1" applyFont="1" applyFill="1" applyBorder="1"/>
    <xf numFmtId="3" fontId="2" fillId="0" borderId="4" xfId="3" applyNumberFormat="1" applyFill="1" applyBorder="1"/>
    <xf numFmtId="3" fontId="3" fillId="0" borderId="4" xfId="3" applyNumberFormat="1" applyFont="1" applyFill="1" applyBorder="1"/>
    <xf numFmtId="3" fontId="2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3" fillId="0" borderId="4" xfId="3" applyNumberFormat="1" applyFont="1" applyBorder="1" applyAlignment="1">
      <alignment horizontal="right"/>
    </xf>
    <xf numFmtId="3" fontId="4" fillId="0" borderId="4" xfId="3" applyNumberFormat="1" applyFont="1" applyBorder="1"/>
    <xf numFmtId="3" fontId="3" fillId="3" borderId="4" xfId="3" applyNumberFormat="1" applyFon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4" fillId="0" borderId="4" xfId="8" applyNumberFormat="1" applyFont="1" applyFill="1" applyBorder="1"/>
    <xf numFmtId="3" fontId="3" fillId="0" borderId="4" xfId="3" applyNumberFormat="1" applyFont="1" applyBorder="1"/>
    <xf numFmtId="3" fontId="3" fillId="0" borderId="4" xfId="3" applyNumberFormat="1" applyFont="1" applyBorder="1" applyAlignment="1">
      <alignment horizontal="right"/>
    </xf>
    <xf numFmtId="3" fontId="4" fillId="0" borderId="4" xfId="3" applyNumberFormat="1" applyFont="1" applyBorder="1"/>
    <xf numFmtId="3" fontId="3" fillId="3" borderId="4" xfId="3" applyNumberFormat="1" applyFon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4" fillId="0" borderId="4" xfId="8" applyNumberFormat="1" applyFont="1" applyFill="1" applyBorder="1"/>
    <xf numFmtId="3" fontId="3" fillId="0" borderId="4" xfId="3" applyNumberFormat="1" applyFont="1" applyBorder="1"/>
    <xf numFmtId="3" fontId="4" fillId="0" borderId="4" xfId="3" applyNumberFormat="1" applyFont="1" applyBorder="1"/>
    <xf numFmtId="3" fontId="3" fillId="3" borderId="4" xfId="3" applyNumberFormat="1" applyFon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3" fillId="0" borderId="4" xfId="3" applyNumberFormat="1" applyFont="1" applyFill="1" applyBorder="1" applyAlignment="1">
      <alignment horizontal="right"/>
    </xf>
    <xf numFmtId="3" fontId="2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4" fillId="0" borderId="4" xfId="8" applyNumberFormat="1" applyFont="1" applyFill="1" applyBorder="1"/>
    <xf numFmtId="3" fontId="3" fillId="0" borderId="4" xfId="3" applyNumberFormat="1" applyFont="1" applyBorder="1"/>
    <xf numFmtId="3" fontId="3" fillId="0" borderId="4" xfId="3" applyNumberFormat="1" applyFont="1" applyBorder="1" applyAlignment="1">
      <alignment horizontal="right"/>
    </xf>
    <xf numFmtId="3" fontId="4" fillId="0" borderId="4" xfId="3" applyNumberFormat="1" applyFont="1" applyBorder="1"/>
    <xf numFmtId="3" fontId="3" fillId="3" borderId="4" xfId="3" applyNumberFormat="1" applyFon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4" fillId="0" borderId="4" xfId="8" applyNumberFormat="1" applyFont="1" applyFill="1" applyBorder="1"/>
    <xf numFmtId="3" fontId="3" fillId="0" borderId="4" xfId="3" applyNumberFormat="1" applyFont="1" applyBorder="1"/>
    <xf numFmtId="3" fontId="3" fillId="0" borderId="4" xfId="3" applyNumberFormat="1" applyFont="1" applyBorder="1" applyAlignment="1">
      <alignment horizontal="right"/>
    </xf>
    <xf numFmtId="3" fontId="4" fillId="0" borderId="4" xfId="3" applyNumberFormat="1" applyFont="1" applyBorder="1"/>
    <xf numFmtId="3" fontId="3" fillId="3" borderId="4" xfId="3" applyNumberFormat="1" applyFon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4" fillId="0" borderId="4" xfId="8" applyNumberFormat="1" applyFont="1" applyFill="1" applyBorder="1"/>
    <xf numFmtId="3" fontId="3" fillId="0" borderId="4" xfId="3" applyNumberFormat="1" applyFont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4" fillId="0" borderId="4" xfId="8" applyNumberFormat="1" applyFont="1" applyFill="1" applyBorder="1"/>
    <xf numFmtId="3" fontId="2" fillId="0" borderId="4" xfId="3" applyNumberFormat="1" applyBorder="1"/>
    <xf numFmtId="3" fontId="3" fillId="3" borderId="4" xfId="3" applyNumberFormat="1" applyFont="1" applyFill="1" applyBorder="1"/>
    <xf numFmtId="3" fontId="2" fillId="0" borderId="4" xfId="3" applyNumberFormat="1" applyFill="1" applyBorder="1"/>
    <xf numFmtId="3" fontId="3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3" fillId="0" borderId="4" xfId="3" applyNumberFormat="1" applyFont="1" applyBorder="1"/>
    <xf numFmtId="3" fontId="2" fillId="0" borderId="4" xfId="3" applyNumberFormat="1" applyBorder="1"/>
    <xf numFmtId="3" fontId="3" fillId="3" borderId="4" xfId="3" applyNumberFormat="1" applyFont="1" applyFill="1" applyBorder="1"/>
    <xf numFmtId="3" fontId="2" fillId="0" borderId="4" xfId="3" applyNumberForma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3" fillId="0" borderId="4" xfId="3" applyNumberFormat="1" applyFont="1" applyBorder="1"/>
    <xf numFmtId="3" fontId="4" fillId="0" borderId="4" xfId="3" applyNumberFormat="1" applyFont="1" applyBorder="1"/>
    <xf numFmtId="3" fontId="3" fillId="3" borderId="4" xfId="3" applyNumberFormat="1" applyFon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4" fillId="0" borderId="4" xfId="8" applyNumberFormat="1" applyFont="1" applyFill="1" applyBorder="1"/>
    <xf numFmtId="3" fontId="3" fillId="0" borderId="4" xfId="3" applyNumberFormat="1" applyFont="1" applyBorder="1"/>
    <xf numFmtId="3" fontId="2" fillId="0" borderId="4" xfId="3" applyNumberFormat="1" applyBorder="1"/>
    <xf numFmtId="3" fontId="3" fillId="3" borderId="4" xfId="3" applyNumberFormat="1" applyFont="1" applyFill="1" applyBorder="1"/>
    <xf numFmtId="3" fontId="2" fillId="0" borderId="4" xfId="3" applyNumberForma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3" fillId="0" borderId="4" xfId="3" applyNumberFormat="1" applyFont="1" applyBorder="1"/>
    <xf numFmtId="3" fontId="4" fillId="0" borderId="4" xfId="3" applyNumberFormat="1" applyFont="1" applyBorder="1"/>
    <xf numFmtId="3" fontId="3" fillId="3" borderId="4" xfId="3" applyNumberFormat="1" applyFon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4" fillId="0" borderId="4" xfId="8" applyNumberFormat="1" applyFont="1" applyFill="1" applyBorder="1"/>
    <xf numFmtId="0" fontId="3" fillId="0" borderId="0" xfId="3" applyFont="1"/>
    <xf numFmtId="0" fontId="3" fillId="0" borderId="0" xfId="3" applyFont="1" applyAlignment="1">
      <alignment horizontal="center"/>
    </xf>
    <xf numFmtId="0" fontId="3" fillId="0" borderId="4" xfId="3" applyFont="1" applyBorder="1" applyAlignment="1">
      <alignment horizontal="center"/>
    </xf>
    <xf numFmtId="0" fontId="2" fillId="0" borderId="0" xfId="3"/>
    <xf numFmtId="0" fontId="2" fillId="0" borderId="3" xfId="3" applyBorder="1"/>
    <xf numFmtId="0" fontId="2" fillId="0" borderId="4" xfId="3" applyBorder="1"/>
    <xf numFmtId="0" fontId="3" fillId="0" borderId="3" xfId="3" applyFont="1" applyBorder="1"/>
    <xf numFmtId="3" fontId="3" fillId="0" borderId="4" xfId="3" applyNumberFormat="1" applyFont="1" applyBorder="1"/>
    <xf numFmtId="0" fontId="2" fillId="0" borderId="0" xfId="3" applyAlignment="1">
      <alignment horizontal="center"/>
    </xf>
    <xf numFmtId="0" fontId="2" fillId="0" borderId="4" xfId="3" applyFont="1" applyBorder="1"/>
    <xf numFmtId="3" fontId="4" fillId="0" borderId="4" xfId="3" applyNumberFormat="1" applyFont="1" applyBorder="1"/>
    <xf numFmtId="0" fontId="2" fillId="0" borderId="0" xfId="3" applyFont="1" applyAlignment="1">
      <alignment horizontal="left"/>
    </xf>
    <xf numFmtId="3" fontId="3" fillId="3" borderId="4" xfId="3" applyNumberFormat="1" applyFont="1" applyFill="1" applyBorder="1"/>
    <xf numFmtId="0" fontId="6" fillId="0" borderId="0" xfId="3" applyFont="1" applyAlignment="1">
      <alignment horizontal="left"/>
    </xf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3" fillId="0" borderId="4" xfId="3" applyNumberFormat="1" applyFont="1" applyFill="1" applyBorder="1" applyAlignment="1">
      <alignment horizontal="right"/>
    </xf>
    <xf numFmtId="0" fontId="3" fillId="0" borderId="10" xfId="3" applyFont="1" applyBorder="1" applyAlignment="1">
      <alignment horizontal="center"/>
    </xf>
    <xf numFmtId="3" fontId="2" fillId="0" borderId="4" xfId="8" applyNumberFormat="1" applyFill="1" applyBorder="1"/>
    <xf numFmtId="3" fontId="3" fillId="0" borderId="4" xfId="8" applyNumberFormat="1" applyFont="1" applyFill="1" applyBorder="1"/>
    <xf numFmtId="3" fontId="4" fillId="0" borderId="4" xfId="8" applyNumberFormat="1" applyFont="1" applyFill="1" applyBorder="1"/>
    <xf numFmtId="0" fontId="28" fillId="0" borderId="4" xfId="3" applyFont="1" applyBorder="1"/>
    <xf numFmtId="3" fontId="28" fillId="0" borderId="4" xfId="3" applyNumberFormat="1" applyFont="1" applyBorder="1"/>
    <xf numFmtId="4" fontId="28" fillId="0" borderId="21" xfId="3" applyNumberFormat="1" applyFont="1" applyBorder="1" applyAlignment="1">
      <alignment horizontal="right"/>
    </xf>
    <xf numFmtId="3" fontId="28" fillId="0" borderId="4" xfId="3" applyNumberFormat="1" applyFont="1" applyFill="1" applyBorder="1"/>
    <xf numFmtId="3" fontId="28" fillId="0" borderId="4" xfId="3" applyNumberFormat="1" applyFont="1" applyFill="1" applyBorder="1" applyProtection="1">
      <protection locked="0"/>
    </xf>
    <xf numFmtId="0" fontId="2" fillId="0" borderId="14" xfId="3" applyBorder="1" applyAlignment="1">
      <alignment horizontal="center"/>
    </xf>
    <xf numFmtId="0" fontId="31" fillId="0" borderId="4" xfId="3" applyFont="1" applyBorder="1" applyAlignment="1">
      <alignment horizontal="center"/>
    </xf>
    <xf numFmtId="0" fontId="33" fillId="0" borderId="4" xfId="3" applyFont="1" applyBorder="1" applyAlignment="1">
      <alignment horizontal="center"/>
    </xf>
    <xf numFmtId="0" fontId="33" fillId="0" borderId="6" xfId="3" applyFont="1" applyBorder="1" applyAlignment="1">
      <alignment horizontal="center"/>
    </xf>
    <xf numFmtId="0" fontId="33" fillId="0" borderId="0" xfId="3" applyFont="1" applyAlignment="1">
      <alignment horizontal="center"/>
    </xf>
    <xf numFmtId="0" fontId="33" fillId="0" borderId="4" xfId="3" applyFont="1" applyFill="1" applyBorder="1" applyAlignment="1">
      <alignment horizontal="center"/>
    </xf>
    <xf numFmtId="0" fontId="33" fillId="0" borderId="4" xfId="3" applyFont="1" applyBorder="1" applyAlignment="1">
      <alignment horizontal="center" vertical="center"/>
    </xf>
    <xf numFmtId="0" fontId="33" fillId="0" borderId="12" xfId="3" applyFont="1" applyFill="1" applyBorder="1" applyAlignment="1">
      <alignment horizontal="center"/>
    </xf>
    <xf numFmtId="0" fontId="33" fillId="0" borderId="11" xfId="3" applyFont="1" applyBorder="1" applyAlignment="1">
      <alignment horizontal="center"/>
    </xf>
    <xf numFmtId="0" fontId="33" fillId="0" borderId="10" xfId="3" applyFont="1" applyBorder="1" applyAlignment="1">
      <alignment horizontal="center"/>
    </xf>
    <xf numFmtId="0" fontId="33" fillId="0" borderId="12" xfId="3" applyFont="1" applyBorder="1" applyAlignment="1">
      <alignment horizontal="center"/>
    </xf>
    <xf numFmtId="0" fontId="31" fillId="0" borderId="17" xfId="3" applyFont="1" applyBorder="1" applyAlignment="1">
      <alignment horizontal="center"/>
    </xf>
    <xf numFmtId="0" fontId="31" fillId="0" borderId="11" xfId="3" applyFont="1" applyBorder="1" applyAlignment="1">
      <alignment horizontal="center"/>
    </xf>
    <xf numFmtId="0" fontId="18" fillId="0" borderId="10" xfId="3" applyFont="1" applyBorder="1" applyAlignment="1">
      <alignment horizontal="center"/>
    </xf>
    <xf numFmtId="0" fontId="18" fillId="0" borderId="10" xfId="3" applyFont="1" applyBorder="1" applyAlignment="1">
      <alignment horizontal="center" vertical="top"/>
    </xf>
    <xf numFmtId="0" fontId="17" fillId="0" borderId="10" xfId="3" applyFont="1" applyBorder="1" applyAlignment="1">
      <alignment horizontal="center" vertical="top"/>
    </xf>
    <xf numFmtId="0" fontId="34" fillId="0" borderId="10" xfId="3" applyFont="1" applyBorder="1" applyAlignment="1">
      <alignment horizontal="center" vertical="top"/>
    </xf>
    <xf numFmtId="0" fontId="17" fillId="0" borderId="10" xfId="3" applyFont="1" applyFill="1" applyBorder="1" applyAlignment="1">
      <alignment horizontal="center" vertical="top"/>
    </xf>
    <xf numFmtId="0" fontId="34" fillId="0" borderId="10" xfId="3" applyFont="1" applyFill="1" applyBorder="1" applyAlignment="1">
      <alignment horizontal="center" vertical="top"/>
    </xf>
    <xf numFmtId="49" fontId="34" fillId="0" borderId="10" xfId="0" applyNumberFormat="1" applyFont="1" applyBorder="1" applyAlignment="1">
      <alignment horizontal="center" vertical="top"/>
    </xf>
    <xf numFmtId="0" fontId="34" fillId="0" borderId="17" xfId="3" applyFont="1" applyBorder="1" applyAlignment="1">
      <alignment horizontal="center" vertical="top"/>
    </xf>
    <xf numFmtId="49" fontId="34" fillId="0" borderId="10" xfId="0" applyNumberFormat="1" applyFont="1" applyFill="1" applyBorder="1" applyAlignment="1">
      <alignment horizontal="center" vertical="top"/>
    </xf>
    <xf numFmtId="49" fontId="17" fillId="0" borderId="10" xfId="0" applyNumberFormat="1" applyFont="1" applyFill="1" applyBorder="1" applyAlignment="1">
      <alignment horizontal="center" vertical="top"/>
    </xf>
    <xf numFmtId="49" fontId="17" fillId="0" borderId="10" xfId="0" applyNumberFormat="1" applyFont="1" applyBorder="1" applyAlignment="1">
      <alignment horizontal="center" vertical="top"/>
    </xf>
    <xf numFmtId="49" fontId="17" fillId="0" borderId="10" xfId="3" applyNumberFormat="1" applyFont="1" applyBorder="1" applyAlignment="1">
      <alignment horizontal="center" vertical="top"/>
    </xf>
    <xf numFmtId="0" fontId="17" fillId="0" borderId="10" xfId="3" applyFont="1" applyBorder="1" applyAlignment="1">
      <alignment horizontal="center"/>
    </xf>
    <xf numFmtId="0" fontId="17" fillId="0" borderId="37" xfId="3" applyFont="1" applyBorder="1" applyAlignment="1">
      <alignment horizontal="center"/>
    </xf>
    <xf numFmtId="0" fontId="18" fillId="0" borderId="4" xfId="3" applyFont="1" applyBorder="1" applyAlignment="1">
      <alignment horizontal="center"/>
    </xf>
    <xf numFmtId="0" fontId="17" fillId="0" borderId="4" xfId="3" applyFont="1" applyBorder="1" applyAlignment="1">
      <alignment horizontal="center"/>
    </xf>
    <xf numFmtId="0" fontId="17" fillId="0" borderId="6" xfId="3" applyFont="1" applyBorder="1" applyAlignment="1">
      <alignment horizontal="center"/>
    </xf>
    <xf numFmtId="0" fontId="17" fillId="0" borderId="0" xfId="3" applyFont="1" applyAlignment="1">
      <alignment horizontal="center"/>
    </xf>
    <xf numFmtId="0" fontId="17" fillId="0" borderId="4" xfId="3" applyFont="1" applyFill="1" applyBorder="1" applyAlignment="1">
      <alignment horizontal="center"/>
    </xf>
    <xf numFmtId="0" fontId="17" fillId="0" borderId="4" xfId="3" applyFont="1" applyBorder="1" applyAlignment="1">
      <alignment horizontal="center" vertical="center"/>
    </xf>
    <xf numFmtId="0" fontId="17" fillId="0" borderId="12" xfId="3" applyFont="1" applyFill="1" applyBorder="1" applyAlignment="1">
      <alignment horizontal="center"/>
    </xf>
    <xf numFmtId="0" fontId="17" fillId="0" borderId="11" xfId="3" applyFont="1" applyBorder="1" applyAlignment="1">
      <alignment horizontal="center"/>
    </xf>
    <xf numFmtId="0" fontId="17" fillId="0" borderId="12" xfId="3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17" fillId="0" borderId="17" xfId="0" applyNumberFormat="1" applyFont="1" applyBorder="1" applyAlignment="1">
      <alignment horizontal="center"/>
    </xf>
    <xf numFmtId="0" fontId="18" fillId="0" borderId="17" xfId="3" applyFont="1" applyBorder="1" applyAlignment="1">
      <alignment horizontal="center"/>
    </xf>
    <xf numFmtId="0" fontId="18" fillId="0" borderId="11" xfId="3" applyFont="1" applyBorder="1" applyAlignment="1">
      <alignment horizontal="center"/>
    </xf>
    <xf numFmtId="164" fontId="21" fillId="0" borderId="14" xfId="0" applyNumberFormat="1" applyFont="1" applyBorder="1" applyAlignment="1"/>
    <xf numFmtId="4" fontId="32" fillId="0" borderId="21" xfId="3" applyNumberFormat="1" applyFont="1" applyBorder="1" applyAlignment="1">
      <alignment horizontal="center"/>
    </xf>
    <xf numFmtId="4" fontId="32" fillId="0" borderId="21" xfId="3" applyNumberFormat="1" applyFont="1" applyFill="1" applyBorder="1"/>
    <xf numFmtId="4" fontId="21" fillId="0" borderId="21" xfId="3" applyNumberFormat="1" applyFont="1" applyFill="1" applyBorder="1"/>
    <xf numFmtId="4" fontId="21" fillId="0" borderId="21" xfId="3" applyNumberFormat="1" applyFont="1" applyBorder="1"/>
    <xf numFmtId="4" fontId="21" fillId="0" borderId="22" xfId="3" applyNumberFormat="1" applyFont="1" applyBorder="1"/>
    <xf numFmtId="4" fontId="21" fillId="0" borderId="0" xfId="3" applyNumberFormat="1" applyFont="1"/>
    <xf numFmtId="4" fontId="32" fillId="0" borderId="22" xfId="3" applyNumberFormat="1" applyFont="1" applyBorder="1"/>
    <xf numFmtId="4" fontId="21" fillId="0" borderId="16" xfId="3" applyNumberFormat="1" applyFont="1" applyBorder="1"/>
    <xf numFmtId="4" fontId="32" fillId="0" borderId="21" xfId="3" applyNumberFormat="1" applyFont="1" applyBorder="1"/>
    <xf numFmtId="49" fontId="33" fillId="0" borderId="4" xfId="0" applyNumberFormat="1" applyFont="1" applyBorder="1" applyAlignment="1">
      <alignment horizontal="center"/>
    </xf>
    <xf numFmtId="49" fontId="33" fillId="0" borderId="12" xfId="0" applyNumberFormat="1" applyFont="1" applyBorder="1" applyAlignment="1">
      <alignment horizontal="center"/>
    </xf>
    <xf numFmtId="0" fontId="1" fillId="0" borderId="4" xfId="3" applyFont="1" applyBorder="1"/>
    <xf numFmtId="3" fontId="3" fillId="0" borderId="4" xfId="13" applyNumberFormat="1" applyFont="1" applyBorder="1"/>
    <xf numFmtId="3" fontId="1" fillId="0" borderId="4" xfId="13" applyNumberFormat="1" applyBorder="1"/>
    <xf numFmtId="3" fontId="3" fillId="3" borderId="4" xfId="13" applyNumberFormat="1" applyFont="1" applyFill="1" applyBorder="1"/>
    <xf numFmtId="3" fontId="1" fillId="0" borderId="4" xfId="13" applyNumberFormat="1" applyFill="1" applyBorder="1"/>
    <xf numFmtId="3" fontId="1" fillId="0" borderId="4" xfId="13" applyNumberFormat="1" applyFill="1" applyBorder="1"/>
    <xf numFmtId="3" fontId="3" fillId="0" borderId="4" xfId="13" applyNumberFormat="1" applyFont="1" applyFill="1" applyBorder="1"/>
    <xf numFmtId="3" fontId="3" fillId="0" borderId="4" xfId="13" applyNumberFormat="1" applyFont="1" applyBorder="1"/>
    <xf numFmtId="3" fontId="1" fillId="0" borderId="4" xfId="13" applyNumberFormat="1" applyFill="1" applyBorder="1"/>
    <xf numFmtId="3" fontId="4" fillId="0" borderId="4" xfId="13" applyNumberFormat="1" applyFont="1" applyFill="1" applyBorder="1"/>
    <xf numFmtId="3" fontId="1" fillId="0" borderId="10" xfId="13" applyNumberFormat="1" applyBorder="1"/>
    <xf numFmtId="3" fontId="3" fillId="3" borderId="10" xfId="13" applyNumberFormat="1" applyFont="1" applyFill="1" applyBorder="1"/>
    <xf numFmtId="3" fontId="4" fillId="0" borderId="10" xfId="13" applyNumberFormat="1" applyFont="1" applyBorder="1"/>
    <xf numFmtId="3" fontId="1" fillId="0" borderId="10" xfId="13" applyNumberFormat="1" applyFill="1" applyBorder="1"/>
    <xf numFmtId="3" fontId="3" fillId="0" borderId="10" xfId="13" applyNumberFormat="1" applyFont="1" applyFill="1" applyBorder="1" applyAlignment="1">
      <alignment horizontal="right"/>
    </xf>
    <xf numFmtId="3" fontId="3" fillId="0" borderId="10" xfId="13" applyNumberFormat="1" applyFont="1" applyBorder="1"/>
    <xf numFmtId="3" fontId="4" fillId="0" borderId="10" xfId="13" applyNumberFormat="1" applyFont="1" applyFill="1" applyBorder="1"/>
    <xf numFmtId="3" fontId="1" fillId="0" borderId="4" xfId="13" applyNumberFormat="1" applyFont="1" applyFill="1" applyBorder="1"/>
    <xf numFmtId="3" fontId="4" fillId="0" borderId="10" xfId="13" applyNumberFormat="1" applyFont="1" applyBorder="1" applyAlignment="1">
      <alignment vertical="center"/>
    </xf>
    <xf numFmtId="3" fontId="1" fillId="0" borderId="10" xfId="13" applyNumberFormat="1" applyFill="1" applyBorder="1"/>
    <xf numFmtId="3" fontId="3" fillId="0" borderId="10" xfId="13" applyNumberFormat="1" applyFont="1" applyFill="1" applyBorder="1"/>
    <xf numFmtId="3" fontId="3" fillId="0" borderId="4" xfId="13" applyNumberFormat="1" applyFont="1" applyBorder="1"/>
    <xf numFmtId="3" fontId="1" fillId="0" borderId="4" xfId="13" applyNumberFormat="1" applyBorder="1"/>
    <xf numFmtId="3" fontId="3" fillId="3" borderId="4" xfId="13" applyNumberFormat="1" applyFont="1" applyFill="1" applyBorder="1"/>
    <xf numFmtId="3" fontId="1" fillId="0" borderId="4" xfId="13" applyNumberFormat="1" applyFill="1" applyBorder="1"/>
    <xf numFmtId="3" fontId="1" fillId="0" borderId="4" xfId="13" applyNumberFormat="1" applyFill="1" applyBorder="1"/>
    <xf numFmtId="3" fontId="3" fillId="0" borderId="4" xfId="13" applyNumberFormat="1" applyFont="1" applyFill="1" applyBorder="1"/>
    <xf numFmtId="3" fontId="3" fillId="0" borderId="4" xfId="13" applyNumberFormat="1" applyFont="1" applyBorder="1"/>
    <xf numFmtId="3" fontId="1" fillId="0" borderId="4" xfId="13" applyNumberFormat="1" applyBorder="1"/>
    <xf numFmtId="3" fontId="4" fillId="0" borderId="4" xfId="13" applyNumberFormat="1" applyFont="1" applyBorder="1"/>
    <xf numFmtId="3" fontId="3" fillId="3" borderId="4" xfId="13" applyNumberFormat="1" applyFont="1" applyFill="1" applyBorder="1"/>
    <xf numFmtId="3" fontId="1" fillId="0" borderId="4" xfId="13" applyNumberFormat="1" applyFill="1" applyBorder="1"/>
    <xf numFmtId="3" fontId="1" fillId="0" borderId="4" xfId="13" applyNumberFormat="1" applyFill="1" applyBorder="1"/>
    <xf numFmtId="3" fontId="3" fillId="0" borderId="4" xfId="13" applyNumberFormat="1" applyFont="1" applyFill="1" applyBorder="1"/>
    <xf numFmtId="3" fontId="1" fillId="0" borderId="4" xfId="13" applyNumberFormat="1" applyBorder="1"/>
    <xf numFmtId="3" fontId="3" fillId="3" borderId="4" xfId="13" applyNumberFormat="1" applyFont="1" applyFill="1" applyBorder="1"/>
    <xf numFmtId="3" fontId="1" fillId="0" borderId="4" xfId="13" applyNumberFormat="1" applyFill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3" fontId="1" fillId="0" borderId="4" xfId="13" applyNumberFormat="1" applyFill="1" applyBorder="1"/>
    <xf numFmtId="3" fontId="3" fillId="0" borderId="4" xfId="13" applyNumberFormat="1" applyFont="1" applyFill="1" applyBorder="1"/>
    <xf numFmtId="3" fontId="1" fillId="0" borderId="4" xfId="13" applyNumberFormat="1" applyBorder="1"/>
    <xf numFmtId="3" fontId="3" fillId="3" borderId="4" xfId="13" applyNumberFormat="1" applyFont="1" applyFill="1" applyBorder="1"/>
    <xf numFmtId="3" fontId="1" fillId="0" borderId="4" xfId="13" applyNumberFormat="1" applyFill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3" fontId="3" fillId="7" borderId="4" xfId="13" applyNumberFormat="1" applyFont="1" applyFill="1" applyBorder="1"/>
    <xf numFmtId="3" fontId="1" fillId="7" borderId="4" xfId="13" applyNumberFormat="1" applyFill="1" applyBorder="1"/>
    <xf numFmtId="3" fontId="3" fillId="0" borderId="4" xfId="13" applyNumberFormat="1" applyFont="1" applyBorder="1"/>
    <xf numFmtId="3" fontId="1" fillId="0" borderId="4" xfId="13" applyNumberFormat="1" applyBorder="1"/>
    <xf numFmtId="3" fontId="4" fillId="0" borderId="4" xfId="13" applyNumberFormat="1" applyFont="1" applyBorder="1"/>
    <xf numFmtId="3" fontId="3" fillId="3" borderId="4" xfId="13" applyNumberFormat="1" applyFont="1" applyFill="1" applyBorder="1"/>
    <xf numFmtId="3" fontId="1" fillId="0" borderId="4" xfId="13" applyNumberFormat="1" applyFill="1" applyBorder="1"/>
    <xf numFmtId="3" fontId="3" fillId="0" borderId="4" xfId="13" applyNumberFormat="1" applyFont="1" applyFill="1" applyBorder="1"/>
    <xf numFmtId="3" fontId="1" fillId="0" borderId="4" xfId="13" applyNumberFormat="1" applyFill="1" applyBorder="1"/>
    <xf numFmtId="3" fontId="3" fillId="0" borderId="4" xfId="13" applyNumberFormat="1" applyFont="1" applyFill="1" applyBorder="1"/>
    <xf numFmtId="3" fontId="3" fillId="0" borderId="4" xfId="13" applyNumberFormat="1" applyFont="1" applyBorder="1"/>
    <xf numFmtId="3" fontId="1" fillId="0" borderId="4" xfId="13" applyNumberFormat="1" applyFill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3" fontId="1" fillId="0" borderId="4" xfId="13" applyNumberFormat="1" applyFill="1" applyBorder="1"/>
    <xf numFmtId="3" fontId="3" fillId="0" borderId="4" xfId="13" applyNumberFormat="1" applyFont="1" applyFill="1" applyBorder="1"/>
    <xf numFmtId="3" fontId="3" fillId="0" borderId="4" xfId="13" applyNumberFormat="1" applyFont="1" applyBorder="1"/>
    <xf numFmtId="3" fontId="4" fillId="0" borderId="4" xfId="13" applyNumberFormat="1" applyFont="1" applyBorder="1"/>
    <xf numFmtId="3" fontId="3" fillId="3" borderId="4" xfId="13" applyNumberFormat="1" applyFont="1" applyFill="1" applyBorder="1"/>
    <xf numFmtId="3" fontId="1" fillId="0" borderId="4" xfId="13" applyNumberFormat="1" applyFill="1" applyBorder="1"/>
    <xf numFmtId="3" fontId="1" fillId="0" borderId="4" xfId="13" applyNumberFormat="1" applyFont="1" applyFill="1" applyBorder="1"/>
    <xf numFmtId="3" fontId="1" fillId="0" borderId="4" xfId="13" applyNumberFormat="1" applyFill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3" fontId="4" fillId="0" borderId="4" xfId="13" applyNumberFormat="1" applyFont="1" applyBorder="1"/>
    <xf numFmtId="3" fontId="3" fillId="3" borderId="4" xfId="13" applyNumberFormat="1" applyFont="1" applyFill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3" fontId="3" fillId="0" borderId="4" xfId="13" applyNumberFormat="1" applyFont="1" applyFill="1" applyBorder="1" applyAlignment="1">
      <alignment horizontal="right"/>
    </xf>
    <xf numFmtId="3" fontId="3" fillId="7" borderId="4" xfId="13" applyNumberFormat="1" applyFont="1" applyFill="1" applyBorder="1"/>
    <xf numFmtId="3" fontId="1" fillId="7" borderId="4" xfId="13" applyNumberFormat="1" applyFill="1" applyBorder="1"/>
    <xf numFmtId="3" fontId="4" fillId="7" borderId="4" xfId="13" applyNumberFormat="1" applyFont="1" applyFill="1" applyBorder="1"/>
    <xf numFmtId="3" fontId="4" fillId="0" borderId="4" xfId="13" applyNumberFormat="1" applyFont="1" applyBorder="1"/>
    <xf numFmtId="3" fontId="3" fillId="3" borderId="4" xfId="13" applyNumberFormat="1" applyFont="1" applyFill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3" fontId="1" fillId="0" borderId="4" xfId="13" applyNumberFormat="1" applyFill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3" fontId="3" fillId="0" borderId="4" xfId="13" applyNumberFormat="1" applyFont="1" applyBorder="1"/>
    <xf numFmtId="3" fontId="4" fillId="0" borderId="4" xfId="13" applyNumberFormat="1" applyFont="1" applyBorder="1"/>
    <xf numFmtId="3" fontId="3" fillId="3" borderId="4" xfId="13" applyNumberFormat="1" applyFont="1" applyFill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3" fontId="1" fillId="0" borderId="4" xfId="13" applyNumberFormat="1" applyFill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3" fontId="3" fillId="0" borderId="4" xfId="13" applyNumberFormat="1" applyFont="1" applyBorder="1"/>
    <xf numFmtId="3" fontId="4" fillId="0" borderId="4" xfId="13" applyNumberFormat="1" applyFont="1" applyBorder="1"/>
    <xf numFmtId="3" fontId="3" fillId="3" borderId="4" xfId="13" applyNumberFormat="1" applyFont="1" applyFill="1" applyBorder="1"/>
    <xf numFmtId="3" fontId="4" fillId="0" borderId="4" xfId="13" applyNumberFormat="1" applyFont="1" applyFill="1" applyBorder="1"/>
    <xf numFmtId="3" fontId="1" fillId="0" borderId="4" xfId="13" applyNumberFormat="1" applyFill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3" fontId="3" fillId="0" borderId="4" xfId="13" applyNumberFormat="1" applyFont="1" applyBorder="1"/>
    <xf numFmtId="3" fontId="4" fillId="0" borderId="4" xfId="13" applyNumberFormat="1" applyFont="1" applyBorder="1"/>
    <xf numFmtId="3" fontId="3" fillId="3" borderId="4" xfId="13" applyNumberFormat="1" applyFont="1" applyFill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3" fontId="1" fillId="0" borderId="4" xfId="13" applyNumberFormat="1" applyFill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0" fontId="1" fillId="0" borderId="4" xfId="13" applyBorder="1"/>
    <xf numFmtId="3" fontId="3" fillId="0" borderId="4" xfId="13" applyNumberFormat="1" applyFont="1" applyBorder="1" applyAlignment="1">
      <alignment horizontal="right"/>
    </xf>
    <xf numFmtId="3" fontId="1" fillId="0" borderId="4" xfId="13" applyNumberFormat="1" applyBorder="1"/>
    <xf numFmtId="3" fontId="3" fillId="3" borderId="4" xfId="13" applyNumberFormat="1" applyFont="1" applyFill="1" applyBorder="1"/>
    <xf numFmtId="3" fontId="1" fillId="0" borderId="4" xfId="13" applyNumberFormat="1" applyFill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3" fontId="1" fillId="0" borderId="4" xfId="13" applyNumberFormat="1" applyFont="1" applyFill="1" applyBorder="1"/>
    <xf numFmtId="3" fontId="8" fillId="0" borderId="4" xfId="13" applyNumberFormat="1" applyFont="1" applyFill="1" applyBorder="1"/>
    <xf numFmtId="3" fontId="1" fillId="0" borderId="4" xfId="13" applyNumberFormat="1" applyFill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0" fontId="3" fillId="0" borderId="4" xfId="13" applyFont="1" applyFill="1" applyBorder="1"/>
    <xf numFmtId="3" fontId="4" fillId="7" borderId="4" xfId="13" applyNumberFormat="1" applyFont="1" applyFill="1" applyBorder="1"/>
    <xf numFmtId="3" fontId="1" fillId="7" borderId="4" xfId="13" applyNumberFormat="1" applyFill="1" applyBorder="1"/>
    <xf numFmtId="3" fontId="1" fillId="0" borderId="4" xfId="13" applyNumberFormat="1" applyBorder="1"/>
    <xf numFmtId="3" fontId="3" fillId="3" borderId="4" xfId="13" applyNumberFormat="1" applyFont="1" applyFill="1" applyBorder="1"/>
    <xf numFmtId="3" fontId="1" fillId="0" borderId="4" xfId="13" applyNumberFormat="1" applyFill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3" fontId="1" fillId="0" borderId="4" xfId="13" applyNumberFormat="1" applyFill="1" applyBorder="1"/>
    <xf numFmtId="3" fontId="3" fillId="0" borderId="4" xfId="13" applyNumberFormat="1" applyFont="1" applyFill="1" applyBorder="1"/>
    <xf numFmtId="3" fontId="4" fillId="0" borderId="4" xfId="13" applyNumberFormat="1" applyFont="1" applyBorder="1"/>
    <xf numFmtId="3" fontId="3" fillId="3" borderId="4" xfId="13" applyNumberFormat="1" applyFont="1" applyFill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3" fontId="1" fillId="0" borderId="4" xfId="13" applyNumberFormat="1" applyFill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3" fontId="3" fillId="0" borderId="4" xfId="13" applyNumberFormat="1" applyFont="1" applyBorder="1"/>
    <xf numFmtId="3" fontId="1" fillId="0" borderId="4" xfId="13" applyNumberFormat="1" applyBorder="1"/>
    <xf numFmtId="3" fontId="3" fillId="3" borderId="4" xfId="13" applyNumberFormat="1" applyFont="1" applyFill="1" applyBorder="1"/>
    <xf numFmtId="3" fontId="1" fillId="0" borderId="4" xfId="13" applyNumberFormat="1" applyFill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3" fontId="1" fillId="0" borderId="4" xfId="13" applyNumberFormat="1" applyFill="1" applyBorder="1"/>
    <xf numFmtId="3" fontId="3" fillId="0" borderId="4" xfId="13" applyNumberFormat="1" applyFont="1" applyFill="1" applyBorder="1"/>
    <xf numFmtId="3" fontId="1" fillId="0" borderId="4" xfId="13" applyNumberFormat="1" applyFont="1" applyFill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3" fontId="4" fillId="0" borderId="4" xfId="13" applyNumberFormat="1" applyFont="1" applyFill="1" applyBorder="1" applyAlignment="1">
      <alignment vertical="center"/>
    </xf>
    <xf numFmtId="3" fontId="3" fillId="7" borderId="4" xfId="13" applyNumberFormat="1" applyFont="1" applyFill="1" applyBorder="1"/>
    <xf numFmtId="3" fontId="1" fillId="7" borderId="4" xfId="13" applyNumberFormat="1" applyFill="1" applyBorder="1"/>
    <xf numFmtId="3" fontId="4" fillId="7" borderId="4" xfId="13" applyNumberFormat="1" applyFont="1" applyFill="1" applyBorder="1"/>
    <xf numFmtId="3" fontId="3" fillId="0" borderId="4" xfId="13" applyNumberFormat="1" applyFont="1" applyBorder="1"/>
    <xf numFmtId="3" fontId="1" fillId="0" borderId="4" xfId="13" applyNumberFormat="1" applyFill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3" fontId="4" fillId="0" borderId="4" xfId="13" applyNumberFormat="1" applyFont="1" applyFill="1" applyBorder="1" applyAlignment="1">
      <alignment vertical="center"/>
    </xf>
    <xf numFmtId="3" fontId="3" fillId="0" borderId="4" xfId="13" applyNumberFormat="1" applyFont="1" applyBorder="1"/>
    <xf numFmtId="3" fontId="3" fillId="0" borderId="4" xfId="13" applyNumberFormat="1" applyFont="1" applyBorder="1" applyAlignment="1">
      <alignment horizontal="right"/>
    </xf>
    <xf numFmtId="3" fontId="4" fillId="0" borderId="4" xfId="13" applyNumberFormat="1" applyFont="1" applyBorder="1"/>
    <xf numFmtId="3" fontId="3" fillId="3" borderId="4" xfId="13" applyNumberFormat="1" applyFont="1" applyFill="1" applyBorder="1"/>
    <xf numFmtId="3" fontId="1" fillId="0" borderId="4" xfId="13" applyNumberFormat="1" applyFont="1" applyBorder="1"/>
    <xf numFmtId="3" fontId="4" fillId="0" borderId="4" xfId="13" applyNumberFormat="1" applyFont="1" applyFill="1" applyBorder="1"/>
    <xf numFmtId="3" fontId="1" fillId="0" borderId="4" xfId="13" applyNumberFormat="1" applyFill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3" fontId="3" fillId="0" borderId="4" xfId="13" applyNumberFormat="1" applyFont="1" applyBorder="1" applyAlignment="1">
      <alignment horizontal="right"/>
    </xf>
    <xf numFmtId="3" fontId="4" fillId="0" borderId="4" xfId="13" applyNumberFormat="1" applyFont="1" applyBorder="1"/>
    <xf numFmtId="3" fontId="3" fillId="3" borderId="4" xfId="13" applyNumberFormat="1" applyFont="1" applyFill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3" fontId="1" fillId="0" borderId="4" xfId="13" applyNumberFormat="1" applyFont="1" applyFill="1" applyBorder="1"/>
    <xf numFmtId="3" fontId="1" fillId="0" borderId="4" xfId="13" applyNumberFormat="1" applyFill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3" fontId="3" fillId="0" borderId="4" xfId="13" applyNumberFormat="1" applyFont="1" applyBorder="1" applyAlignment="1">
      <alignment horizontal="right"/>
    </xf>
    <xf numFmtId="3" fontId="4" fillId="0" borderId="4" xfId="13" applyNumberFormat="1" applyFont="1" applyBorder="1"/>
    <xf numFmtId="3" fontId="3" fillId="3" borderId="4" xfId="13" applyNumberFormat="1" applyFont="1" applyFill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3" fontId="1" fillId="0" borderId="4" xfId="13" applyNumberFormat="1" applyFont="1" applyFill="1" applyBorder="1"/>
    <xf numFmtId="3" fontId="1" fillId="0" borderId="4" xfId="13" applyNumberFormat="1" applyFill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3" fontId="4" fillId="7" borderId="4" xfId="13" applyNumberFormat="1" applyFont="1" applyFill="1" applyBorder="1"/>
    <xf numFmtId="3" fontId="3" fillId="0" borderId="4" xfId="13" applyNumberFormat="1" applyFont="1" applyBorder="1" applyAlignment="1">
      <alignment horizontal="right"/>
    </xf>
    <xf numFmtId="3" fontId="4" fillId="0" borderId="4" xfId="13" applyNumberFormat="1" applyFont="1" applyBorder="1"/>
    <xf numFmtId="3" fontId="3" fillId="3" borderId="4" xfId="13" applyNumberFormat="1" applyFont="1" applyFill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3" fontId="1" fillId="0" borderId="4" xfId="13" applyNumberFormat="1" applyFill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3" fontId="3" fillId="0" borderId="4" xfId="13" applyNumberFormat="1" applyFont="1" applyBorder="1" applyAlignment="1">
      <alignment horizontal="right"/>
    </xf>
    <xf numFmtId="3" fontId="1" fillId="0" borderId="4" xfId="13" applyNumberFormat="1" applyBorder="1"/>
    <xf numFmtId="3" fontId="3" fillId="3" borderId="4" xfId="13" applyNumberFormat="1" applyFont="1" applyFill="1" applyBorder="1"/>
    <xf numFmtId="3" fontId="1" fillId="0" borderId="4" xfId="13" applyNumberFormat="1" applyFill="1" applyBorder="1"/>
    <xf numFmtId="3" fontId="3" fillId="0" borderId="4" xfId="13" applyNumberFormat="1" applyFont="1" applyFill="1" applyBorder="1"/>
    <xf numFmtId="3" fontId="1" fillId="0" borderId="4" xfId="13" applyNumberFormat="1" applyFont="1" applyFill="1" applyBorder="1"/>
    <xf numFmtId="3" fontId="1" fillId="0" borderId="4" xfId="13" applyNumberFormat="1" applyFill="1" applyBorder="1"/>
    <xf numFmtId="3" fontId="3" fillId="0" borderId="4" xfId="13" applyNumberFormat="1" applyFont="1" applyFill="1" applyBorder="1"/>
    <xf numFmtId="3" fontId="3" fillId="0" borderId="4" xfId="13" applyNumberFormat="1" applyFont="1" applyBorder="1" applyAlignment="1">
      <alignment horizontal="right"/>
    </xf>
    <xf numFmtId="3" fontId="4" fillId="0" borderId="4" xfId="13" applyNumberFormat="1" applyFont="1" applyBorder="1"/>
    <xf numFmtId="3" fontId="3" fillId="3" borderId="4" xfId="13" applyNumberFormat="1" applyFont="1" applyFill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3" fontId="1" fillId="0" borderId="4" xfId="13" applyNumberFormat="1" applyFont="1" applyFill="1" applyBorder="1"/>
    <xf numFmtId="3" fontId="1" fillId="0" borderId="4" xfId="13" applyNumberFormat="1" applyFill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3" fontId="3" fillId="0" borderId="4" xfId="13" applyNumberFormat="1" applyFont="1" applyBorder="1"/>
    <xf numFmtId="3" fontId="3" fillId="0" borderId="4" xfId="13" applyNumberFormat="1" applyFont="1" applyBorder="1" applyAlignment="1">
      <alignment horizontal="right"/>
    </xf>
    <xf numFmtId="3" fontId="4" fillId="0" borderId="4" xfId="13" applyNumberFormat="1" applyFont="1" applyBorder="1"/>
    <xf numFmtId="3" fontId="3" fillId="3" borderId="4" xfId="13" applyNumberFormat="1" applyFont="1" applyFill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3" fontId="1" fillId="0" borderId="4" xfId="13" applyNumberFormat="1" applyFill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3" fontId="3" fillId="0" borderId="4" xfId="13" applyNumberFormat="1" applyFont="1" applyBorder="1"/>
    <xf numFmtId="3" fontId="4" fillId="0" borderId="4" xfId="13" applyNumberFormat="1" applyFont="1" applyBorder="1"/>
    <xf numFmtId="3" fontId="3" fillId="3" borderId="4" xfId="13" applyNumberFormat="1" applyFont="1" applyFill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3" fontId="3" fillId="0" borderId="4" xfId="13" applyNumberFormat="1" applyFont="1" applyFill="1" applyBorder="1" applyAlignment="1">
      <alignment horizontal="right"/>
    </xf>
    <xf numFmtId="3" fontId="1" fillId="0" borderId="4" xfId="13" applyNumberFormat="1" applyFont="1" applyFill="1" applyBorder="1"/>
    <xf numFmtId="3" fontId="1" fillId="0" borderId="4" xfId="13" applyNumberFormat="1" applyFill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3" fontId="3" fillId="0" borderId="4" xfId="13" applyNumberFormat="1" applyFont="1" applyBorder="1"/>
    <xf numFmtId="3" fontId="3" fillId="0" borderId="4" xfId="13" applyNumberFormat="1" applyFont="1" applyBorder="1" applyAlignment="1">
      <alignment horizontal="right"/>
    </xf>
    <xf numFmtId="3" fontId="4" fillId="0" borderId="4" xfId="13" applyNumberFormat="1" applyFont="1" applyBorder="1"/>
    <xf numFmtId="3" fontId="3" fillId="3" borderId="4" xfId="13" applyNumberFormat="1" applyFont="1" applyFill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3" fontId="1" fillId="0" borderId="4" xfId="13" applyNumberFormat="1" applyFill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3" fontId="3" fillId="0" borderId="4" xfId="13" applyNumberFormat="1" applyFont="1" applyBorder="1"/>
    <xf numFmtId="3" fontId="3" fillId="0" borderId="4" xfId="13" applyNumberFormat="1" applyFont="1" applyBorder="1" applyAlignment="1">
      <alignment horizontal="right"/>
    </xf>
    <xf numFmtId="3" fontId="4" fillId="0" borderId="4" xfId="13" applyNumberFormat="1" applyFont="1" applyBorder="1"/>
    <xf numFmtId="3" fontId="3" fillId="3" borderId="4" xfId="13" applyNumberFormat="1" applyFont="1" applyFill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3" fontId="1" fillId="0" borderId="4" xfId="13" applyNumberFormat="1" applyFill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3" fontId="3" fillId="0" borderId="4" xfId="13" applyNumberFormat="1" applyFont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3" fontId="1" fillId="0" borderId="4" xfId="13" applyNumberFormat="1" applyFill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3" fontId="1" fillId="0" borderId="4" xfId="13" applyNumberFormat="1" applyBorder="1"/>
    <xf numFmtId="3" fontId="3" fillId="3" borderId="4" xfId="13" applyNumberFormat="1" applyFont="1" applyFill="1" applyBorder="1"/>
    <xf numFmtId="3" fontId="1" fillId="0" borderId="4" xfId="13" applyNumberFormat="1" applyFill="1" applyBorder="1"/>
    <xf numFmtId="3" fontId="3" fillId="0" borderId="4" xfId="13" applyNumberFormat="1" applyFont="1" applyFill="1" applyBorder="1"/>
    <xf numFmtId="3" fontId="1" fillId="0" borderId="4" xfId="13" applyNumberFormat="1" applyFill="1" applyBorder="1"/>
    <xf numFmtId="3" fontId="3" fillId="0" borderId="4" xfId="13" applyNumberFormat="1" applyFont="1" applyFill="1" applyBorder="1"/>
    <xf numFmtId="3" fontId="3" fillId="0" borderId="4" xfId="13" applyNumberFormat="1" applyFont="1" applyBorder="1"/>
    <xf numFmtId="3" fontId="1" fillId="0" borderId="4" xfId="13" applyNumberFormat="1" applyBorder="1"/>
    <xf numFmtId="3" fontId="3" fillId="3" borderId="4" xfId="13" applyNumberFormat="1" applyFont="1" applyFill="1" applyBorder="1"/>
    <xf numFmtId="3" fontId="1" fillId="0" borderId="4" xfId="13" applyNumberFormat="1" applyFill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3" fontId="1" fillId="0" borderId="4" xfId="13" applyNumberFormat="1" applyFill="1" applyBorder="1"/>
    <xf numFmtId="3" fontId="3" fillId="0" borderId="4" xfId="13" applyNumberFormat="1" applyFont="1" applyFill="1" applyBorder="1"/>
    <xf numFmtId="3" fontId="3" fillId="0" borderId="4" xfId="13" applyNumberFormat="1" applyFont="1" applyBorder="1"/>
    <xf numFmtId="3" fontId="4" fillId="0" borderId="4" xfId="13" applyNumberFormat="1" applyFont="1" applyBorder="1"/>
    <xf numFmtId="3" fontId="3" fillId="3" borderId="4" xfId="13" applyNumberFormat="1" applyFont="1" applyFill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3" fontId="1" fillId="0" borderId="4" xfId="13" applyNumberFormat="1" applyFill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3" fontId="3" fillId="0" borderId="4" xfId="13" applyNumberFormat="1" applyFont="1" applyBorder="1"/>
    <xf numFmtId="3" fontId="1" fillId="0" borderId="4" xfId="13" applyNumberFormat="1" applyBorder="1"/>
    <xf numFmtId="3" fontId="3" fillId="3" borderId="4" xfId="13" applyNumberFormat="1" applyFont="1" applyFill="1" applyBorder="1"/>
    <xf numFmtId="3" fontId="1" fillId="0" borderId="4" xfId="13" applyNumberFormat="1" applyFill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3" fontId="1" fillId="0" borderId="4" xfId="13" applyNumberFormat="1" applyFill="1" applyBorder="1"/>
    <xf numFmtId="3" fontId="3" fillId="0" borderId="4" xfId="13" applyNumberFormat="1" applyFont="1" applyFill="1" applyBorder="1"/>
    <xf numFmtId="3" fontId="3" fillId="0" borderId="4" xfId="13" applyNumberFormat="1" applyFont="1" applyBorder="1"/>
    <xf numFmtId="3" fontId="4" fillId="0" borderId="4" xfId="13" applyNumberFormat="1" applyFont="1" applyBorder="1"/>
    <xf numFmtId="3" fontId="3" fillId="3" borderId="4" xfId="13" applyNumberFormat="1" applyFont="1" applyFill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3" fontId="1" fillId="0" borderId="4" xfId="13" applyNumberFormat="1" applyFill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3" fontId="3" fillId="0" borderId="4" xfId="13" applyNumberFormat="1" applyFont="1" applyBorder="1"/>
    <xf numFmtId="3" fontId="4" fillId="0" borderId="4" xfId="13" applyNumberFormat="1" applyFont="1" applyBorder="1"/>
    <xf numFmtId="3" fontId="3" fillId="3" borderId="4" xfId="13" applyNumberFormat="1" applyFont="1" applyFill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3" fontId="1" fillId="0" borderId="4" xfId="13" applyNumberFormat="1" applyFill="1" applyBorder="1"/>
    <xf numFmtId="3" fontId="3" fillId="0" borderId="4" xfId="13" applyNumberFormat="1" applyFont="1" applyFill="1" applyBorder="1"/>
    <xf numFmtId="3" fontId="4" fillId="0" borderId="4" xfId="13" applyNumberFormat="1" applyFont="1" applyFill="1" applyBorder="1"/>
    <xf numFmtId="3" fontId="1" fillId="0" borderId="8" xfId="12" applyNumberFormat="1" applyBorder="1"/>
    <xf numFmtId="3" fontId="8" fillId="0" borderId="8" xfId="12" applyNumberFormat="1" applyFont="1" applyBorder="1"/>
    <xf numFmtId="3" fontId="1" fillId="0" borderId="8" xfId="12" applyNumberFormat="1" applyFill="1" applyBorder="1"/>
    <xf numFmtId="3" fontId="1" fillId="0" borderId="8" xfId="12" applyNumberFormat="1" applyBorder="1"/>
    <xf numFmtId="3" fontId="8" fillId="0" borderId="8" xfId="12" applyNumberFormat="1" applyFont="1" applyFill="1" applyBorder="1"/>
    <xf numFmtId="3" fontId="8" fillId="6" borderId="8" xfId="12" applyNumberFormat="1" applyFont="1" applyFill="1" applyBorder="1"/>
    <xf numFmtId="3" fontId="1" fillId="0" borderId="8" xfId="12" applyNumberFormat="1" applyBorder="1"/>
    <xf numFmtId="3" fontId="8" fillId="0" borderId="8" xfId="12" applyNumberFormat="1" applyFont="1" applyBorder="1"/>
    <xf numFmtId="3" fontId="1" fillId="0" borderId="8" xfId="12" applyNumberFormat="1" applyFill="1" applyBorder="1"/>
    <xf numFmtId="3" fontId="8" fillId="6" borderId="8" xfId="12" applyNumberFormat="1" applyFont="1" applyFill="1" applyBorder="1"/>
    <xf numFmtId="3" fontId="8" fillId="0" borderId="8" xfId="12" applyNumberFormat="1" applyFont="1" applyBorder="1"/>
    <xf numFmtId="3" fontId="1" fillId="0" borderId="8" xfId="12" applyNumberFormat="1" applyFill="1" applyBorder="1"/>
    <xf numFmtId="3" fontId="8" fillId="6" borderId="8" xfId="12" applyNumberFormat="1" applyFont="1" applyFill="1" applyBorder="1"/>
    <xf numFmtId="3" fontId="8" fillId="0" borderId="8" xfId="12" applyNumberFormat="1" applyFont="1" applyBorder="1"/>
    <xf numFmtId="3" fontId="1" fillId="0" borderId="8" xfId="12" applyNumberFormat="1" applyFill="1" applyBorder="1"/>
    <xf numFmtId="3" fontId="8" fillId="6" borderId="8" xfId="12" applyNumberFormat="1" applyFont="1" applyFill="1" applyBorder="1"/>
    <xf numFmtId="3" fontId="1" fillId="0" borderId="8" xfId="12" applyNumberFormat="1" applyBorder="1"/>
    <xf numFmtId="3" fontId="8" fillId="0" borderId="8" xfId="12" applyNumberFormat="1" applyFont="1" applyBorder="1"/>
    <xf numFmtId="3" fontId="1" fillId="0" borderId="8" xfId="12" applyNumberFormat="1" applyFill="1" applyBorder="1"/>
    <xf numFmtId="3" fontId="8" fillId="6" borderId="8" xfId="12" applyNumberFormat="1" applyFont="1" applyFill="1" applyBorder="1"/>
    <xf numFmtId="3" fontId="1" fillId="0" borderId="28" xfId="12" applyNumberFormat="1" applyFill="1" applyBorder="1"/>
    <xf numFmtId="3" fontId="3" fillId="0" borderId="8" xfId="12" applyNumberFormat="1" applyFont="1" applyBorder="1"/>
    <xf numFmtId="3" fontId="1" fillId="0" borderId="8" xfId="12" applyNumberFormat="1" applyBorder="1"/>
    <xf numFmtId="3" fontId="8" fillId="0" borderId="8" xfId="12" applyNumberFormat="1" applyFont="1" applyBorder="1"/>
    <xf numFmtId="3" fontId="1" fillId="0" borderId="8" xfId="12" applyNumberFormat="1" applyFont="1" applyFill="1" applyBorder="1"/>
    <xf numFmtId="3" fontId="1" fillId="0" borderId="8" xfId="12" applyNumberFormat="1" applyFont="1" applyBorder="1"/>
    <xf numFmtId="3" fontId="1" fillId="0" borderId="8" xfId="12" applyNumberFormat="1" applyFill="1" applyBorder="1"/>
    <xf numFmtId="3" fontId="8" fillId="6" borderId="8" xfId="12" applyNumberFormat="1" applyFont="1" applyFill="1" applyBorder="1"/>
    <xf numFmtId="3" fontId="1" fillId="0" borderId="8" xfId="12" applyNumberFormat="1" applyFont="1" applyFill="1" applyBorder="1"/>
    <xf numFmtId="3" fontId="15" fillId="0" borderId="8" xfId="12" applyNumberFormat="1" applyFont="1" applyFill="1" applyBorder="1"/>
    <xf numFmtId="3" fontId="8" fillId="0" borderId="8" xfId="12" applyNumberFormat="1" applyFont="1" applyFill="1" applyBorder="1"/>
    <xf numFmtId="3" fontId="8" fillId="6" borderId="4" xfId="12" applyNumberFormat="1" applyFont="1" applyFill="1" applyBorder="1"/>
    <xf numFmtId="3" fontId="1" fillId="0" borderId="8" xfId="12" applyNumberFormat="1" applyFont="1" applyFill="1" applyBorder="1"/>
    <xf numFmtId="3" fontId="16" fillId="0" borderId="8" xfId="12" applyNumberFormat="1" applyFont="1" applyFill="1" applyBorder="1"/>
    <xf numFmtId="3" fontId="4" fillId="0" borderId="8" xfId="12" applyNumberFormat="1" applyFont="1" applyFill="1" applyBorder="1"/>
    <xf numFmtId="3" fontId="1" fillId="0" borderId="8" xfId="12" applyNumberFormat="1" applyFont="1" applyFill="1" applyBorder="1"/>
    <xf numFmtId="3" fontId="1" fillId="0" borderId="8" xfId="12" applyNumberFormat="1" applyFont="1" applyBorder="1"/>
    <xf numFmtId="3" fontId="16" fillId="0" borderId="8" xfId="12" applyNumberFormat="1" applyFont="1" applyFill="1" applyBorder="1"/>
    <xf numFmtId="3" fontId="3" fillId="0" borderId="8" xfId="12" applyNumberFormat="1" applyFont="1" applyFill="1" applyBorder="1"/>
    <xf numFmtId="3" fontId="4" fillId="0" borderId="28" xfId="12" applyNumberFormat="1" applyFont="1" applyFill="1" applyBorder="1"/>
    <xf numFmtId="3" fontId="1" fillId="0" borderId="28" xfId="12" applyNumberFormat="1" applyFont="1" applyBorder="1"/>
    <xf numFmtId="3" fontId="8" fillId="6" borderId="8" xfId="12" applyNumberFormat="1" applyFont="1" applyFill="1" applyBorder="1"/>
    <xf numFmtId="0" fontId="23" fillId="0" borderId="4" xfId="12" applyFont="1" applyFill="1" applyBorder="1" applyAlignment="1">
      <alignment wrapText="1"/>
    </xf>
    <xf numFmtId="3" fontId="1" fillId="0" borderId="8" xfId="12" applyNumberFormat="1" applyFont="1" applyFill="1" applyBorder="1"/>
    <xf numFmtId="3" fontId="1" fillId="0" borderId="8" xfId="12" applyNumberFormat="1" applyFont="1" applyBorder="1"/>
    <xf numFmtId="3" fontId="1" fillId="0" borderId="8" xfId="12" applyNumberFormat="1" applyFont="1" applyFill="1" applyBorder="1"/>
    <xf numFmtId="3" fontId="1" fillId="0" borderId="8" xfId="12" applyNumberFormat="1" applyFont="1" applyBorder="1"/>
    <xf numFmtId="3" fontId="4" fillId="0" borderId="8" xfId="12" applyNumberFormat="1" applyFont="1" applyFill="1" applyBorder="1"/>
    <xf numFmtId="3" fontId="3" fillId="0" borderId="8" xfId="12" applyNumberFormat="1" applyFont="1" applyFill="1" applyBorder="1"/>
    <xf numFmtId="3" fontId="4" fillId="7" borderId="8" xfId="12" applyNumberFormat="1" applyFont="1" applyFill="1" applyBorder="1"/>
    <xf numFmtId="3" fontId="4" fillId="0" borderId="8" xfId="12" applyNumberFormat="1" applyFont="1" applyBorder="1"/>
    <xf numFmtId="3" fontId="1" fillId="0" borderId="8" xfId="12" applyNumberFormat="1" applyFont="1" applyFill="1" applyBorder="1"/>
    <xf numFmtId="3" fontId="16" fillId="0" borderId="8" xfId="12" applyNumberFormat="1" applyFont="1" applyFill="1" applyBorder="1"/>
    <xf numFmtId="3" fontId="4" fillId="0" borderId="8" xfId="12" applyNumberFormat="1" applyFont="1" applyBorder="1"/>
    <xf numFmtId="3" fontId="4" fillId="0" borderId="8" xfId="12" applyNumberFormat="1" applyFont="1" applyFill="1" applyBorder="1"/>
    <xf numFmtId="3" fontId="1" fillId="0" borderId="8" xfId="12" applyNumberFormat="1" applyFont="1" applyFill="1" applyBorder="1"/>
    <xf numFmtId="3" fontId="1" fillId="0" borderId="8" xfId="12" applyNumberFormat="1" applyBorder="1"/>
    <xf numFmtId="3" fontId="1" fillId="0" borderId="8" xfId="12" applyNumberFormat="1" applyFill="1" applyBorder="1"/>
    <xf numFmtId="164" fontId="18" fillId="0" borderId="14" xfId="3" applyNumberFormat="1" applyFont="1" applyBorder="1" applyAlignment="1"/>
    <xf numFmtId="164" fontId="3" fillId="0" borderId="0" xfId="3" applyNumberFormat="1" applyFont="1"/>
    <xf numFmtId="0" fontId="5" fillId="0" borderId="0" xfId="3" applyFont="1" applyBorder="1" applyAlignment="1">
      <alignment horizontal="left"/>
    </xf>
    <xf numFmtId="0" fontId="7" fillId="0" borderId="0" xfId="3" applyFont="1" applyAlignment="1">
      <alignment horizontal="left"/>
    </xf>
    <xf numFmtId="0" fontId="3" fillId="0" borderId="12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3" fillId="0" borderId="26" xfId="3" applyFont="1" applyBorder="1" applyAlignment="1">
      <alignment horizontal="center" vertical="center" textRotation="90" wrapText="1"/>
    </xf>
    <xf numFmtId="0" fontId="1" fillId="0" borderId="4" xfId="3" applyFont="1" applyFill="1" applyBorder="1" applyAlignment="1">
      <alignment wrapText="1"/>
    </xf>
    <xf numFmtId="0" fontId="1" fillId="3" borderId="4" xfId="3" applyFont="1" applyFill="1" applyBorder="1" applyAlignment="1">
      <alignment wrapText="1"/>
    </xf>
    <xf numFmtId="0" fontId="2" fillId="0" borderId="0" xfId="3" applyFill="1" applyAlignment="1">
      <alignment vertical="center"/>
    </xf>
    <xf numFmtId="0" fontId="9" fillId="6" borderId="44" xfId="3" applyFont="1" applyFill="1" applyBorder="1" applyAlignment="1">
      <alignment horizontal="left" vertical="center"/>
    </xf>
    <xf numFmtId="3" fontId="14" fillId="6" borderId="44" xfId="3" applyNumberFormat="1" applyFont="1" applyFill="1" applyBorder="1" applyAlignment="1">
      <alignment vertical="center"/>
    </xf>
    <xf numFmtId="0" fontId="14" fillId="6" borderId="44" xfId="3" applyFont="1" applyFill="1" applyBorder="1" applyAlignment="1">
      <alignment vertical="center"/>
    </xf>
    <xf numFmtId="4" fontId="9" fillId="6" borderId="45" xfId="3" applyNumberFormat="1" applyFont="1" applyFill="1" applyBorder="1" applyAlignment="1">
      <alignment horizontal="left" vertical="center"/>
    </xf>
    <xf numFmtId="4" fontId="14" fillId="6" borderId="45" xfId="3" applyNumberFormat="1" applyFont="1" applyFill="1" applyBorder="1" applyAlignment="1">
      <alignment vertical="center"/>
    </xf>
    <xf numFmtId="3" fontId="4" fillId="0" borderId="10" xfId="13" applyNumberFormat="1" applyFont="1" applyFill="1" applyBorder="1" applyAlignment="1">
      <alignment vertical="center"/>
    </xf>
    <xf numFmtId="0" fontId="12" fillId="6" borderId="12" xfId="3" applyFont="1" applyFill="1" applyBorder="1" applyAlignment="1">
      <alignment horizontal="center" vertical="center" wrapText="1"/>
    </xf>
    <xf numFmtId="0" fontId="12" fillId="6" borderId="4" xfId="3" applyFont="1" applyFill="1" applyBorder="1" applyAlignment="1">
      <alignment horizontal="center"/>
    </xf>
    <xf numFmtId="3" fontId="12" fillId="6" borderId="4" xfId="4" applyNumberFormat="1" applyFont="1" applyFill="1" applyBorder="1"/>
    <xf numFmtId="3" fontId="6" fillId="6" borderId="4" xfId="4" applyNumberFormat="1" applyFont="1" applyFill="1" applyBorder="1"/>
    <xf numFmtId="3" fontId="6" fillId="6" borderId="4" xfId="3" applyNumberFormat="1" applyFont="1" applyFill="1" applyBorder="1"/>
    <xf numFmtId="3" fontId="12" fillId="6" borderId="4" xfId="3" applyNumberFormat="1" applyFont="1" applyFill="1" applyBorder="1"/>
    <xf numFmtId="3" fontId="6" fillId="6" borderId="4" xfId="13" applyNumberFormat="1" applyFont="1" applyFill="1" applyBorder="1"/>
    <xf numFmtId="3" fontId="12" fillId="6" borderId="4" xfId="3" applyNumberFormat="1" applyFont="1" applyFill="1" applyBorder="1" applyAlignment="1">
      <alignment horizontal="right"/>
    </xf>
    <xf numFmtId="3" fontId="6" fillId="6" borderId="6" xfId="3" applyNumberFormat="1" applyFont="1" applyFill="1" applyBorder="1"/>
    <xf numFmtId="0" fontId="6" fillId="0" borderId="0" xfId="3" applyFont="1"/>
    <xf numFmtId="3" fontId="12" fillId="6" borderId="4" xfId="3" applyNumberFormat="1" applyFont="1" applyFill="1" applyBorder="1" applyAlignment="1">
      <alignment horizontal="center"/>
    </xf>
    <xf numFmtId="3" fontId="6" fillId="0" borderId="0" xfId="3" applyNumberFormat="1" applyFont="1"/>
    <xf numFmtId="0" fontId="6" fillId="6" borderId="6" xfId="3" applyFont="1" applyFill="1" applyBorder="1"/>
    <xf numFmtId="3" fontId="12" fillId="6" borderId="6" xfId="3" applyNumberFormat="1" applyFont="1" applyFill="1" applyBorder="1"/>
    <xf numFmtId="3" fontId="6" fillId="0" borderId="16" xfId="3" applyNumberFormat="1" applyFont="1" applyBorder="1"/>
    <xf numFmtId="0" fontId="6" fillId="6" borderId="4" xfId="3" applyFont="1" applyFill="1" applyBorder="1"/>
    <xf numFmtId="3" fontId="12" fillId="6" borderId="4" xfId="13" applyNumberFormat="1" applyFont="1" applyFill="1" applyBorder="1"/>
    <xf numFmtId="0" fontId="12" fillId="6" borderId="10" xfId="3" applyFont="1" applyFill="1" applyBorder="1" applyAlignment="1">
      <alignment horizontal="center"/>
    </xf>
    <xf numFmtId="3" fontId="12" fillId="6" borderId="10" xfId="3" applyNumberFormat="1" applyFont="1" applyFill="1" applyBorder="1" applyAlignment="1">
      <alignment horizontal="right"/>
    </xf>
    <xf numFmtId="3" fontId="6" fillId="6" borderId="10" xfId="3" applyNumberFormat="1" applyFont="1" applyFill="1" applyBorder="1"/>
    <xf numFmtId="3" fontId="12" fillId="6" borderId="10" xfId="3" applyNumberFormat="1" applyFont="1" applyFill="1" applyBorder="1"/>
    <xf numFmtId="3" fontId="12" fillId="6" borderId="10" xfId="4" applyNumberFormat="1" applyFont="1" applyFill="1" applyBorder="1"/>
    <xf numFmtId="0" fontId="12" fillId="6" borderId="4" xfId="3" applyFont="1" applyFill="1" applyBorder="1"/>
    <xf numFmtId="0" fontId="0" fillId="0" borderId="0" xfId="0" applyAlignme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/>
    </xf>
    <xf numFmtId="0" fontId="3" fillId="6" borderId="12" xfId="3" applyFont="1" applyFill="1" applyBorder="1" applyAlignment="1">
      <alignment horizontal="center" vertical="center" wrapText="1"/>
    </xf>
    <xf numFmtId="3" fontId="6" fillId="6" borderId="4" xfId="3" applyNumberFormat="1" applyFont="1" applyFill="1" applyBorder="1" applyAlignment="1">
      <alignment horizontal="right"/>
    </xf>
    <xf numFmtId="3" fontId="35" fillId="6" borderId="4" xfId="3" applyNumberFormat="1" applyFont="1" applyFill="1" applyBorder="1"/>
    <xf numFmtId="3" fontId="6" fillId="6" borderId="4" xfId="3" applyNumberFormat="1" applyFont="1" applyFill="1" applyBorder="1" applyProtection="1">
      <protection locked="0"/>
    </xf>
    <xf numFmtId="3" fontId="35" fillId="6" borderId="4" xfId="3" applyNumberFormat="1" applyFont="1" applyFill="1" applyBorder="1" applyProtection="1">
      <protection locked="0"/>
    </xf>
    <xf numFmtId="0" fontId="3" fillId="6" borderId="3" xfId="3" applyFont="1" applyFill="1" applyBorder="1" applyAlignment="1">
      <alignment horizontal="center"/>
    </xf>
    <xf numFmtId="0" fontId="3" fillId="6" borderId="10" xfId="3" applyFont="1" applyFill="1" applyBorder="1" applyAlignment="1">
      <alignment horizontal="center"/>
    </xf>
    <xf numFmtId="0" fontId="3" fillId="6" borderId="4" xfId="3" applyFont="1" applyFill="1" applyBorder="1" applyAlignment="1">
      <alignment horizontal="left"/>
    </xf>
    <xf numFmtId="3" fontId="3" fillId="6" borderId="4" xfId="3" applyNumberFormat="1" applyFont="1" applyFill="1" applyBorder="1" applyAlignment="1">
      <alignment horizontal="right"/>
    </xf>
    <xf numFmtId="4" fontId="3" fillId="6" borderId="21" xfId="3" applyNumberFormat="1" applyFont="1" applyFill="1" applyBorder="1" applyAlignment="1">
      <alignment horizontal="right"/>
    </xf>
    <xf numFmtId="0" fontId="3" fillId="6" borderId="3" xfId="3" applyFont="1" applyFill="1" applyBorder="1" applyAlignment="1">
      <alignment horizontal="center" vertical="top"/>
    </xf>
    <xf numFmtId="0" fontId="18" fillId="6" borderId="10" xfId="3" applyFont="1" applyFill="1" applyBorder="1" applyAlignment="1">
      <alignment horizontal="center" vertical="top"/>
    </xf>
    <xf numFmtId="0" fontId="3" fillId="6" borderId="4" xfId="3" applyFont="1" applyFill="1" applyBorder="1"/>
    <xf numFmtId="3" fontId="3" fillId="6" borderId="4" xfId="3" applyNumberFormat="1" applyFont="1" applyFill="1" applyBorder="1"/>
    <xf numFmtId="4" fontId="8" fillId="6" borderId="21" xfId="3" applyNumberFormat="1" applyFont="1" applyFill="1" applyBorder="1" applyAlignment="1">
      <alignment horizontal="right"/>
    </xf>
    <xf numFmtId="49" fontId="3" fillId="6" borderId="3" xfId="0" applyNumberFormat="1" applyFont="1" applyFill="1" applyBorder="1" applyAlignment="1">
      <alignment horizontal="center" vertical="top"/>
    </xf>
    <xf numFmtId="49" fontId="18" fillId="6" borderId="10" xfId="0" applyNumberFormat="1" applyFont="1" applyFill="1" applyBorder="1" applyAlignment="1">
      <alignment horizontal="center" vertical="top"/>
    </xf>
    <xf numFmtId="0" fontId="3" fillId="6" borderId="4" xfId="0" applyFont="1" applyFill="1" applyBorder="1"/>
    <xf numFmtId="49" fontId="3" fillId="6" borderId="3" xfId="3" applyNumberFormat="1" applyFont="1" applyFill="1" applyBorder="1" applyAlignment="1">
      <alignment horizontal="center" vertical="top"/>
    </xf>
    <xf numFmtId="49" fontId="18" fillId="6" borderId="10" xfId="3" applyNumberFormat="1" applyFont="1" applyFill="1" applyBorder="1" applyAlignment="1">
      <alignment horizontal="center" vertical="top"/>
    </xf>
    <xf numFmtId="0" fontId="22" fillId="2" borderId="2" xfId="0" applyFont="1" applyFill="1" applyBorder="1" applyAlignment="1">
      <alignment horizontal="center" vertical="center" wrapText="1"/>
    </xf>
    <xf numFmtId="3" fontId="22" fillId="6" borderId="4" xfId="0" applyNumberFormat="1" applyFont="1" applyFill="1" applyBorder="1"/>
    <xf numFmtId="3" fontId="22" fillId="6" borderId="8" xfId="0" applyNumberFormat="1" applyFont="1" applyFill="1" applyBorder="1"/>
    <xf numFmtId="3" fontId="22" fillId="0" borderId="8" xfId="0" applyNumberFormat="1" applyFont="1" applyBorder="1"/>
    <xf numFmtId="3" fontId="36" fillId="0" borderId="8" xfId="0" applyNumberFormat="1" applyFont="1" applyBorder="1"/>
    <xf numFmtId="3" fontId="36" fillId="0" borderId="8" xfId="0" applyNumberFormat="1" applyFont="1" applyFill="1" applyBorder="1"/>
    <xf numFmtId="3" fontId="22" fillId="0" borderId="8" xfId="0" applyNumberFormat="1" applyFont="1" applyFill="1" applyBorder="1"/>
    <xf numFmtId="3" fontId="36" fillId="0" borderId="28" xfId="0" applyNumberFormat="1" applyFont="1" applyFill="1" applyBorder="1"/>
    <xf numFmtId="3" fontId="37" fillId="0" borderId="8" xfId="0" applyNumberFormat="1" applyFont="1" applyFill="1" applyBorder="1"/>
    <xf numFmtId="3" fontId="36" fillId="0" borderId="28" xfId="0" applyNumberFormat="1" applyFont="1" applyBorder="1"/>
    <xf numFmtId="3" fontId="22" fillId="0" borderId="4" xfId="0" applyNumberFormat="1" applyFont="1" applyBorder="1"/>
    <xf numFmtId="0" fontId="36" fillId="0" borderId="6" xfId="0" applyFont="1" applyBorder="1"/>
    <xf numFmtId="3" fontId="22" fillId="6" borderId="31" xfId="0" applyNumberFormat="1" applyFont="1" applyFill="1" applyBorder="1"/>
    <xf numFmtId="0" fontId="36" fillId="0" borderId="0" xfId="0" applyFont="1"/>
    <xf numFmtId="0" fontId="26" fillId="0" borderId="28" xfId="4" applyFont="1" applyFill="1" applyBorder="1" applyAlignment="1">
      <alignment horizontal="center" vertical="center" wrapText="1"/>
    </xf>
    <xf numFmtId="0" fontId="0" fillId="0" borderId="0" xfId="0"/>
    <xf numFmtId="3" fontId="1" fillId="0" borderId="4" xfId="0" applyNumberFormat="1" applyFont="1" applyFill="1" applyBorder="1" applyAlignment="1"/>
    <xf numFmtId="3" fontId="1" fillId="0" borderId="4" xfId="0" applyNumberFormat="1" applyFont="1" applyFill="1" applyBorder="1" applyAlignment="1">
      <alignment horizontal="right" vertical="center"/>
    </xf>
    <xf numFmtId="3" fontId="1" fillId="0" borderId="23" xfId="0" applyNumberFormat="1" applyFont="1" applyFill="1" applyBorder="1" applyAlignment="1">
      <alignment horizontal="right" vertical="center"/>
    </xf>
    <xf numFmtId="0" fontId="21" fillId="0" borderId="0" xfId="0" applyFont="1"/>
    <xf numFmtId="0" fontId="32" fillId="6" borderId="4" xfId="0" applyFont="1" applyFill="1" applyBorder="1" applyAlignment="1">
      <alignment horizontal="center" vertical="center"/>
    </xf>
    <xf numFmtId="0" fontId="32" fillId="6" borderId="4" xfId="0" applyFont="1" applyFill="1" applyBorder="1" applyAlignment="1">
      <alignment horizontal="center" vertical="center" wrapText="1"/>
    </xf>
    <xf numFmtId="0" fontId="21" fillId="0" borderId="0" xfId="0" applyFont="1" applyBorder="1" applyAlignment="1"/>
    <xf numFmtId="0" fontId="32" fillId="6" borderId="4" xfId="0" applyFont="1" applyFill="1" applyBorder="1" applyAlignment="1"/>
    <xf numFmtId="3" fontId="32" fillId="6" borderId="4" xfId="0" applyNumberFormat="1" applyFont="1" applyFill="1" applyBorder="1" applyAlignment="1"/>
    <xf numFmtId="2" fontId="32" fillId="6" borderId="4" xfId="0" applyNumberFormat="1" applyFont="1" applyFill="1" applyBorder="1" applyAlignment="1"/>
    <xf numFmtId="0" fontId="21" fillId="0" borderId="4" xfId="0" applyFont="1" applyFill="1" applyBorder="1" applyAlignment="1"/>
    <xf numFmtId="0" fontId="38" fillId="0" borderId="4" xfId="0" applyFont="1" applyFill="1" applyBorder="1" applyAlignment="1">
      <alignment horizontal="center"/>
    </xf>
    <xf numFmtId="3" fontId="21" fillId="0" borderId="4" xfId="0" applyNumberFormat="1" applyFont="1" applyFill="1" applyBorder="1" applyAlignment="1"/>
    <xf numFmtId="2" fontId="21" fillId="0" borderId="4" xfId="0" applyNumberFormat="1" applyFont="1" applyFill="1" applyBorder="1" applyAlignment="1">
      <alignment horizontal="right"/>
    </xf>
    <xf numFmtId="0" fontId="21" fillId="0" borderId="4" xfId="0" applyFont="1" applyFill="1" applyBorder="1" applyAlignment="1">
      <alignment horizontal="left" vertical="center"/>
    </xf>
    <xf numFmtId="0" fontId="38" fillId="0" borderId="4" xfId="0" applyFont="1" applyFill="1" applyBorder="1" applyAlignment="1">
      <alignment horizontal="center" vertical="center"/>
    </xf>
    <xf numFmtId="3" fontId="21" fillId="0" borderId="4" xfId="0" applyNumberFormat="1" applyFont="1" applyFill="1" applyBorder="1" applyAlignment="1">
      <alignment horizontal="right" vertical="center"/>
    </xf>
    <xf numFmtId="2" fontId="21" fillId="0" borderId="4" xfId="0" applyNumberFormat="1" applyFont="1" applyFill="1" applyBorder="1" applyAlignment="1">
      <alignment horizontal="right" vertical="center"/>
    </xf>
    <xf numFmtId="0" fontId="32" fillId="4" borderId="4" xfId="0" applyFont="1" applyFill="1" applyBorder="1" applyAlignment="1"/>
    <xf numFmtId="0" fontId="39" fillId="4" borderId="4" xfId="0" applyFont="1" applyFill="1" applyBorder="1" applyAlignment="1">
      <alignment horizontal="center"/>
    </xf>
    <xf numFmtId="3" fontId="32" fillId="4" borderId="4" xfId="0" applyNumberFormat="1" applyFont="1" applyFill="1" applyBorder="1" applyAlignment="1"/>
    <xf numFmtId="2" fontId="32" fillId="4" borderId="4" xfId="0" applyNumberFormat="1" applyFont="1" applyFill="1" applyBorder="1" applyAlignment="1">
      <alignment horizontal="right" vertical="center"/>
    </xf>
    <xf numFmtId="0" fontId="32" fillId="0" borderId="0" xfId="0" applyFont="1"/>
    <xf numFmtId="0" fontId="32" fillId="0" borderId="0" xfId="0" applyFont="1" applyFill="1" applyBorder="1" applyAlignment="1"/>
    <xf numFmtId="0" fontId="32" fillId="0" borderId="0" xfId="0" applyFont="1" applyBorder="1" applyAlignment="1"/>
    <xf numFmtId="0" fontId="21" fillId="0" borderId="23" xfId="0" applyFont="1" applyFill="1" applyBorder="1" applyAlignment="1">
      <alignment horizontal="left" vertical="center"/>
    </xf>
    <xf numFmtId="0" fontId="38" fillId="0" borderId="23" xfId="0" applyFont="1" applyFill="1" applyBorder="1" applyAlignment="1">
      <alignment horizontal="center" vertical="center"/>
    </xf>
    <xf numFmtId="3" fontId="21" fillId="0" borderId="23" xfId="0" applyNumberFormat="1" applyFont="1" applyFill="1" applyBorder="1" applyAlignment="1">
      <alignment horizontal="right" vertical="center"/>
    </xf>
    <xf numFmtId="2" fontId="21" fillId="0" borderId="23" xfId="0" applyNumberFormat="1" applyFont="1" applyFill="1" applyBorder="1" applyAlignment="1">
      <alignment horizontal="right" vertical="center"/>
    </xf>
    <xf numFmtId="0" fontId="32" fillId="4" borderId="23" xfId="0" applyFont="1" applyFill="1" applyBorder="1" applyAlignment="1">
      <alignment horizontal="left" vertical="center"/>
    </xf>
    <xf numFmtId="0" fontId="39" fillId="4" borderId="23" xfId="0" applyFont="1" applyFill="1" applyBorder="1" applyAlignment="1">
      <alignment horizontal="center" vertical="center"/>
    </xf>
    <xf numFmtId="3" fontId="32" fillId="4" borderId="23" xfId="0" applyNumberFormat="1" applyFont="1" applyFill="1" applyBorder="1" applyAlignment="1"/>
    <xf numFmtId="2" fontId="32" fillId="4" borderId="23" xfId="0" applyNumberFormat="1" applyFont="1" applyFill="1" applyBorder="1" applyAlignment="1">
      <alignment horizontal="right" vertical="center"/>
    </xf>
    <xf numFmtId="0" fontId="32" fillId="4" borderId="24" xfId="0" applyFont="1" applyFill="1" applyBorder="1" applyAlignment="1"/>
    <xf numFmtId="0" fontId="39" fillId="4" borderId="24" xfId="0" applyFont="1" applyFill="1" applyBorder="1" applyAlignment="1">
      <alignment horizontal="center"/>
    </xf>
    <xf numFmtId="3" fontId="32" fillId="4" borderId="24" xfId="0" applyNumberFormat="1" applyFont="1" applyFill="1" applyBorder="1" applyAlignment="1"/>
    <xf numFmtId="2" fontId="32" fillId="4" borderId="24" xfId="0" applyNumberFormat="1" applyFont="1" applyFill="1" applyBorder="1" applyAlignment="1">
      <alignment horizontal="right" vertical="center"/>
    </xf>
    <xf numFmtId="3" fontId="32" fillId="4" borderId="23" xfId="0" applyNumberFormat="1" applyFont="1" applyFill="1" applyBorder="1" applyAlignment="1">
      <alignment vertical="center"/>
    </xf>
    <xf numFmtId="0" fontId="32" fillId="4" borderId="4" xfId="0" applyFont="1" applyFill="1" applyBorder="1" applyAlignment="1">
      <alignment wrapText="1"/>
    </xf>
    <xf numFmtId="0" fontId="39" fillId="4" borderId="4" xfId="0" applyFont="1" applyFill="1" applyBorder="1" applyAlignment="1">
      <alignment horizontal="center" wrapText="1"/>
    </xf>
    <xf numFmtId="3" fontId="32" fillId="4" borderId="4" xfId="0" applyNumberFormat="1" applyFont="1" applyFill="1" applyBorder="1" applyAlignment="1">
      <alignment vertical="center"/>
    </xf>
    <xf numFmtId="0" fontId="32" fillId="0" borderId="25" xfId="0" applyFont="1" applyFill="1" applyBorder="1" applyAlignment="1"/>
    <xf numFmtId="0" fontId="39" fillId="0" borderId="25" xfId="0" applyFont="1" applyFill="1" applyBorder="1" applyAlignment="1">
      <alignment horizontal="center"/>
    </xf>
    <xf numFmtId="4" fontId="21" fillId="0" borderId="25" xfId="0" applyNumberFormat="1" applyFont="1" applyFill="1" applyBorder="1" applyAlignment="1"/>
    <xf numFmtId="2" fontId="21" fillId="0" borderId="25" xfId="0" applyNumberFormat="1" applyFont="1" applyFill="1" applyBorder="1" applyAlignment="1">
      <alignment horizontal="right" vertical="center"/>
    </xf>
    <xf numFmtId="3" fontId="21" fillId="0" borderId="0" xfId="0" applyNumberFormat="1" applyFont="1" applyBorder="1" applyAlignment="1"/>
    <xf numFmtId="0" fontId="8" fillId="6" borderId="4" xfId="0" applyFont="1" applyFill="1" applyBorder="1" applyAlignment="1">
      <alignment horizontal="center" vertical="center" wrapText="1"/>
    </xf>
    <xf numFmtId="3" fontId="8" fillId="6" borderId="4" xfId="0" applyNumberFormat="1" applyFont="1" applyFill="1" applyBorder="1" applyAlignment="1"/>
    <xf numFmtId="3" fontId="8" fillId="4" borderId="4" xfId="0" applyNumberFormat="1" applyFont="1" applyFill="1" applyBorder="1" applyAlignment="1"/>
    <xf numFmtId="3" fontId="8" fillId="4" borderId="23" xfId="0" applyNumberFormat="1" applyFont="1" applyFill="1" applyBorder="1" applyAlignment="1"/>
    <xf numFmtId="3" fontId="8" fillId="4" borderId="24" xfId="0" applyNumberFormat="1" applyFont="1" applyFill="1" applyBorder="1" applyAlignment="1"/>
    <xf numFmtId="3" fontId="8" fillId="4" borderId="23" xfId="0" applyNumberFormat="1" applyFont="1" applyFill="1" applyBorder="1" applyAlignment="1">
      <alignment vertical="center"/>
    </xf>
    <xf numFmtId="3" fontId="8" fillId="4" borderId="4" xfId="0" applyNumberFormat="1" applyFont="1" applyFill="1" applyBorder="1" applyAlignment="1">
      <alignment vertical="center"/>
    </xf>
    <xf numFmtId="4" fontId="1" fillId="0" borderId="25" xfId="0" applyNumberFormat="1" applyFont="1" applyFill="1" applyBorder="1" applyAlignment="1"/>
    <xf numFmtId="0" fontId="40" fillId="0" borderId="0" xfId="0" applyFont="1"/>
    <xf numFmtId="0" fontId="41" fillId="0" borderId="4" xfId="0" applyFont="1" applyFill="1" applyBorder="1" applyAlignment="1">
      <alignment horizontal="center"/>
    </xf>
    <xf numFmtId="0" fontId="41" fillId="0" borderId="4" xfId="0" applyFont="1" applyFill="1" applyBorder="1" applyAlignment="1">
      <alignment horizontal="center" wrapText="1"/>
    </xf>
    <xf numFmtId="0" fontId="40" fillId="0" borderId="0" xfId="0" applyFont="1" applyBorder="1" applyAlignment="1"/>
    <xf numFmtId="0" fontId="18" fillId="0" borderId="3" xfId="3" applyFont="1" applyBorder="1" applyAlignment="1">
      <alignment horizontal="center"/>
    </xf>
    <xf numFmtId="0" fontId="18" fillId="0" borderId="8" xfId="3" applyFont="1" applyBorder="1" applyAlignment="1">
      <alignment horizontal="center"/>
    </xf>
    <xf numFmtId="0" fontId="18" fillId="0" borderId="21" xfId="3" applyFont="1" applyBorder="1" applyAlignment="1">
      <alignment horizontal="center"/>
    </xf>
    <xf numFmtId="0" fontId="18" fillId="0" borderId="4" xfId="3" applyFont="1" applyFill="1" applyBorder="1" applyAlignment="1">
      <alignment horizontal="center"/>
    </xf>
    <xf numFmtId="0" fontId="0" fillId="0" borderId="46" xfId="0" applyBorder="1"/>
    <xf numFmtId="0" fontId="33" fillId="0" borderId="59" xfId="0" applyFont="1" applyBorder="1" applyAlignment="1">
      <alignment horizontal="center"/>
    </xf>
    <xf numFmtId="0" fontId="33" fillId="0" borderId="0" xfId="0" applyFont="1"/>
    <xf numFmtId="0" fontId="33" fillId="0" borderId="47" xfId="0" applyFont="1" applyBorder="1" applyAlignment="1">
      <alignment horizontal="center"/>
    </xf>
    <xf numFmtId="0" fontId="33" fillId="0" borderId="51" xfId="0" applyFont="1" applyBorder="1" applyAlignment="1">
      <alignment horizontal="center"/>
    </xf>
    <xf numFmtId="0" fontId="33" fillId="0" borderId="52" xfId="0" applyFont="1" applyBorder="1" applyAlignment="1">
      <alignment horizontal="left"/>
    </xf>
    <xf numFmtId="0" fontId="33" fillId="0" borderId="53" xfId="0" applyFont="1" applyBorder="1" applyAlignment="1">
      <alignment horizontal="left"/>
    </xf>
    <xf numFmtId="0" fontId="33" fillId="0" borderId="54" xfId="0" applyFont="1" applyBorder="1" applyAlignment="1">
      <alignment horizontal="left"/>
    </xf>
    <xf numFmtId="0" fontId="33" fillId="0" borderId="55" xfId="0" applyFont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left" vertical="center" wrapText="1"/>
    </xf>
    <xf numFmtId="3" fontId="3" fillId="6" borderId="4" xfId="0" applyNumberFormat="1" applyFont="1" applyFill="1" applyBorder="1" applyAlignment="1">
      <alignment horizontal="right" vertical="center"/>
    </xf>
    <xf numFmtId="4" fontId="3" fillId="6" borderId="4" xfId="0" applyNumberFormat="1" applyFont="1" applyFill="1" applyBorder="1" applyAlignment="1">
      <alignment vertical="center"/>
    </xf>
    <xf numFmtId="49" fontId="3" fillId="6" borderId="4" xfId="0" applyNumberFormat="1" applyFont="1" applyFill="1" applyBorder="1" applyAlignment="1">
      <alignment horizontal="center" vertical="center" wrapText="1"/>
    </xf>
    <xf numFmtId="167" fontId="3" fillId="6" borderId="4" xfId="0" applyNumberFormat="1" applyFont="1" applyFill="1" applyBorder="1" applyAlignment="1">
      <alignment horizontal="left" vertical="center" wrapText="1"/>
    </xf>
    <xf numFmtId="4" fontId="3" fillId="6" borderId="4" xfId="0" applyNumberFormat="1" applyFont="1" applyFill="1" applyBorder="1"/>
    <xf numFmtId="0" fontId="18" fillId="6" borderId="4" xfId="3" applyFont="1" applyFill="1" applyBorder="1" applyAlignment="1">
      <alignment horizontal="center"/>
    </xf>
    <xf numFmtId="0" fontId="18" fillId="0" borderId="0" xfId="3" applyFont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1" fillId="0" borderId="4" xfId="3" applyFont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3" fillId="7" borderId="0" xfId="0" applyFont="1" applyFill="1" applyAlignment="1">
      <alignment horizontal="center" wrapText="1"/>
    </xf>
    <xf numFmtId="0" fontId="0" fillId="0" borderId="0" xfId="0"/>
    <xf numFmtId="0" fontId="0" fillId="7" borderId="0" xfId="0" applyFill="1" applyAlignment="1"/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33" fillId="0" borderId="52" xfId="0" applyFont="1" applyBorder="1" applyAlignment="1">
      <alignment horizontal="left" wrapText="1"/>
    </xf>
    <xf numFmtId="0" fontId="33" fillId="0" borderId="53" xfId="0" applyFont="1" applyBorder="1" applyAlignment="1">
      <alignment horizontal="left"/>
    </xf>
    <xf numFmtId="0" fontId="33" fillId="0" borderId="54" xfId="0" applyFont="1" applyBorder="1" applyAlignment="1">
      <alignment horizontal="left"/>
    </xf>
    <xf numFmtId="0" fontId="33" fillId="0" borderId="55" xfId="0" applyFont="1" applyBorder="1" applyAlignment="1">
      <alignment horizontal="left"/>
    </xf>
    <xf numFmtId="0" fontId="33" fillId="0" borderId="52" xfId="0" applyFont="1" applyBorder="1" applyAlignment="1">
      <alignment horizontal="left"/>
    </xf>
    <xf numFmtId="0" fontId="3" fillId="6" borderId="8" xfId="0" applyFont="1" applyFill="1" applyBorder="1" applyAlignment="1">
      <alignment horizontal="left"/>
    </xf>
    <xf numFmtId="0" fontId="3" fillId="6" borderId="27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33" fillId="0" borderId="56" xfId="0" applyFont="1" applyBorder="1" applyAlignment="1">
      <alignment horizontal="left"/>
    </xf>
    <xf numFmtId="0" fontId="33" fillId="0" borderId="57" xfId="0" applyFont="1" applyBorder="1" applyAlignment="1">
      <alignment horizontal="left"/>
    </xf>
    <xf numFmtId="0" fontId="33" fillId="0" borderId="58" xfId="0" applyFont="1" applyBorder="1" applyAlignment="1">
      <alignment horizontal="left"/>
    </xf>
    <xf numFmtId="0" fontId="33" fillId="0" borderId="48" xfId="0" applyFont="1" applyBorder="1" applyAlignment="1">
      <alignment horizontal="left"/>
    </xf>
    <xf numFmtId="0" fontId="33" fillId="0" borderId="49" xfId="0" applyFont="1" applyBorder="1" applyAlignment="1">
      <alignment horizontal="left"/>
    </xf>
    <xf numFmtId="0" fontId="33" fillId="0" borderId="50" xfId="0" applyFont="1" applyBorder="1" applyAlignment="1">
      <alignment horizontal="left"/>
    </xf>
    <xf numFmtId="0" fontId="33" fillId="0" borderId="60" xfId="0" applyFont="1" applyBorder="1" applyAlignment="1">
      <alignment horizontal="left"/>
    </xf>
    <xf numFmtId="0" fontId="33" fillId="0" borderId="61" xfId="0" applyFont="1" applyBorder="1" applyAlignment="1">
      <alignment horizontal="left"/>
    </xf>
    <xf numFmtId="0" fontId="33" fillId="0" borderId="62" xfId="0" applyFont="1" applyBorder="1" applyAlignment="1">
      <alignment horizontal="left"/>
    </xf>
    <xf numFmtId="0" fontId="2" fillId="0" borderId="0" xfId="0" applyFont="1" applyAlignment="1">
      <alignment horizontal="justify" vertical="top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166" fontId="5" fillId="0" borderId="14" xfId="1" applyNumberFormat="1" applyFont="1" applyBorder="1" applyAlignment="1">
      <alignment horizontal="left" wrapText="1"/>
    </xf>
    <xf numFmtId="0" fontId="0" fillId="0" borderId="14" xfId="0" applyBorder="1" applyAlignment="1">
      <alignment wrapText="1"/>
    </xf>
    <xf numFmtId="0" fontId="12" fillId="0" borderId="33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2" fillId="6" borderId="13" xfId="0" applyFont="1" applyFill="1" applyBorder="1" applyAlignment="1">
      <alignment horizontal="right" wrapText="1"/>
    </xf>
    <xf numFmtId="0" fontId="12" fillId="6" borderId="34" xfId="0" applyFont="1" applyFill="1" applyBorder="1" applyAlignment="1">
      <alignment horizontal="right" wrapText="1"/>
    </xf>
    <xf numFmtId="3" fontId="5" fillId="0" borderId="14" xfId="3" applyNumberFormat="1" applyFont="1" applyBorder="1" applyAlignment="1">
      <alignment horizontal="left"/>
    </xf>
    <xf numFmtId="3" fontId="0" fillId="0" borderId="14" xfId="0" applyNumberFormat="1" applyBorder="1" applyAlignment="1"/>
    <xf numFmtId="0" fontId="5" fillId="0" borderId="0" xfId="3" applyFont="1" applyBorder="1" applyAlignment="1">
      <alignment horizontal="left"/>
    </xf>
    <xf numFmtId="0" fontId="7" fillId="0" borderId="0" xfId="3" applyFont="1" applyAlignment="1">
      <alignment horizontal="left"/>
    </xf>
    <xf numFmtId="0" fontId="0" fillId="0" borderId="0" xfId="0" applyFill="1" applyAlignment="1">
      <alignment horizontal="justify" vertical="top"/>
    </xf>
    <xf numFmtId="0" fontId="3" fillId="6" borderId="38" xfId="3" applyFont="1" applyFill="1" applyBorder="1" applyAlignment="1">
      <alignment horizontal="center" vertical="center" wrapText="1"/>
    </xf>
    <xf numFmtId="0" fontId="0" fillId="6" borderId="39" xfId="0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 wrapText="1"/>
    </xf>
    <xf numFmtId="0" fontId="3" fillId="6" borderId="40" xfId="3" applyFont="1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 wrapText="1"/>
    </xf>
    <xf numFmtId="0" fontId="3" fillId="6" borderId="41" xfId="3" applyFont="1" applyFill="1" applyBorder="1" applyAlignment="1">
      <alignment horizontal="center" vertical="center" textRotation="90" wrapText="1"/>
    </xf>
    <xf numFmtId="0" fontId="0" fillId="6" borderId="12" xfId="0" applyFill="1" applyBorder="1" applyAlignment="1">
      <alignment horizontal="center" vertical="center" textRotation="90" wrapText="1"/>
    </xf>
    <xf numFmtId="0" fontId="3" fillId="6" borderId="41" xfId="3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3" fillId="6" borderId="41" xfId="3" applyFont="1" applyFill="1" applyBorder="1" applyAlignment="1">
      <alignment horizontal="center" vertical="center" wrapText="1"/>
    </xf>
    <xf numFmtId="4" fontId="3" fillId="6" borderId="42" xfId="3" applyNumberFormat="1" applyFont="1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/>
    </xf>
    <xf numFmtId="0" fontId="9" fillId="6" borderId="43" xfId="3" applyFont="1" applyFill="1" applyBorder="1" applyAlignment="1">
      <alignment horizontal="left" vertical="center"/>
    </xf>
    <xf numFmtId="0" fontId="9" fillId="6" borderId="44" xfId="3" applyFont="1" applyFill="1" applyBorder="1" applyAlignment="1">
      <alignment horizontal="left" vertical="center"/>
    </xf>
    <xf numFmtId="0" fontId="9" fillId="6" borderId="45" xfId="3" applyFont="1" applyFill="1" applyBorder="1" applyAlignment="1">
      <alignment horizontal="left" vertical="center"/>
    </xf>
    <xf numFmtId="0" fontId="3" fillId="0" borderId="14" xfId="3" applyFont="1" applyBorder="1" applyAlignment="1">
      <alignment horizontal="right"/>
    </xf>
    <xf numFmtId="0" fontId="9" fillId="0" borderId="38" xfId="3" applyFont="1" applyFill="1" applyBorder="1" applyAlignment="1" applyProtection="1">
      <alignment horizontal="center" vertical="center" wrapText="1"/>
      <protection locked="0"/>
    </xf>
    <xf numFmtId="0" fontId="14" fillId="0" borderId="39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31" fillId="0" borderId="40" xfId="3" applyFont="1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31" fillId="0" borderId="41" xfId="3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31" fillId="0" borderId="41" xfId="3" applyFont="1" applyFill="1" applyBorder="1" applyAlignment="1">
      <alignment horizontal="center" vertical="center" textRotation="90" wrapText="1"/>
    </xf>
    <xf numFmtId="0" fontId="8" fillId="0" borderId="41" xfId="3" applyFont="1" applyBorder="1" applyAlignment="1">
      <alignment horizontal="center" vertical="center" textRotation="90" wrapText="1"/>
    </xf>
    <xf numFmtId="0" fontId="3" fillId="0" borderId="41" xfId="3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41" xfId="3" applyFont="1" applyFill="1" applyBorder="1" applyAlignment="1">
      <alignment horizontal="center" vertical="center" wrapText="1"/>
    </xf>
    <xf numFmtId="0" fontId="31" fillId="0" borderId="41" xfId="3" applyFont="1" applyFill="1" applyBorder="1" applyAlignment="1">
      <alignment horizontal="center" vertical="center" wrapText="1"/>
    </xf>
    <xf numFmtId="4" fontId="32" fillId="0" borderId="42" xfId="3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41" xfId="3" applyFont="1" applyBorder="1" applyAlignment="1">
      <alignment horizontal="center" vertical="center" textRotation="90" wrapText="1"/>
    </xf>
    <xf numFmtId="0" fontId="3" fillId="0" borderId="41" xfId="3" applyFont="1" applyFill="1" applyBorder="1" applyAlignment="1">
      <alignment horizontal="center" vertical="center" textRotation="90" wrapText="1"/>
    </xf>
    <xf numFmtId="0" fontId="8" fillId="0" borderId="41" xfId="3" applyFont="1" applyBorder="1" applyAlignment="1">
      <alignment horizontal="center" vertical="center" wrapText="1"/>
    </xf>
    <xf numFmtId="0" fontId="8" fillId="0" borderId="41" xfId="3" applyFont="1" applyFill="1" applyBorder="1" applyAlignment="1">
      <alignment horizontal="center" vertical="center" wrapText="1"/>
    </xf>
    <xf numFmtId="0" fontId="32" fillId="0" borderId="41" xfId="3" applyFont="1" applyFill="1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14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0" fillId="0" borderId="0" xfId="0" applyAlignment="1">
      <alignment horizontal="justify" vertical="top"/>
    </xf>
    <xf numFmtId="0" fontId="1" fillId="0" borderId="0" xfId="0" applyFont="1" applyAlignment="1">
      <alignment horizontal="justify" vertical="top"/>
    </xf>
  </cellXfs>
  <cellStyles count="15">
    <cellStyle name="Comma_izvrsenje300903-s planom 2" xfId="1"/>
    <cellStyle name="Loše" xfId="2" builtinId="27"/>
    <cellStyle name="Normal_sablon1-230704" xfId="3"/>
    <cellStyle name="Normal_sablon1-230704 2" xfId="4"/>
    <cellStyle name="Normal_sablon1-230704 2 2" xfId="8"/>
    <cellStyle name="Normal_sablon1-230704 2 2 2" xfId="13"/>
    <cellStyle name="Obično" xfId="0" builtinId="0"/>
    <cellStyle name="Obično 2" xfId="7"/>
    <cellStyle name="Obično 2 2" xfId="12"/>
    <cellStyle name="Obično 3" xfId="10"/>
    <cellStyle name="Postotak" xfId="5" builtinId="5"/>
    <cellStyle name="Zarez 2" xfId="6"/>
    <cellStyle name="Zarez 2 2" xfId="9"/>
    <cellStyle name="Zarez 2 2 2" xfId="14"/>
    <cellStyle name="Zarez 2 3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0</xdr:row>
      <xdr:rowOff>105704</xdr:rowOff>
    </xdr:from>
    <xdr:to>
      <xdr:col>7</xdr:col>
      <xdr:colOff>495694</xdr:colOff>
      <xdr:row>7</xdr:row>
      <xdr:rowOff>91836</xdr:rowOff>
    </xdr:to>
    <xdr:pic>
      <xdr:nvPicPr>
        <xdr:cNvPr id="5" name="Slika 4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6700" y="105704"/>
          <a:ext cx="952894" cy="1119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Normal="100" workbookViewId="0">
      <selection activeCell="O28" sqref="O28"/>
    </sheetView>
  </sheetViews>
  <sheetFormatPr defaultRowHeight="12.75"/>
  <cols>
    <col min="1" max="14" width="9.7109375" customWidth="1"/>
  </cols>
  <sheetData>
    <row r="1" spans="1:14">
      <c r="A1" s="1207"/>
      <c r="B1" s="1207"/>
      <c r="C1" s="1207"/>
      <c r="D1" s="1207"/>
      <c r="E1" s="1207"/>
      <c r="F1" s="1207"/>
      <c r="G1" s="1207"/>
      <c r="H1" s="1207"/>
      <c r="I1" s="1207"/>
    </row>
    <row r="2" spans="1:14" ht="12.75" customHeight="1">
      <c r="B2" s="1083"/>
      <c r="C2" s="1084"/>
      <c r="D2" s="1208" t="s">
        <v>796</v>
      </c>
      <c r="E2" s="1209"/>
      <c r="F2" s="1209"/>
      <c r="I2" s="1208" t="s">
        <v>795</v>
      </c>
      <c r="J2" s="1214"/>
      <c r="K2" s="1214"/>
    </row>
    <row r="3" spans="1:14">
      <c r="B3" s="1084"/>
      <c r="C3" s="1084"/>
      <c r="D3" s="1209"/>
      <c r="E3" s="1209"/>
      <c r="F3" s="1209"/>
      <c r="I3" s="1214"/>
      <c r="J3" s="1214"/>
      <c r="K3" s="1214"/>
    </row>
    <row r="4" spans="1:14">
      <c r="B4" s="1084"/>
      <c r="C4" s="1084"/>
      <c r="D4" s="1209"/>
      <c r="E4" s="1209"/>
      <c r="F4" s="1209"/>
      <c r="I4" s="1214"/>
      <c r="J4" s="1214"/>
      <c r="K4" s="1214"/>
    </row>
    <row r="5" spans="1:14">
      <c r="B5" s="1084"/>
      <c r="C5" s="1084"/>
      <c r="D5" s="1209"/>
      <c r="E5" s="1209"/>
      <c r="F5" s="1209"/>
      <c r="I5" s="1214"/>
      <c r="J5" s="1214"/>
      <c r="K5" s="1214"/>
    </row>
    <row r="6" spans="1:14">
      <c r="B6" s="1084"/>
      <c r="C6" s="1084"/>
      <c r="D6" s="1209"/>
      <c r="E6" s="1209"/>
      <c r="F6" s="1209"/>
      <c r="I6" s="1214"/>
      <c r="J6" s="1214"/>
      <c r="K6" s="1214"/>
    </row>
    <row r="7" spans="1:14">
      <c r="B7" s="1084"/>
      <c r="C7" s="1084"/>
      <c r="D7" s="1209"/>
      <c r="E7" s="1209"/>
      <c r="F7" s="1209"/>
      <c r="I7" s="1214"/>
      <c r="J7" s="1214"/>
      <c r="K7" s="1214"/>
    </row>
    <row r="8" spans="1:14" ht="13.5" thickBot="1">
      <c r="A8" s="1185"/>
      <c r="B8" s="1185"/>
      <c r="C8" s="1185"/>
      <c r="D8" s="1185"/>
      <c r="E8" s="1185"/>
      <c r="F8" s="1185"/>
      <c r="G8" s="1185"/>
      <c r="H8" s="1185"/>
      <c r="I8" s="1185"/>
      <c r="J8" s="1185"/>
      <c r="K8" s="1185"/>
      <c r="L8" s="1185"/>
      <c r="M8" s="1185"/>
      <c r="N8" s="1185"/>
    </row>
    <row r="9" spans="1:14" ht="13.5" thickTop="1"/>
    <row r="15" spans="1:14" ht="12.75" customHeight="1">
      <c r="A15" s="1210" t="s">
        <v>662</v>
      </c>
      <c r="B15" s="1211"/>
      <c r="C15" s="1211"/>
      <c r="D15" s="1211"/>
      <c r="E15" s="1211"/>
      <c r="F15" s="1211"/>
      <c r="G15" s="1211"/>
      <c r="H15" s="1211"/>
      <c r="I15" s="1211"/>
      <c r="J15" s="1211"/>
      <c r="K15" s="1211"/>
      <c r="L15" s="1212"/>
      <c r="M15" s="1212"/>
      <c r="N15" s="1212"/>
    </row>
    <row r="16" spans="1:14">
      <c r="A16" s="1211"/>
      <c r="B16" s="1211"/>
      <c r="C16" s="1211"/>
      <c r="D16" s="1211"/>
      <c r="E16" s="1211"/>
      <c r="F16" s="1211"/>
      <c r="G16" s="1211"/>
      <c r="H16" s="1211"/>
      <c r="I16" s="1211"/>
      <c r="J16" s="1211"/>
      <c r="K16" s="1211"/>
      <c r="L16" s="1212"/>
      <c r="M16" s="1212"/>
      <c r="N16" s="1212"/>
    </row>
    <row r="17" spans="1:14">
      <c r="A17" s="1211"/>
      <c r="B17" s="1211"/>
      <c r="C17" s="1211"/>
      <c r="D17" s="1211"/>
      <c r="E17" s="1211"/>
      <c r="F17" s="1211"/>
      <c r="G17" s="1211"/>
      <c r="H17" s="1211"/>
      <c r="I17" s="1211"/>
      <c r="J17" s="1211"/>
      <c r="K17" s="1211"/>
      <c r="L17" s="1212"/>
      <c r="M17" s="1212"/>
      <c r="N17" s="1212"/>
    </row>
    <row r="18" spans="1:14">
      <c r="A18" s="1211"/>
      <c r="B18" s="1211"/>
      <c r="C18" s="1211"/>
      <c r="D18" s="1211"/>
      <c r="E18" s="1211"/>
      <c r="F18" s="1211"/>
      <c r="G18" s="1211"/>
      <c r="H18" s="1211"/>
      <c r="I18" s="1211"/>
      <c r="J18" s="1211"/>
      <c r="K18" s="1211"/>
      <c r="L18" s="1212"/>
      <c r="M18" s="1212"/>
      <c r="N18" s="1212"/>
    </row>
    <row r="19" spans="1:14">
      <c r="A19" s="1211"/>
      <c r="B19" s="1211"/>
      <c r="C19" s="1211"/>
      <c r="D19" s="1211"/>
      <c r="E19" s="1211"/>
      <c r="F19" s="1211"/>
      <c r="G19" s="1211"/>
      <c r="H19" s="1211"/>
      <c r="I19" s="1211"/>
      <c r="J19" s="1211"/>
      <c r="K19" s="1211"/>
      <c r="L19" s="1212"/>
      <c r="M19" s="1212"/>
      <c r="N19" s="1212"/>
    </row>
    <row r="20" spans="1:14" ht="13.5" customHeight="1">
      <c r="A20" s="1211"/>
      <c r="B20" s="1211"/>
      <c r="C20" s="1211"/>
      <c r="D20" s="1211"/>
      <c r="E20" s="1211"/>
      <c r="F20" s="1211"/>
      <c r="G20" s="1211"/>
      <c r="H20" s="1211"/>
      <c r="I20" s="1211"/>
      <c r="J20" s="1211"/>
      <c r="K20" s="1211"/>
      <c r="L20" s="1212"/>
      <c r="M20" s="1212"/>
      <c r="N20" s="1212"/>
    </row>
    <row r="33" spans="1:14" s="1122" customFormat="1"/>
    <row r="36" spans="1:14" s="1122" customFormat="1"/>
    <row r="38" spans="1:14">
      <c r="A38" s="1213" t="s">
        <v>797</v>
      </c>
      <c r="B38" s="1207"/>
      <c r="C38" s="1207"/>
      <c r="D38" s="1207"/>
      <c r="E38" s="1207"/>
      <c r="F38" s="1207"/>
      <c r="G38" s="1207"/>
      <c r="H38" s="1207"/>
      <c r="I38" s="1207"/>
      <c r="J38" s="1207"/>
      <c r="K38" s="1207"/>
      <c r="L38" s="1207"/>
      <c r="M38" s="1207"/>
      <c r="N38" s="1207"/>
    </row>
    <row r="39" spans="1:14">
      <c r="A39" s="1207"/>
      <c r="B39" s="1207"/>
      <c r="C39" s="1207"/>
      <c r="D39" s="1207"/>
      <c r="E39" s="1207"/>
      <c r="F39" s="1207"/>
      <c r="G39" s="1207"/>
      <c r="H39" s="1207"/>
      <c r="I39" s="1207"/>
      <c r="J39" s="1207"/>
      <c r="K39" s="1207"/>
      <c r="L39" s="1207"/>
      <c r="M39" s="1207"/>
      <c r="N39" s="1207"/>
    </row>
    <row r="40" spans="1:14" ht="15.75">
      <c r="A40" s="90"/>
      <c r="B40" s="90"/>
      <c r="C40" s="90"/>
      <c r="D40" s="90"/>
      <c r="E40" s="90"/>
      <c r="F40" s="90"/>
      <c r="G40" s="90"/>
      <c r="H40" s="90"/>
      <c r="I40" s="90"/>
    </row>
  </sheetData>
  <mergeCells count="5">
    <mergeCell ref="A1:I1"/>
    <mergeCell ref="D2:F7"/>
    <mergeCell ref="A15:N20"/>
    <mergeCell ref="A38:N39"/>
    <mergeCell ref="I2:K7"/>
  </mergeCells>
  <phoneticPr fontId="0" type="noConversion"/>
  <pageMargins left="0.6692913385826772" right="0.43307086614173229" top="0.5" bottom="0.76" header="0.51181102362204722" footer="0.5118110236220472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P96"/>
  <sheetViews>
    <sheetView zoomScaleNormal="100" workbookViewId="0">
      <selection activeCell="Q14" sqref="Q14"/>
    </sheetView>
  </sheetViews>
  <sheetFormatPr defaultRowHeight="12.75"/>
  <cols>
    <col min="1" max="1" width="9.140625" style="611"/>
    <col min="2" max="2" width="4.7109375" style="9" customWidth="1"/>
    <col min="3" max="3" width="5.42578125" style="9" customWidth="1"/>
    <col min="4" max="4" width="5" style="9" customWidth="1"/>
    <col min="5" max="5" width="8.7109375" style="18" customWidth="1"/>
    <col min="6" max="6" width="8.7109375" style="616" customWidth="1"/>
    <col min="7" max="7" width="50.7109375" style="9" customWidth="1"/>
    <col min="8" max="10" width="14.7109375" style="9" customWidth="1"/>
    <col min="11" max="12" width="14.7109375" style="611" customWidth="1"/>
    <col min="13" max="13" width="15.7109375" style="9" customWidth="1"/>
    <col min="14" max="14" width="7.7109375" style="680" customWidth="1"/>
    <col min="15" max="16384" width="9.140625" style="9"/>
  </cols>
  <sheetData>
    <row r="1" spans="1:16" ht="13.5" thickBot="1"/>
    <row r="2" spans="1:16" s="1052" customFormat="1" ht="20.100000000000001" customHeight="1" thickTop="1" thickBot="1">
      <c r="B2" s="1261" t="s">
        <v>123</v>
      </c>
      <c r="C2" s="1262"/>
      <c r="D2" s="1262"/>
      <c r="E2" s="1262"/>
      <c r="F2" s="1262"/>
      <c r="G2" s="1262"/>
      <c r="H2" s="1262"/>
      <c r="I2" s="1262"/>
      <c r="J2" s="1262"/>
      <c r="K2" s="1262"/>
      <c r="L2" s="1262"/>
      <c r="M2" s="1262"/>
      <c r="N2" s="1056"/>
    </row>
    <row r="3" spans="1:16" s="1" customFormat="1" ht="8.1" customHeight="1" thickTop="1" thickBot="1">
      <c r="A3" s="608"/>
      <c r="E3" s="2"/>
      <c r="F3" s="609"/>
      <c r="G3" s="1264"/>
      <c r="H3" s="1264"/>
      <c r="I3" s="306"/>
      <c r="J3" s="306"/>
      <c r="K3" s="119"/>
      <c r="L3" s="119"/>
      <c r="M3" s="119"/>
      <c r="N3" s="674"/>
    </row>
    <row r="4" spans="1:16" s="1" customFormat="1" ht="39" customHeight="1">
      <c r="A4" s="608"/>
      <c r="B4" s="1268" t="s">
        <v>78</v>
      </c>
      <c r="C4" s="1280" t="s">
        <v>79</v>
      </c>
      <c r="D4" s="1281" t="s">
        <v>110</v>
      </c>
      <c r="E4" s="1282" t="s">
        <v>615</v>
      </c>
      <c r="F4" s="1273" t="s">
        <v>695</v>
      </c>
      <c r="G4" s="1274" t="s">
        <v>80</v>
      </c>
      <c r="H4" s="1283" t="s">
        <v>614</v>
      </c>
      <c r="I4" s="1284" t="s">
        <v>747</v>
      </c>
      <c r="J4" s="1283" t="s">
        <v>667</v>
      </c>
      <c r="K4" s="1265" t="s">
        <v>682</v>
      </c>
      <c r="L4" s="1266"/>
      <c r="M4" s="1267"/>
      <c r="N4" s="1278" t="s">
        <v>756</v>
      </c>
    </row>
    <row r="5" spans="1:16" s="608" customFormat="1" ht="27" customHeight="1">
      <c r="B5" s="1269"/>
      <c r="C5" s="1271"/>
      <c r="D5" s="1271"/>
      <c r="E5" s="1275"/>
      <c r="F5" s="1271"/>
      <c r="G5" s="1275"/>
      <c r="H5" s="1275"/>
      <c r="I5" s="1275"/>
      <c r="J5" s="1275"/>
      <c r="K5" s="1048" t="s">
        <v>753</v>
      </c>
      <c r="L5" s="1048" t="s">
        <v>754</v>
      </c>
      <c r="M5" s="1059" t="s">
        <v>426</v>
      </c>
      <c r="N5" s="1279"/>
    </row>
    <row r="6" spans="1:16" s="2" customFormat="1" ht="12.95" customHeight="1">
      <c r="A6" s="609"/>
      <c r="B6" s="1181">
        <v>1</v>
      </c>
      <c r="C6" s="661">
        <v>2</v>
      </c>
      <c r="D6" s="661">
        <v>3</v>
      </c>
      <c r="E6" s="661">
        <v>4</v>
      </c>
      <c r="F6" s="661">
        <v>5</v>
      </c>
      <c r="G6" s="661">
        <v>6</v>
      </c>
      <c r="H6" s="661">
        <v>7</v>
      </c>
      <c r="I6" s="661">
        <v>8</v>
      </c>
      <c r="J6" s="661">
        <v>9</v>
      </c>
      <c r="K6" s="661">
        <v>10</v>
      </c>
      <c r="L6" s="661">
        <v>11</v>
      </c>
      <c r="M6" s="1201" t="s">
        <v>755</v>
      </c>
      <c r="N6" s="1183">
        <v>13</v>
      </c>
    </row>
    <row r="7" spans="1:16" s="2" customFormat="1" ht="12.95" customHeight="1">
      <c r="A7" s="609"/>
      <c r="B7" s="6" t="s">
        <v>119</v>
      </c>
      <c r="C7" s="7" t="s">
        <v>81</v>
      </c>
      <c r="D7" s="7" t="s">
        <v>124</v>
      </c>
      <c r="E7" s="5"/>
      <c r="F7" s="610"/>
      <c r="G7" s="5"/>
      <c r="H7" s="5"/>
      <c r="I7" s="5"/>
      <c r="J7" s="5"/>
      <c r="K7" s="610"/>
      <c r="L7" s="610"/>
      <c r="M7" s="1060"/>
      <c r="N7" s="675"/>
    </row>
    <row r="8" spans="1:16" s="1" customFormat="1" ht="12.95" customHeight="1">
      <c r="A8" s="608"/>
      <c r="B8" s="12"/>
      <c r="C8" s="8"/>
      <c r="D8" s="8"/>
      <c r="E8" s="635">
        <v>611000</v>
      </c>
      <c r="F8" s="661"/>
      <c r="G8" s="8" t="s">
        <v>163</v>
      </c>
      <c r="H8" s="256">
        <f>SUM(H9:H12)</f>
        <v>47610</v>
      </c>
      <c r="I8" s="719">
        <v>32470</v>
      </c>
      <c r="J8" s="356">
        <v>23848</v>
      </c>
      <c r="K8" s="256">
        <f>SUM(K9:K12)</f>
        <v>50850</v>
      </c>
      <c r="L8" s="256">
        <f>SUM(L9:L12)</f>
        <v>0</v>
      </c>
      <c r="M8" s="1061">
        <f>SUM(M9:M12)</f>
        <v>50850</v>
      </c>
      <c r="N8" s="676">
        <f>IF(I8=0,"",M8/I8*100)</f>
        <v>156.60609793655681</v>
      </c>
    </row>
    <row r="9" spans="1:16" ht="12.95" customHeight="1">
      <c r="B9" s="10"/>
      <c r="C9" s="11"/>
      <c r="D9" s="11"/>
      <c r="E9" s="636">
        <v>611100</v>
      </c>
      <c r="F9" s="662"/>
      <c r="G9" s="20" t="s">
        <v>204</v>
      </c>
      <c r="H9" s="255">
        <f>28640+500+12300+860</f>
        <v>42300</v>
      </c>
      <c r="I9" s="718">
        <v>29600</v>
      </c>
      <c r="J9" s="355">
        <v>21878</v>
      </c>
      <c r="K9" s="255">
        <f>30100+100+1*10*1430</f>
        <v>44500</v>
      </c>
      <c r="L9" s="255">
        <v>0</v>
      </c>
      <c r="M9" s="1062">
        <f>SUM(K9:L9)</f>
        <v>44500</v>
      </c>
      <c r="N9" s="677">
        <f>IF(I9=0,"",M9/I9*100)</f>
        <v>150.33783783783784</v>
      </c>
    </row>
    <row r="10" spans="1:16" ht="12.95" customHeight="1">
      <c r="B10" s="10"/>
      <c r="C10" s="11"/>
      <c r="D10" s="11"/>
      <c r="E10" s="636">
        <v>611200</v>
      </c>
      <c r="F10" s="662"/>
      <c r="G10" s="11" t="s">
        <v>205</v>
      </c>
      <c r="H10" s="255">
        <f>2710+100+2500</f>
        <v>5310</v>
      </c>
      <c r="I10" s="718">
        <v>2870</v>
      </c>
      <c r="J10" s="355">
        <v>1970</v>
      </c>
      <c r="K10" s="255">
        <f>2750+50+10*21*15+400</f>
        <v>6350</v>
      </c>
      <c r="L10" s="255">
        <v>0</v>
      </c>
      <c r="M10" s="1062">
        <f t="shared" ref="M10:M11" si="0">SUM(K10:L10)</f>
        <v>6350</v>
      </c>
      <c r="N10" s="677">
        <f t="shared" ref="N10:N35" si="1">IF(I10=0,"",M10/I10*100)</f>
        <v>221.25435540069685</v>
      </c>
    </row>
    <row r="11" spans="1:16" ht="12.95" customHeight="1">
      <c r="B11" s="10"/>
      <c r="C11" s="11"/>
      <c r="D11" s="11"/>
      <c r="E11" s="636">
        <v>611200</v>
      </c>
      <c r="F11" s="662"/>
      <c r="G11" s="229" t="s">
        <v>547</v>
      </c>
      <c r="H11" s="255">
        <v>0</v>
      </c>
      <c r="I11" s="718">
        <v>0</v>
      </c>
      <c r="J11" s="355">
        <v>0</v>
      </c>
      <c r="K11" s="255">
        <v>0</v>
      </c>
      <c r="L11" s="255">
        <v>0</v>
      </c>
      <c r="M11" s="1062">
        <f t="shared" si="0"/>
        <v>0</v>
      </c>
      <c r="N11" s="677" t="str">
        <f t="shared" si="1"/>
        <v/>
      </c>
      <c r="P11" s="63"/>
    </row>
    <row r="12" spans="1:16" ht="8.1" customHeight="1">
      <c r="B12" s="10"/>
      <c r="C12" s="11"/>
      <c r="D12" s="11"/>
      <c r="E12" s="636"/>
      <c r="F12" s="662"/>
      <c r="G12" s="20"/>
      <c r="H12" s="255"/>
      <c r="I12" s="718"/>
      <c r="J12" s="355"/>
      <c r="K12" s="255"/>
      <c r="L12" s="255"/>
      <c r="M12" s="1062"/>
      <c r="N12" s="677" t="str">
        <f t="shared" si="1"/>
        <v/>
      </c>
    </row>
    <row r="13" spans="1:16" s="1" customFormat="1" ht="12.95" customHeight="1">
      <c r="A13" s="608"/>
      <c r="B13" s="12"/>
      <c r="C13" s="8"/>
      <c r="D13" s="8"/>
      <c r="E13" s="635">
        <v>612000</v>
      </c>
      <c r="F13" s="661"/>
      <c r="G13" s="8" t="s">
        <v>162</v>
      </c>
      <c r="H13" s="256">
        <f>H14</f>
        <v>4660</v>
      </c>
      <c r="I13" s="719">
        <v>3200</v>
      </c>
      <c r="J13" s="356">
        <v>2317</v>
      </c>
      <c r="K13" s="256">
        <f>K14</f>
        <v>4800</v>
      </c>
      <c r="L13" s="256">
        <f>L14</f>
        <v>0</v>
      </c>
      <c r="M13" s="1061">
        <f>M14</f>
        <v>4800</v>
      </c>
      <c r="N13" s="676">
        <f t="shared" si="1"/>
        <v>150</v>
      </c>
    </row>
    <row r="14" spans="1:16" ht="12.95" customHeight="1">
      <c r="B14" s="10"/>
      <c r="C14" s="11"/>
      <c r="D14" s="11"/>
      <c r="E14" s="636">
        <v>612100</v>
      </c>
      <c r="F14" s="662"/>
      <c r="G14" s="13" t="s">
        <v>83</v>
      </c>
      <c r="H14" s="255">
        <f>3020+200+1350+90</f>
        <v>4660</v>
      </c>
      <c r="I14" s="718">
        <v>3200</v>
      </c>
      <c r="J14" s="355">
        <v>2317</v>
      </c>
      <c r="K14" s="255">
        <f>3180+20+1*10*160</f>
        <v>4800</v>
      </c>
      <c r="L14" s="255">
        <v>0</v>
      </c>
      <c r="M14" s="1062">
        <f>SUM(K14:L14)</f>
        <v>4800</v>
      </c>
      <c r="N14" s="677">
        <f t="shared" si="1"/>
        <v>150</v>
      </c>
    </row>
    <row r="15" spans="1:16" ht="8.1" customHeight="1">
      <c r="B15" s="10"/>
      <c r="C15" s="11"/>
      <c r="D15" s="11"/>
      <c r="E15" s="636"/>
      <c r="F15" s="662"/>
      <c r="G15" s="11"/>
      <c r="H15" s="30"/>
      <c r="I15" s="714"/>
      <c r="J15" s="351"/>
      <c r="K15" s="593"/>
      <c r="L15" s="593"/>
      <c r="M15" s="1063"/>
      <c r="N15" s="677" t="str">
        <f t="shared" si="1"/>
        <v/>
      </c>
    </row>
    <row r="16" spans="1:16" s="1" customFormat="1" ht="12.95" customHeight="1">
      <c r="A16" s="608"/>
      <c r="B16" s="12"/>
      <c r="C16" s="8"/>
      <c r="D16" s="8"/>
      <c r="E16" s="635">
        <v>613000</v>
      </c>
      <c r="F16" s="661"/>
      <c r="G16" s="8" t="s">
        <v>164</v>
      </c>
      <c r="H16" s="35">
        <f>SUM(H17:H26)</f>
        <v>8300</v>
      </c>
      <c r="I16" s="716">
        <v>2150</v>
      </c>
      <c r="J16" s="353">
        <v>96</v>
      </c>
      <c r="K16" s="620">
        <f>SUM(K17:K26)</f>
        <v>3000</v>
      </c>
      <c r="L16" s="620">
        <f>SUM(L17:L26)</f>
        <v>0</v>
      </c>
      <c r="M16" s="1064">
        <f>SUM(M17:M26)</f>
        <v>3000</v>
      </c>
      <c r="N16" s="676">
        <f t="shared" si="1"/>
        <v>139.53488372093022</v>
      </c>
    </row>
    <row r="17" spans="1:16" ht="12.95" customHeight="1">
      <c r="B17" s="10"/>
      <c r="C17" s="11"/>
      <c r="D17" s="11"/>
      <c r="E17" s="636">
        <v>613100</v>
      </c>
      <c r="F17" s="662"/>
      <c r="G17" s="11" t="s">
        <v>84</v>
      </c>
      <c r="H17" s="30">
        <v>300</v>
      </c>
      <c r="I17" s="714">
        <v>150</v>
      </c>
      <c r="J17" s="351">
        <v>25</v>
      </c>
      <c r="K17" s="962">
        <v>1000</v>
      </c>
      <c r="L17" s="962">
        <v>0</v>
      </c>
      <c r="M17" s="1062">
        <f t="shared" ref="M17:M26" si="2">SUM(K17:L17)</f>
        <v>1000</v>
      </c>
      <c r="N17" s="677">
        <f t="shared" si="1"/>
        <v>666.66666666666674</v>
      </c>
    </row>
    <row r="18" spans="1:16" ht="12.95" customHeight="1">
      <c r="B18" s="10"/>
      <c r="C18" s="11"/>
      <c r="D18" s="11"/>
      <c r="E18" s="636">
        <v>613200</v>
      </c>
      <c r="F18" s="662"/>
      <c r="G18" s="11" t="s">
        <v>85</v>
      </c>
      <c r="H18" s="30">
        <v>0</v>
      </c>
      <c r="I18" s="714">
        <v>0</v>
      </c>
      <c r="J18" s="351">
        <v>0</v>
      </c>
      <c r="K18" s="962">
        <v>0</v>
      </c>
      <c r="L18" s="962">
        <v>0</v>
      </c>
      <c r="M18" s="1062">
        <f t="shared" si="2"/>
        <v>0</v>
      </c>
      <c r="N18" s="677" t="str">
        <f t="shared" si="1"/>
        <v/>
      </c>
    </row>
    <row r="19" spans="1:16" ht="12.95" customHeight="1">
      <c r="B19" s="10"/>
      <c r="C19" s="11"/>
      <c r="D19" s="11"/>
      <c r="E19" s="636">
        <v>613300</v>
      </c>
      <c r="F19" s="662"/>
      <c r="G19" s="20" t="s">
        <v>206</v>
      </c>
      <c r="H19" s="30">
        <v>0</v>
      </c>
      <c r="I19" s="714">
        <v>0</v>
      </c>
      <c r="J19" s="351">
        <v>0</v>
      </c>
      <c r="K19" s="962">
        <v>0</v>
      </c>
      <c r="L19" s="962">
        <v>0</v>
      </c>
      <c r="M19" s="1062">
        <f t="shared" si="2"/>
        <v>0</v>
      </c>
      <c r="N19" s="677" t="str">
        <f t="shared" si="1"/>
        <v/>
      </c>
    </row>
    <row r="20" spans="1:16" ht="12.95" customHeight="1">
      <c r="B20" s="10"/>
      <c r="C20" s="11"/>
      <c r="D20" s="11"/>
      <c r="E20" s="636">
        <v>613400</v>
      </c>
      <c r="F20" s="662"/>
      <c r="G20" s="11" t="s">
        <v>165</v>
      </c>
      <c r="H20" s="30">
        <v>0</v>
      </c>
      <c r="I20" s="714">
        <v>0</v>
      </c>
      <c r="J20" s="351">
        <v>0</v>
      </c>
      <c r="K20" s="962">
        <v>0</v>
      </c>
      <c r="L20" s="962">
        <v>0</v>
      </c>
      <c r="M20" s="1062">
        <f t="shared" si="2"/>
        <v>0</v>
      </c>
      <c r="N20" s="677" t="str">
        <f t="shared" si="1"/>
        <v/>
      </c>
    </row>
    <row r="21" spans="1:16" ht="12.95" customHeight="1">
      <c r="B21" s="10"/>
      <c r="C21" s="11"/>
      <c r="D21" s="11"/>
      <c r="E21" s="636">
        <v>613500</v>
      </c>
      <c r="F21" s="662"/>
      <c r="G21" s="11" t="s">
        <v>86</v>
      </c>
      <c r="H21" s="30">
        <v>0</v>
      </c>
      <c r="I21" s="714">
        <v>0</v>
      </c>
      <c r="J21" s="351">
        <v>0</v>
      </c>
      <c r="K21" s="962">
        <v>0</v>
      </c>
      <c r="L21" s="962">
        <v>0</v>
      </c>
      <c r="M21" s="1062">
        <f t="shared" si="2"/>
        <v>0</v>
      </c>
      <c r="N21" s="677" t="str">
        <f t="shared" si="1"/>
        <v/>
      </c>
    </row>
    <row r="22" spans="1:16" ht="12.95" customHeight="1">
      <c r="B22" s="10"/>
      <c r="C22" s="11"/>
      <c r="D22" s="11"/>
      <c r="E22" s="636">
        <v>613600</v>
      </c>
      <c r="F22" s="662"/>
      <c r="G22" s="20" t="s">
        <v>207</v>
      </c>
      <c r="H22" s="30">
        <v>0</v>
      </c>
      <c r="I22" s="714">
        <v>0</v>
      </c>
      <c r="J22" s="351">
        <v>0</v>
      </c>
      <c r="K22" s="962">
        <v>0</v>
      </c>
      <c r="L22" s="962">
        <v>0</v>
      </c>
      <c r="M22" s="1062">
        <f t="shared" si="2"/>
        <v>0</v>
      </c>
      <c r="N22" s="677" t="str">
        <f t="shared" si="1"/>
        <v/>
      </c>
    </row>
    <row r="23" spans="1:16" ht="12.95" customHeight="1">
      <c r="B23" s="10"/>
      <c r="C23" s="11"/>
      <c r="D23" s="11"/>
      <c r="E23" s="636">
        <v>613700</v>
      </c>
      <c r="F23" s="662"/>
      <c r="G23" s="11" t="s">
        <v>87</v>
      </c>
      <c r="H23" s="30">
        <v>0</v>
      </c>
      <c r="I23" s="714">
        <v>0</v>
      </c>
      <c r="J23" s="351">
        <v>0</v>
      </c>
      <c r="K23" s="962">
        <v>0</v>
      </c>
      <c r="L23" s="962">
        <v>0</v>
      </c>
      <c r="M23" s="1062">
        <f t="shared" si="2"/>
        <v>0</v>
      </c>
      <c r="N23" s="677" t="str">
        <f t="shared" si="1"/>
        <v/>
      </c>
    </row>
    <row r="24" spans="1:16" ht="12.95" customHeight="1">
      <c r="B24" s="10"/>
      <c r="C24" s="11"/>
      <c r="D24" s="11"/>
      <c r="E24" s="636">
        <v>613800</v>
      </c>
      <c r="F24" s="662"/>
      <c r="G24" s="11" t="s">
        <v>166</v>
      </c>
      <c r="H24" s="30">
        <v>0</v>
      </c>
      <c r="I24" s="714">
        <v>0</v>
      </c>
      <c r="J24" s="351">
        <v>0</v>
      </c>
      <c r="K24" s="962">
        <v>0</v>
      </c>
      <c r="L24" s="962">
        <v>0</v>
      </c>
      <c r="M24" s="1062">
        <f t="shared" si="2"/>
        <v>0</v>
      </c>
      <c r="N24" s="677" t="str">
        <f t="shared" si="1"/>
        <v/>
      </c>
      <c r="P24" s="56"/>
    </row>
    <row r="25" spans="1:16" ht="12.95" customHeight="1">
      <c r="B25" s="10"/>
      <c r="C25" s="11"/>
      <c r="D25" s="11"/>
      <c r="E25" s="636">
        <v>613900</v>
      </c>
      <c r="F25" s="662"/>
      <c r="G25" s="11" t="s">
        <v>167</v>
      </c>
      <c r="H25" s="30">
        <v>8000</v>
      </c>
      <c r="I25" s="714">
        <v>2000</v>
      </c>
      <c r="J25" s="351">
        <v>71</v>
      </c>
      <c r="K25" s="962">
        <v>2000</v>
      </c>
      <c r="L25" s="962">
        <v>0</v>
      </c>
      <c r="M25" s="1062">
        <f t="shared" si="2"/>
        <v>2000</v>
      </c>
      <c r="N25" s="677">
        <f t="shared" si="1"/>
        <v>100</v>
      </c>
    </row>
    <row r="26" spans="1:16" ht="12.95" customHeight="1">
      <c r="B26" s="10"/>
      <c r="C26" s="11"/>
      <c r="D26" s="11"/>
      <c r="E26" s="636">
        <v>613900</v>
      </c>
      <c r="F26" s="662"/>
      <c r="G26" s="229" t="s">
        <v>548</v>
      </c>
      <c r="H26" s="31">
        <v>0</v>
      </c>
      <c r="I26" s="715">
        <v>0</v>
      </c>
      <c r="J26" s="352">
        <v>0</v>
      </c>
      <c r="K26" s="978">
        <v>0</v>
      </c>
      <c r="L26" s="978">
        <v>0</v>
      </c>
      <c r="M26" s="1062">
        <f t="shared" si="2"/>
        <v>0</v>
      </c>
      <c r="N26" s="677" t="str">
        <f t="shared" si="1"/>
        <v/>
      </c>
    </row>
    <row r="27" spans="1:16" s="1" customFormat="1" ht="8.1" customHeight="1">
      <c r="A27" s="608"/>
      <c r="B27" s="12"/>
      <c r="C27" s="8"/>
      <c r="D27" s="8"/>
      <c r="E27" s="646"/>
      <c r="F27" s="673"/>
      <c r="G27" s="8"/>
      <c r="H27" s="30"/>
      <c r="I27" s="714"/>
      <c r="J27" s="351"/>
      <c r="K27" s="593"/>
      <c r="L27" s="593"/>
      <c r="M27" s="1063"/>
      <c r="N27" s="677" t="str">
        <f t="shared" si="1"/>
        <v/>
      </c>
    </row>
    <row r="28" spans="1:16" s="1" customFormat="1" ht="12.95" customHeight="1">
      <c r="A28" s="608"/>
      <c r="B28" s="12"/>
      <c r="C28" s="8"/>
      <c r="D28" s="8"/>
      <c r="E28" s="635">
        <v>821000</v>
      </c>
      <c r="F28" s="661"/>
      <c r="G28" s="8" t="s">
        <v>90</v>
      </c>
      <c r="H28" s="15">
        <f t="shared" ref="H28" si="3">SUM(H29:H30)</f>
        <v>1500</v>
      </c>
      <c r="I28" s="713">
        <v>0</v>
      </c>
      <c r="J28" s="350">
        <v>0</v>
      </c>
      <c r="K28" s="615">
        <f t="shared" ref="K28" si="4">SUM(K29:K30)</f>
        <v>1500</v>
      </c>
      <c r="L28" s="615">
        <f t="shared" ref="L28:M28" si="5">SUM(L29:L30)</f>
        <v>0</v>
      </c>
      <c r="M28" s="1064">
        <f t="shared" si="5"/>
        <v>1500</v>
      </c>
      <c r="N28" s="677" t="str">
        <f t="shared" si="1"/>
        <v/>
      </c>
    </row>
    <row r="29" spans="1:16" ht="12.95" customHeight="1">
      <c r="B29" s="10"/>
      <c r="C29" s="11"/>
      <c r="D29" s="11"/>
      <c r="E29" s="636">
        <v>821200</v>
      </c>
      <c r="F29" s="662"/>
      <c r="G29" s="11" t="s">
        <v>91</v>
      </c>
      <c r="H29" s="57">
        <v>0</v>
      </c>
      <c r="I29" s="717">
        <v>0</v>
      </c>
      <c r="J29" s="354">
        <v>0</v>
      </c>
      <c r="K29" s="595">
        <v>0</v>
      </c>
      <c r="L29" s="595">
        <v>0</v>
      </c>
      <c r="M29" s="1062">
        <f t="shared" ref="M29:M30" si="6">SUM(K29:L29)</f>
        <v>0</v>
      </c>
      <c r="N29" s="677" t="str">
        <f t="shared" si="1"/>
        <v/>
      </c>
    </row>
    <row r="30" spans="1:16" ht="12.95" customHeight="1">
      <c r="B30" s="10"/>
      <c r="C30" s="11"/>
      <c r="D30" s="11"/>
      <c r="E30" s="636">
        <v>821300</v>
      </c>
      <c r="F30" s="662"/>
      <c r="G30" s="11" t="s">
        <v>92</v>
      </c>
      <c r="H30" s="30">
        <v>1500</v>
      </c>
      <c r="I30" s="714">
        <v>0</v>
      </c>
      <c r="J30" s="351">
        <v>0</v>
      </c>
      <c r="K30" s="593">
        <v>1500</v>
      </c>
      <c r="L30" s="593">
        <v>0</v>
      </c>
      <c r="M30" s="1062">
        <f t="shared" si="6"/>
        <v>1500</v>
      </c>
      <c r="N30" s="677" t="str">
        <f t="shared" si="1"/>
        <v/>
      </c>
    </row>
    <row r="31" spans="1:16" ht="8.1" customHeight="1">
      <c r="B31" s="10"/>
      <c r="C31" s="11"/>
      <c r="D31" s="11"/>
      <c r="E31" s="636"/>
      <c r="F31" s="662"/>
      <c r="G31" s="11"/>
      <c r="H31" s="15"/>
      <c r="I31" s="713"/>
      <c r="J31" s="350"/>
      <c r="K31" s="615"/>
      <c r="L31" s="615"/>
      <c r="M31" s="1064"/>
      <c r="N31" s="677" t="str">
        <f t="shared" si="1"/>
        <v/>
      </c>
    </row>
    <row r="32" spans="1:16" s="1" customFormat="1" ht="12.95" customHeight="1">
      <c r="A32" s="608"/>
      <c r="B32" s="12"/>
      <c r="C32" s="8"/>
      <c r="D32" s="8"/>
      <c r="E32" s="635"/>
      <c r="F32" s="661"/>
      <c r="G32" s="8" t="s">
        <v>93</v>
      </c>
      <c r="H32" s="15">
        <v>2</v>
      </c>
      <c r="I32" s="713">
        <v>1</v>
      </c>
      <c r="J32" s="350">
        <v>1</v>
      </c>
      <c r="K32" s="615">
        <v>2</v>
      </c>
      <c r="L32" s="615"/>
      <c r="M32" s="1064">
        <v>2</v>
      </c>
      <c r="N32" s="677"/>
    </row>
    <row r="33" spans="1:14" s="1" customFormat="1" ht="12.95" customHeight="1">
      <c r="A33" s="608"/>
      <c r="B33" s="12"/>
      <c r="C33" s="8"/>
      <c r="D33" s="8"/>
      <c r="E33" s="635"/>
      <c r="F33" s="661"/>
      <c r="G33" s="8" t="s">
        <v>113</v>
      </c>
      <c r="H33" s="15">
        <f>H8+H13+H16+H28</f>
        <v>62070</v>
      </c>
      <c r="I33" s="15">
        <f>I8+I13+I16+I28</f>
        <v>37820</v>
      </c>
      <c r="J33" s="15">
        <f t="shared" ref="J33" si="7">J8+J13+J16+J28</f>
        <v>26261</v>
      </c>
      <c r="K33" s="615">
        <f>K8+K13+K16+K28</f>
        <v>60150</v>
      </c>
      <c r="L33" s="615">
        <f>L8+L13+L16+L28</f>
        <v>0</v>
      </c>
      <c r="M33" s="1064">
        <f>M8+M13+M16+M28</f>
        <v>60150</v>
      </c>
      <c r="N33" s="676">
        <f t="shared" si="1"/>
        <v>159.04283447911158</v>
      </c>
    </row>
    <row r="34" spans="1:14" s="1" customFormat="1" ht="12.95" customHeight="1">
      <c r="A34" s="608"/>
      <c r="B34" s="12"/>
      <c r="C34" s="8"/>
      <c r="D34" s="8"/>
      <c r="E34" s="635"/>
      <c r="F34" s="661"/>
      <c r="G34" s="8" t="s">
        <v>94</v>
      </c>
      <c r="H34" s="15"/>
      <c r="I34" s="15"/>
      <c r="J34" s="15"/>
      <c r="K34" s="615"/>
      <c r="L34" s="615"/>
      <c r="M34" s="1064"/>
      <c r="N34" s="677" t="str">
        <f>IF(I34=0,"",M34/I34*100)</f>
        <v/>
      </c>
    </row>
    <row r="35" spans="1:14" s="1" customFormat="1" ht="12.95" customHeight="1">
      <c r="A35" s="608"/>
      <c r="B35" s="12"/>
      <c r="C35" s="8"/>
      <c r="D35" s="8"/>
      <c r="E35" s="635"/>
      <c r="F35" s="661"/>
      <c r="G35" s="8" t="s">
        <v>95</v>
      </c>
      <c r="H35" s="30"/>
      <c r="I35" s="30"/>
      <c r="J35" s="30"/>
      <c r="K35" s="593"/>
      <c r="L35" s="593"/>
      <c r="M35" s="1063"/>
      <c r="N35" s="677" t="str">
        <f t="shared" si="1"/>
        <v/>
      </c>
    </row>
    <row r="36" spans="1:14" ht="8.1" customHeight="1" thickBot="1">
      <c r="B36" s="16"/>
      <c r="C36" s="17"/>
      <c r="D36" s="17"/>
      <c r="E36" s="637"/>
      <c r="F36" s="663"/>
      <c r="G36" s="17"/>
      <c r="H36" s="17"/>
      <c r="I36" s="17"/>
      <c r="J36" s="17"/>
      <c r="K36" s="17"/>
      <c r="L36" s="17"/>
      <c r="M36" s="1071"/>
      <c r="N36" s="679"/>
    </row>
    <row r="37" spans="1:14" ht="12.95" customHeight="1">
      <c r="E37" s="638"/>
      <c r="F37" s="664"/>
      <c r="M37" s="1068"/>
    </row>
    <row r="38" spans="1:14" ht="12.95" customHeight="1">
      <c r="B38" s="56"/>
      <c r="E38" s="638"/>
      <c r="F38" s="664"/>
      <c r="M38" s="1068"/>
    </row>
    <row r="39" spans="1:14" ht="12.95" customHeight="1">
      <c r="E39" s="638"/>
      <c r="F39" s="664"/>
      <c r="M39" s="1068"/>
    </row>
    <row r="40" spans="1:14" ht="12.95" customHeight="1">
      <c r="E40" s="638"/>
      <c r="F40" s="664"/>
      <c r="M40" s="1068"/>
    </row>
    <row r="41" spans="1:14" ht="12.95" customHeight="1">
      <c r="E41" s="638"/>
      <c r="F41" s="664"/>
      <c r="M41" s="1068"/>
    </row>
    <row r="42" spans="1:14" ht="12.95" customHeight="1">
      <c r="E42" s="638"/>
      <c r="F42" s="664"/>
      <c r="M42" s="1068"/>
    </row>
    <row r="43" spans="1:14" ht="12.95" customHeight="1">
      <c r="E43" s="638"/>
      <c r="F43" s="664"/>
      <c r="M43" s="1068"/>
    </row>
    <row r="44" spans="1:14" ht="12.95" customHeight="1">
      <c r="E44" s="638"/>
      <c r="F44" s="664"/>
      <c r="M44" s="1068"/>
    </row>
    <row r="45" spans="1:14" ht="12.95" customHeight="1">
      <c r="E45" s="638"/>
      <c r="F45" s="664"/>
      <c r="M45" s="1068"/>
    </row>
    <row r="46" spans="1:14" ht="12.95" customHeight="1">
      <c r="E46" s="638"/>
      <c r="F46" s="664"/>
      <c r="M46" s="1068"/>
    </row>
    <row r="47" spans="1:14" ht="12.95" customHeight="1">
      <c r="E47" s="638"/>
      <c r="F47" s="664"/>
      <c r="M47" s="1068"/>
    </row>
    <row r="48" spans="1:14" ht="12.95" customHeight="1">
      <c r="E48" s="638"/>
      <c r="F48" s="664"/>
      <c r="M48" s="1068"/>
    </row>
    <row r="49" spans="5:13" ht="12.95" customHeight="1">
      <c r="E49" s="638"/>
      <c r="F49" s="664"/>
      <c r="M49" s="1068"/>
    </row>
    <row r="50" spans="5:13" ht="12.95" customHeight="1">
      <c r="E50" s="638"/>
      <c r="F50" s="664"/>
      <c r="M50" s="1068"/>
    </row>
    <row r="51" spans="5:13" ht="12.95" customHeight="1">
      <c r="E51" s="638"/>
      <c r="F51" s="664"/>
      <c r="M51" s="1068"/>
    </row>
    <row r="52" spans="5:13" ht="12.95" customHeight="1">
      <c r="E52" s="638"/>
      <c r="F52" s="664"/>
      <c r="M52" s="1068"/>
    </row>
    <row r="53" spans="5:13" ht="12.95" customHeight="1">
      <c r="E53" s="638"/>
      <c r="F53" s="664"/>
      <c r="M53" s="1068"/>
    </row>
    <row r="54" spans="5:13" ht="12.95" customHeight="1">
      <c r="E54" s="638"/>
      <c r="F54" s="664"/>
      <c r="M54" s="1068"/>
    </row>
    <row r="55" spans="5:13" ht="12.95" customHeight="1">
      <c r="E55" s="638"/>
      <c r="F55" s="664"/>
      <c r="M55" s="1068"/>
    </row>
    <row r="56" spans="5:13" ht="12.95" customHeight="1">
      <c r="E56" s="638"/>
      <c r="F56" s="664"/>
      <c r="M56" s="1068"/>
    </row>
    <row r="57" spans="5:13" ht="12.95" customHeight="1">
      <c r="E57" s="638"/>
      <c r="F57" s="664"/>
      <c r="M57" s="1068"/>
    </row>
    <row r="58" spans="5:13" ht="12.95" customHeight="1">
      <c r="E58" s="638"/>
      <c r="F58" s="664"/>
      <c r="M58" s="1068"/>
    </row>
    <row r="59" spans="5:13" ht="12.95" customHeight="1">
      <c r="E59" s="638"/>
      <c r="F59" s="664"/>
      <c r="M59" s="1068"/>
    </row>
    <row r="60" spans="5:13" ht="17.100000000000001" customHeight="1">
      <c r="E60" s="638"/>
      <c r="F60" s="664"/>
      <c r="M60" s="1068"/>
    </row>
    <row r="61" spans="5:13" ht="14.25">
      <c r="E61" s="638"/>
      <c r="F61" s="664"/>
      <c r="M61" s="1068"/>
    </row>
    <row r="62" spans="5:13" ht="14.25">
      <c r="E62" s="638"/>
      <c r="F62" s="664"/>
      <c r="M62" s="1068"/>
    </row>
    <row r="63" spans="5:13" ht="14.25">
      <c r="E63" s="638"/>
      <c r="F63" s="664"/>
      <c r="M63" s="1068"/>
    </row>
    <row r="64" spans="5:13" ht="14.25">
      <c r="E64" s="638"/>
      <c r="F64" s="664"/>
      <c r="M64" s="1068"/>
    </row>
    <row r="65" spans="5:13" ht="14.25">
      <c r="E65" s="638"/>
      <c r="F65" s="664"/>
      <c r="M65" s="1068"/>
    </row>
    <row r="66" spans="5:13" ht="14.25">
      <c r="E66" s="638"/>
      <c r="F66" s="664"/>
      <c r="M66" s="1068"/>
    </row>
    <row r="67" spans="5:13" ht="14.25">
      <c r="E67" s="638"/>
      <c r="F67" s="664"/>
      <c r="M67" s="1068"/>
    </row>
    <row r="68" spans="5:13" ht="14.25">
      <c r="E68" s="638"/>
      <c r="F68" s="664"/>
      <c r="M68" s="1068"/>
    </row>
    <row r="69" spans="5:13" ht="14.25">
      <c r="E69" s="638"/>
      <c r="F69" s="664"/>
      <c r="M69" s="1068"/>
    </row>
    <row r="70" spans="5:13" ht="14.25">
      <c r="E70" s="638"/>
      <c r="F70" s="664"/>
      <c r="M70" s="1068"/>
    </row>
    <row r="71" spans="5:13" ht="14.25">
      <c r="E71" s="638"/>
      <c r="F71" s="664"/>
      <c r="M71" s="1068"/>
    </row>
    <row r="72" spans="5:13" ht="14.25">
      <c r="E72" s="638"/>
      <c r="F72" s="664"/>
      <c r="M72" s="1068"/>
    </row>
    <row r="73" spans="5:13" ht="14.25">
      <c r="E73" s="638"/>
      <c r="F73" s="664"/>
      <c r="M73" s="1068"/>
    </row>
    <row r="74" spans="5:13" ht="14.25">
      <c r="E74" s="638"/>
      <c r="F74" s="638"/>
      <c r="M74" s="1068"/>
    </row>
    <row r="75" spans="5:13" ht="14.25">
      <c r="E75" s="638"/>
      <c r="F75" s="638"/>
      <c r="M75" s="1068"/>
    </row>
    <row r="76" spans="5:13" ht="14.25">
      <c r="E76" s="638"/>
      <c r="F76" s="638"/>
      <c r="M76" s="1068"/>
    </row>
    <row r="77" spans="5:13" ht="14.25">
      <c r="E77" s="638"/>
      <c r="F77" s="638"/>
      <c r="M77" s="1068"/>
    </row>
    <row r="78" spans="5:13" ht="14.25">
      <c r="E78" s="638"/>
      <c r="F78" s="638"/>
      <c r="M78" s="1068"/>
    </row>
    <row r="79" spans="5:13" ht="14.25">
      <c r="E79" s="638"/>
      <c r="F79" s="638"/>
      <c r="M79" s="1068"/>
    </row>
    <row r="80" spans="5:13" ht="14.25">
      <c r="E80" s="638"/>
      <c r="F80" s="638"/>
      <c r="M80" s="1068"/>
    </row>
    <row r="81" spans="5:13" ht="14.25">
      <c r="E81" s="638"/>
      <c r="F81" s="638"/>
      <c r="M81" s="1068"/>
    </row>
    <row r="82" spans="5:13" ht="14.25">
      <c r="E82" s="638"/>
      <c r="F82" s="638"/>
      <c r="M82" s="1068"/>
    </row>
    <row r="83" spans="5:13" ht="14.25">
      <c r="E83" s="638"/>
      <c r="F83" s="638"/>
      <c r="M83" s="1068"/>
    </row>
    <row r="84" spans="5:13" ht="14.25">
      <c r="E84" s="638"/>
      <c r="F84" s="638"/>
      <c r="M84" s="1068"/>
    </row>
    <row r="85" spans="5:13" ht="14.25">
      <c r="E85" s="638"/>
      <c r="F85" s="638"/>
      <c r="M85" s="1068"/>
    </row>
    <row r="86" spans="5:13" ht="14.25">
      <c r="E86" s="638"/>
      <c r="F86" s="638"/>
      <c r="M86" s="1068"/>
    </row>
    <row r="87" spans="5:13" ht="14.25">
      <c r="E87" s="638"/>
      <c r="F87" s="638"/>
      <c r="M87" s="1068"/>
    </row>
    <row r="88" spans="5:13" ht="14.25">
      <c r="E88" s="638"/>
      <c r="F88" s="638"/>
      <c r="M88" s="1068"/>
    </row>
    <row r="89" spans="5:13" ht="14.25">
      <c r="E89" s="638"/>
      <c r="F89" s="638"/>
      <c r="M89" s="1068"/>
    </row>
    <row r="90" spans="5:13" ht="14.25">
      <c r="E90" s="638"/>
      <c r="F90" s="638"/>
      <c r="M90" s="1068"/>
    </row>
    <row r="91" spans="5:13">
      <c r="F91" s="638"/>
    </row>
    <row r="92" spans="5:13">
      <c r="F92" s="638"/>
    </row>
    <row r="93" spans="5:13">
      <c r="F93" s="638"/>
    </row>
    <row r="94" spans="5:13">
      <c r="F94" s="638"/>
    </row>
    <row r="95" spans="5:13">
      <c r="F95" s="638"/>
    </row>
    <row r="96" spans="5:13">
      <c r="F96" s="638"/>
    </row>
  </sheetData>
  <mergeCells count="13">
    <mergeCell ref="N4:N5"/>
    <mergeCell ref="G4:G5"/>
    <mergeCell ref="B2:M2"/>
    <mergeCell ref="G3:H3"/>
    <mergeCell ref="K4:M4"/>
    <mergeCell ref="B4:B5"/>
    <mergeCell ref="C4:C5"/>
    <mergeCell ref="D4:D5"/>
    <mergeCell ref="F4:F5"/>
    <mergeCell ref="E4:E5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2"/>
  <dimension ref="A1:P96"/>
  <sheetViews>
    <sheetView zoomScaleNormal="100" workbookViewId="0">
      <selection activeCell="Q14" sqref="Q14"/>
    </sheetView>
  </sheetViews>
  <sheetFormatPr defaultRowHeight="12.75"/>
  <cols>
    <col min="1" max="1" width="9.140625" style="611"/>
    <col min="2" max="2" width="4.7109375" style="9" customWidth="1"/>
    <col min="3" max="3" width="5.140625" style="9" customWidth="1"/>
    <col min="4" max="4" width="5" style="9" customWidth="1"/>
    <col min="5" max="5" width="8.7109375" style="18" customWidth="1"/>
    <col min="6" max="6" width="8.7109375" style="616" customWidth="1"/>
    <col min="7" max="7" width="50.7109375" style="9" customWidth="1"/>
    <col min="8" max="10" width="14.7109375" style="9" customWidth="1"/>
    <col min="11" max="12" width="14.7109375" style="611" customWidth="1"/>
    <col min="13" max="13" width="15.7109375" style="9" customWidth="1"/>
    <col min="14" max="14" width="7.7109375" style="680" customWidth="1"/>
    <col min="15" max="16384" width="9.140625" style="9"/>
  </cols>
  <sheetData>
    <row r="1" spans="1:16" ht="13.5" thickBot="1"/>
    <row r="2" spans="1:16" s="1052" customFormat="1" ht="20.100000000000001" customHeight="1" thickTop="1" thickBot="1">
      <c r="B2" s="1261" t="s">
        <v>160</v>
      </c>
      <c r="C2" s="1262"/>
      <c r="D2" s="1262"/>
      <c r="E2" s="1262"/>
      <c r="F2" s="1262"/>
      <c r="G2" s="1262"/>
      <c r="H2" s="1262"/>
      <c r="I2" s="1262"/>
      <c r="J2" s="1262"/>
      <c r="K2" s="1262"/>
      <c r="L2" s="1262"/>
      <c r="M2" s="1262"/>
      <c r="N2" s="1056"/>
    </row>
    <row r="3" spans="1:16" s="1" customFormat="1" ht="8.1" customHeight="1" thickTop="1" thickBot="1">
      <c r="A3" s="608"/>
      <c r="E3" s="2"/>
      <c r="F3" s="609"/>
      <c r="G3" s="1264"/>
      <c r="H3" s="1264"/>
      <c r="I3" s="306"/>
      <c r="J3" s="306"/>
      <c r="K3" s="119"/>
      <c r="L3" s="119"/>
      <c r="M3" s="119"/>
      <c r="N3" s="674"/>
    </row>
    <row r="4" spans="1:16" s="1" customFormat="1" ht="39" customHeight="1">
      <c r="A4" s="608"/>
      <c r="B4" s="1268" t="s">
        <v>78</v>
      </c>
      <c r="C4" s="1280" t="s">
        <v>79</v>
      </c>
      <c r="D4" s="1281" t="s">
        <v>110</v>
      </c>
      <c r="E4" s="1282" t="s">
        <v>615</v>
      </c>
      <c r="F4" s="1273" t="s">
        <v>695</v>
      </c>
      <c r="G4" s="1274" t="s">
        <v>80</v>
      </c>
      <c r="H4" s="1283" t="s">
        <v>614</v>
      </c>
      <c r="I4" s="1284" t="s">
        <v>747</v>
      </c>
      <c r="J4" s="1283" t="s">
        <v>667</v>
      </c>
      <c r="K4" s="1265" t="s">
        <v>682</v>
      </c>
      <c r="L4" s="1266"/>
      <c r="M4" s="1267"/>
      <c r="N4" s="1278" t="s">
        <v>756</v>
      </c>
    </row>
    <row r="5" spans="1:16" s="608" customFormat="1" ht="27" customHeight="1">
      <c r="B5" s="1269"/>
      <c r="C5" s="1271"/>
      <c r="D5" s="1271"/>
      <c r="E5" s="1275"/>
      <c r="F5" s="1271"/>
      <c r="G5" s="1275"/>
      <c r="H5" s="1275"/>
      <c r="I5" s="1275"/>
      <c r="J5" s="1275"/>
      <c r="K5" s="1048" t="s">
        <v>753</v>
      </c>
      <c r="L5" s="1048" t="s">
        <v>754</v>
      </c>
      <c r="M5" s="1059" t="s">
        <v>426</v>
      </c>
      <c r="N5" s="1279"/>
    </row>
    <row r="6" spans="1:16" s="2" customFormat="1" ht="12.95" customHeight="1">
      <c r="A6" s="609"/>
      <c r="B6" s="1181">
        <v>1</v>
      </c>
      <c r="C6" s="661">
        <v>2</v>
      </c>
      <c r="D6" s="661">
        <v>3</v>
      </c>
      <c r="E6" s="661">
        <v>4</v>
      </c>
      <c r="F6" s="661">
        <v>5</v>
      </c>
      <c r="G6" s="661">
        <v>6</v>
      </c>
      <c r="H6" s="661">
        <v>7</v>
      </c>
      <c r="I6" s="661">
        <v>8</v>
      </c>
      <c r="J6" s="661">
        <v>9</v>
      </c>
      <c r="K6" s="661">
        <v>10</v>
      </c>
      <c r="L6" s="661">
        <v>11</v>
      </c>
      <c r="M6" s="1201" t="s">
        <v>755</v>
      </c>
      <c r="N6" s="1183">
        <v>13</v>
      </c>
    </row>
    <row r="7" spans="1:16" s="2" customFormat="1" ht="12.95" customHeight="1">
      <c r="A7" s="609"/>
      <c r="B7" s="6" t="s">
        <v>119</v>
      </c>
      <c r="C7" s="7" t="s">
        <v>81</v>
      </c>
      <c r="D7" s="7" t="s">
        <v>125</v>
      </c>
      <c r="E7" s="5"/>
      <c r="F7" s="610"/>
      <c r="G7" s="5"/>
      <c r="H7" s="5"/>
      <c r="I7" s="5"/>
      <c r="J7" s="5"/>
      <c r="K7" s="610"/>
      <c r="L7" s="610"/>
      <c r="M7" s="1060"/>
      <c r="N7" s="675"/>
    </row>
    <row r="8" spans="1:16" s="1" customFormat="1" ht="12.95" customHeight="1">
      <c r="A8" s="608"/>
      <c r="B8" s="12"/>
      <c r="C8" s="8"/>
      <c r="D8" s="8"/>
      <c r="E8" s="635">
        <v>611000</v>
      </c>
      <c r="F8" s="661"/>
      <c r="G8" s="8" t="s">
        <v>163</v>
      </c>
      <c r="H8" s="256">
        <f>SUM(H9:H12)</f>
        <v>75970</v>
      </c>
      <c r="I8" s="726">
        <v>75410</v>
      </c>
      <c r="J8" s="363">
        <v>55200</v>
      </c>
      <c r="K8" s="256">
        <f>SUM(K9:K12)</f>
        <v>75630</v>
      </c>
      <c r="L8" s="256">
        <f>SUM(L9:L12)</f>
        <v>0</v>
      </c>
      <c r="M8" s="1061">
        <f>SUM(M9:M12)</f>
        <v>75630</v>
      </c>
      <c r="N8" s="676">
        <f>IF(I8=0,"",M8/I8*100)</f>
        <v>100.29173849622066</v>
      </c>
    </row>
    <row r="9" spans="1:16" ht="12.95" customHeight="1">
      <c r="B9" s="10"/>
      <c r="C9" s="11"/>
      <c r="D9" s="11"/>
      <c r="E9" s="636">
        <v>611100</v>
      </c>
      <c r="F9" s="662"/>
      <c r="G9" s="20" t="s">
        <v>204</v>
      </c>
      <c r="H9" s="255">
        <f>61870+1000+1860</f>
        <v>64730</v>
      </c>
      <c r="I9" s="725">
        <v>63900</v>
      </c>
      <c r="J9" s="362">
        <v>47092</v>
      </c>
      <c r="K9" s="255">
        <f>64800+250</f>
        <v>65050</v>
      </c>
      <c r="L9" s="255">
        <v>0</v>
      </c>
      <c r="M9" s="1062">
        <f>SUM(K9:L9)</f>
        <v>65050</v>
      </c>
      <c r="N9" s="677">
        <f>IF(I9=0,"",M9/I9*100)</f>
        <v>101.79968701095461</v>
      </c>
      <c r="O9" s="64"/>
    </row>
    <row r="10" spans="1:16" ht="12.95" customHeight="1">
      <c r="B10" s="10"/>
      <c r="C10" s="11"/>
      <c r="D10" s="11"/>
      <c r="E10" s="636">
        <v>611200</v>
      </c>
      <c r="F10" s="662"/>
      <c r="G10" s="11" t="s">
        <v>205</v>
      </c>
      <c r="H10" s="255">
        <f>10440+800</f>
        <v>11240</v>
      </c>
      <c r="I10" s="725">
        <v>11510</v>
      </c>
      <c r="J10" s="362">
        <v>8108</v>
      </c>
      <c r="K10" s="255">
        <f>10480+100</f>
        <v>10580</v>
      </c>
      <c r="L10" s="255">
        <v>0</v>
      </c>
      <c r="M10" s="1062">
        <f t="shared" ref="M10:M11" si="0">SUM(K10:L10)</f>
        <v>10580</v>
      </c>
      <c r="N10" s="677">
        <f t="shared" ref="N10:N35" si="1">IF(I10=0,"",M10/I10*100)</f>
        <v>91.920069504778454</v>
      </c>
      <c r="O10" s="68"/>
    </row>
    <row r="11" spans="1:16" ht="12.95" customHeight="1">
      <c r="B11" s="10"/>
      <c r="C11" s="11"/>
      <c r="D11" s="11"/>
      <c r="E11" s="636">
        <v>611200</v>
      </c>
      <c r="F11" s="662"/>
      <c r="G11" s="229" t="s">
        <v>547</v>
      </c>
      <c r="H11" s="255">
        <v>0</v>
      </c>
      <c r="I11" s="725">
        <v>0</v>
      </c>
      <c r="J11" s="362">
        <v>0</v>
      </c>
      <c r="K11" s="255">
        <v>0</v>
      </c>
      <c r="L11" s="255">
        <v>0</v>
      </c>
      <c r="M11" s="1062">
        <f t="shared" si="0"/>
        <v>0</v>
      </c>
      <c r="N11" s="677" t="str">
        <f t="shared" si="1"/>
        <v/>
      </c>
      <c r="P11" s="63"/>
    </row>
    <row r="12" spans="1:16" ht="8.1" customHeight="1">
      <c r="B12" s="10"/>
      <c r="C12" s="11"/>
      <c r="D12" s="11"/>
      <c r="E12" s="636"/>
      <c r="F12" s="662"/>
      <c r="G12" s="20"/>
      <c r="H12" s="255"/>
      <c r="I12" s="725"/>
      <c r="J12" s="362"/>
      <c r="K12" s="255"/>
      <c r="L12" s="255"/>
      <c r="M12" s="1062"/>
      <c r="N12" s="677" t="str">
        <f t="shared" si="1"/>
        <v/>
      </c>
    </row>
    <row r="13" spans="1:16" s="1" customFormat="1" ht="12.95" customHeight="1">
      <c r="A13" s="608"/>
      <c r="B13" s="12"/>
      <c r="C13" s="8"/>
      <c r="D13" s="8"/>
      <c r="E13" s="635">
        <v>612000</v>
      </c>
      <c r="F13" s="661"/>
      <c r="G13" s="8" t="s">
        <v>162</v>
      </c>
      <c r="H13" s="256">
        <f>H14</f>
        <v>7000</v>
      </c>
      <c r="I13" s="726">
        <v>6860</v>
      </c>
      <c r="J13" s="363">
        <v>5010</v>
      </c>
      <c r="K13" s="256">
        <f>K14</f>
        <v>6940</v>
      </c>
      <c r="L13" s="256">
        <f>L14</f>
        <v>0</v>
      </c>
      <c r="M13" s="1061">
        <f>M14</f>
        <v>6940</v>
      </c>
      <c r="N13" s="676">
        <f t="shared" si="1"/>
        <v>101.16618075801749</v>
      </c>
    </row>
    <row r="14" spans="1:16" ht="12.95" customHeight="1">
      <c r="B14" s="10"/>
      <c r="C14" s="11"/>
      <c r="D14" s="11"/>
      <c r="E14" s="636">
        <v>612100</v>
      </c>
      <c r="F14" s="662"/>
      <c r="G14" s="13" t="s">
        <v>83</v>
      </c>
      <c r="H14" s="255">
        <f>6600+200+200</f>
        <v>7000</v>
      </c>
      <c r="I14" s="725">
        <v>6860</v>
      </c>
      <c r="J14" s="362">
        <v>5010</v>
      </c>
      <c r="K14" s="255">
        <f>6900+40</f>
        <v>6940</v>
      </c>
      <c r="L14" s="255">
        <v>0</v>
      </c>
      <c r="M14" s="1062">
        <f>SUM(K14:L14)</f>
        <v>6940</v>
      </c>
      <c r="N14" s="677">
        <f t="shared" si="1"/>
        <v>101.16618075801749</v>
      </c>
    </row>
    <row r="15" spans="1:16" ht="8.1" customHeight="1">
      <c r="B15" s="10"/>
      <c r="C15" s="11"/>
      <c r="D15" s="11"/>
      <c r="E15" s="636"/>
      <c r="F15" s="662"/>
      <c r="G15" s="11"/>
      <c r="H15" s="30"/>
      <c r="I15" s="720"/>
      <c r="J15" s="357"/>
      <c r="K15" s="593"/>
      <c r="L15" s="593"/>
      <c r="M15" s="1063"/>
      <c r="N15" s="677" t="str">
        <f t="shared" si="1"/>
        <v/>
      </c>
    </row>
    <row r="16" spans="1:16" s="1" customFormat="1" ht="12.95" customHeight="1">
      <c r="A16" s="608"/>
      <c r="B16" s="12"/>
      <c r="C16" s="8"/>
      <c r="D16" s="8"/>
      <c r="E16" s="635">
        <v>613000</v>
      </c>
      <c r="F16" s="661"/>
      <c r="G16" s="8" t="s">
        <v>164</v>
      </c>
      <c r="H16" s="35">
        <f>SUM(H17:H26)</f>
        <v>5900</v>
      </c>
      <c r="I16" s="721">
        <v>6000</v>
      </c>
      <c r="J16" s="358">
        <v>2541</v>
      </c>
      <c r="K16" s="620">
        <f>SUM(K17:K26)</f>
        <v>6300</v>
      </c>
      <c r="L16" s="620">
        <f>SUM(L17:L26)</f>
        <v>0</v>
      </c>
      <c r="M16" s="1064">
        <f>SUM(M17:M26)</f>
        <v>6300</v>
      </c>
      <c r="N16" s="676">
        <f t="shared" si="1"/>
        <v>105</v>
      </c>
    </row>
    <row r="17" spans="1:14" ht="12.95" customHeight="1">
      <c r="B17" s="10"/>
      <c r="C17" s="11"/>
      <c r="D17" s="11"/>
      <c r="E17" s="636">
        <v>613100</v>
      </c>
      <c r="F17" s="662"/>
      <c r="G17" s="11" t="s">
        <v>84</v>
      </c>
      <c r="H17" s="57">
        <v>1000</v>
      </c>
      <c r="I17" s="722">
        <v>850</v>
      </c>
      <c r="J17" s="359">
        <v>703</v>
      </c>
      <c r="K17" s="982">
        <v>1500</v>
      </c>
      <c r="L17" s="982">
        <v>0</v>
      </c>
      <c r="M17" s="1062">
        <f t="shared" ref="M17:M26" si="2">SUM(K17:L17)</f>
        <v>1500</v>
      </c>
      <c r="N17" s="677">
        <f t="shared" si="1"/>
        <v>176.47058823529412</v>
      </c>
    </row>
    <row r="18" spans="1:14" ht="12.95" customHeight="1">
      <c r="B18" s="10"/>
      <c r="C18" s="11"/>
      <c r="D18" s="11"/>
      <c r="E18" s="636">
        <v>613200</v>
      </c>
      <c r="F18" s="662"/>
      <c r="G18" s="11" t="s">
        <v>85</v>
      </c>
      <c r="H18" s="30">
        <v>0</v>
      </c>
      <c r="I18" s="720">
        <v>0</v>
      </c>
      <c r="J18" s="357">
        <v>0</v>
      </c>
      <c r="K18" s="962">
        <v>0</v>
      </c>
      <c r="L18" s="962">
        <v>0</v>
      </c>
      <c r="M18" s="1062">
        <f t="shared" si="2"/>
        <v>0</v>
      </c>
      <c r="N18" s="677" t="str">
        <f t="shared" si="1"/>
        <v/>
      </c>
    </row>
    <row r="19" spans="1:14" ht="12.95" customHeight="1">
      <c r="B19" s="10"/>
      <c r="C19" s="11"/>
      <c r="D19" s="11"/>
      <c r="E19" s="636">
        <v>613300</v>
      </c>
      <c r="F19" s="662"/>
      <c r="G19" s="20" t="s">
        <v>206</v>
      </c>
      <c r="H19" s="30">
        <v>2500</v>
      </c>
      <c r="I19" s="720">
        <v>2500</v>
      </c>
      <c r="J19" s="357">
        <v>1285</v>
      </c>
      <c r="K19" s="962">
        <v>2500</v>
      </c>
      <c r="L19" s="962">
        <v>0</v>
      </c>
      <c r="M19" s="1062">
        <f t="shared" si="2"/>
        <v>2500</v>
      </c>
      <c r="N19" s="677">
        <f t="shared" si="1"/>
        <v>100</v>
      </c>
    </row>
    <row r="20" spans="1:14" ht="12.95" customHeight="1">
      <c r="B20" s="10"/>
      <c r="C20" s="11"/>
      <c r="D20" s="11"/>
      <c r="E20" s="636">
        <v>613400</v>
      </c>
      <c r="F20" s="662"/>
      <c r="G20" s="11" t="s">
        <v>165</v>
      </c>
      <c r="H20" s="57">
        <v>500</v>
      </c>
      <c r="I20" s="722">
        <v>100</v>
      </c>
      <c r="J20" s="359">
        <v>0</v>
      </c>
      <c r="K20" s="982">
        <v>300</v>
      </c>
      <c r="L20" s="982">
        <v>0</v>
      </c>
      <c r="M20" s="1062">
        <f t="shared" si="2"/>
        <v>300</v>
      </c>
      <c r="N20" s="677">
        <f t="shared" si="1"/>
        <v>300</v>
      </c>
    </row>
    <row r="21" spans="1:14" ht="12.95" customHeight="1">
      <c r="B21" s="10"/>
      <c r="C21" s="11"/>
      <c r="D21" s="11"/>
      <c r="E21" s="636">
        <v>613500</v>
      </c>
      <c r="F21" s="662"/>
      <c r="G21" s="11" t="s">
        <v>86</v>
      </c>
      <c r="H21" s="30">
        <v>0</v>
      </c>
      <c r="I21" s="720">
        <v>0</v>
      </c>
      <c r="J21" s="357">
        <v>0</v>
      </c>
      <c r="K21" s="962">
        <v>0</v>
      </c>
      <c r="L21" s="962">
        <v>0</v>
      </c>
      <c r="M21" s="1062">
        <f t="shared" si="2"/>
        <v>0</v>
      </c>
      <c r="N21" s="677" t="str">
        <f t="shared" si="1"/>
        <v/>
      </c>
    </row>
    <row r="22" spans="1:14" ht="12.95" customHeight="1">
      <c r="B22" s="10"/>
      <c r="C22" s="11"/>
      <c r="D22" s="11"/>
      <c r="E22" s="636">
        <v>613600</v>
      </c>
      <c r="F22" s="662"/>
      <c r="G22" s="20" t="s">
        <v>207</v>
      </c>
      <c r="H22" s="30">
        <v>0</v>
      </c>
      <c r="I22" s="720">
        <v>0</v>
      </c>
      <c r="J22" s="357">
        <v>0</v>
      </c>
      <c r="K22" s="962">
        <v>0</v>
      </c>
      <c r="L22" s="962">
        <v>0</v>
      </c>
      <c r="M22" s="1062">
        <f t="shared" si="2"/>
        <v>0</v>
      </c>
      <c r="N22" s="677" t="str">
        <f t="shared" si="1"/>
        <v/>
      </c>
    </row>
    <row r="23" spans="1:14" ht="12.95" customHeight="1">
      <c r="B23" s="10"/>
      <c r="C23" s="11"/>
      <c r="D23" s="11"/>
      <c r="E23" s="636">
        <v>613700</v>
      </c>
      <c r="F23" s="662"/>
      <c r="G23" s="11" t="s">
        <v>87</v>
      </c>
      <c r="H23" s="30">
        <v>400</v>
      </c>
      <c r="I23" s="720">
        <v>0</v>
      </c>
      <c r="J23" s="357">
        <v>0</v>
      </c>
      <c r="K23" s="962">
        <v>0</v>
      </c>
      <c r="L23" s="962">
        <v>0</v>
      </c>
      <c r="M23" s="1062">
        <f t="shared" si="2"/>
        <v>0</v>
      </c>
      <c r="N23" s="677" t="str">
        <f t="shared" si="1"/>
        <v/>
      </c>
    </row>
    <row r="24" spans="1:14" ht="12.95" customHeight="1">
      <c r="B24" s="10"/>
      <c r="C24" s="11"/>
      <c r="D24" s="11"/>
      <c r="E24" s="636">
        <v>613800</v>
      </c>
      <c r="F24" s="662"/>
      <c r="G24" s="11" t="s">
        <v>166</v>
      </c>
      <c r="H24" s="30">
        <v>0</v>
      </c>
      <c r="I24" s="720">
        <v>0</v>
      </c>
      <c r="J24" s="357">
        <v>0</v>
      </c>
      <c r="K24" s="962">
        <v>0</v>
      </c>
      <c r="L24" s="962">
        <v>0</v>
      </c>
      <c r="M24" s="1062">
        <f t="shared" si="2"/>
        <v>0</v>
      </c>
      <c r="N24" s="677" t="str">
        <f t="shared" si="1"/>
        <v/>
      </c>
    </row>
    <row r="25" spans="1:14" ht="12.95" customHeight="1">
      <c r="B25" s="10"/>
      <c r="C25" s="11"/>
      <c r="D25" s="11"/>
      <c r="E25" s="636">
        <v>613900</v>
      </c>
      <c r="F25" s="662"/>
      <c r="G25" s="11" t="s">
        <v>167</v>
      </c>
      <c r="H25" s="57">
        <v>1500</v>
      </c>
      <c r="I25" s="722">
        <v>2550</v>
      </c>
      <c r="J25" s="359">
        <v>553</v>
      </c>
      <c r="K25" s="982">
        <v>2000</v>
      </c>
      <c r="L25" s="982">
        <v>0</v>
      </c>
      <c r="M25" s="1062">
        <f t="shared" si="2"/>
        <v>2000</v>
      </c>
      <c r="N25" s="677">
        <f t="shared" si="1"/>
        <v>78.431372549019613</v>
      </c>
    </row>
    <row r="26" spans="1:14" ht="12.95" customHeight="1">
      <c r="B26" s="10"/>
      <c r="C26" s="11"/>
      <c r="D26" s="11"/>
      <c r="E26" s="636">
        <v>613900</v>
      </c>
      <c r="F26" s="662"/>
      <c r="G26" s="229" t="s">
        <v>548</v>
      </c>
      <c r="H26" s="88">
        <v>0</v>
      </c>
      <c r="I26" s="724">
        <v>0</v>
      </c>
      <c r="J26" s="361">
        <v>0</v>
      </c>
      <c r="K26" s="984">
        <v>0</v>
      </c>
      <c r="L26" s="984">
        <v>0</v>
      </c>
      <c r="M26" s="1062">
        <f t="shared" si="2"/>
        <v>0</v>
      </c>
      <c r="N26" s="677" t="str">
        <f t="shared" si="1"/>
        <v/>
      </c>
    </row>
    <row r="27" spans="1:14" s="1" customFormat="1" ht="8.1" customHeight="1">
      <c r="A27" s="608"/>
      <c r="B27" s="12"/>
      <c r="C27" s="8"/>
      <c r="D27" s="8"/>
      <c r="E27" s="646"/>
      <c r="F27" s="673"/>
      <c r="G27" s="8"/>
      <c r="H27" s="57"/>
      <c r="I27" s="722"/>
      <c r="J27" s="359"/>
      <c r="K27" s="595"/>
      <c r="L27" s="595"/>
      <c r="M27" s="1063"/>
      <c r="N27" s="677" t="str">
        <f t="shared" si="1"/>
        <v/>
      </c>
    </row>
    <row r="28" spans="1:14" s="1" customFormat="1" ht="12.95" customHeight="1">
      <c r="A28" s="608"/>
      <c r="B28" s="12"/>
      <c r="C28" s="8"/>
      <c r="D28" s="8"/>
      <c r="E28" s="635">
        <v>821000</v>
      </c>
      <c r="F28" s="661"/>
      <c r="G28" s="8" t="s">
        <v>90</v>
      </c>
      <c r="H28" s="79">
        <f>SUM(H29:H30)</f>
        <v>1500</v>
      </c>
      <c r="I28" s="723">
        <v>1500</v>
      </c>
      <c r="J28" s="360">
        <v>0</v>
      </c>
      <c r="K28" s="622">
        <f>SUM(K29:K30)</f>
        <v>1500</v>
      </c>
      <c r="L28" s="622">
        <f>SUM(L29:L30)</f>
        <v>0</v>
      </c>
      <c r="M28" s="1064">
        <f>SUM(M29:M30)</f>
        <v>1500</v>
      </c>
      <c r="N28" s="676">
        <f t="shared" si="1"/>
        <v>100</v>
      </c>
    </row>
    <row r="29" spans="1:14" ht="12.95" customHeight="1">
      <c r="B29" s="10"/>
      <c r="C29" s="11"/>
      <c r="D29" s="11"/>
      <c r="E29" s="636">
        <v>821200</v>
      </c>
      <c r="F29" s="662"/>
      <c r="G29" s="11" t="s">
        <v>91</v>
      </c>
      <c r="H29" s="57">
        <v>0</v>
      </c>
      <c r="I29" s="722">
        <v>0</v>
      </c>
      <c r="J29" s="359">
        <v>0</v>
      </c>
      <c r="K29" s="595">
        <v>0</v>
      </c>
      <c r="L29" s="595">
        <v>0</v>
      </c>
      <c r="M29" s="1062">
        <f t="shared" ref="M29:M30" si="3">SUM(K29:L29)</f>
        <v>0</v>
      </c>
      <c r="N29" s="677" t="str">
        <f t="shared" si="1"/>
        <v/>
      </c>
    </row>
    <row r="30" spans="1:14" ht="12.95" customHeight="1">
      <c r="B30" s="10"/>
      <c r="C30" s="11"/>
      <c r="D30" s="11"/>
      <c r="E30" s="636">
        <v>821300</v>
      </c>
      <c r="F30" s="662"/>
      <c r="G30" s="11" t="s">
        <v>92</v>
      </c>
      <c r="H30" s="57">
        <v>1500</v>
      </c>
      <c r="I30" s="722">
        <v>1500</v>
      </c>
      <c r="J30" s="359">
        <v>0</v>
      </c>
      <c r="K30" s="595">
        <v>1500</v>
      </c>
      <c r="L30" s="595">
        <v>0</v>
      </c>
      <c r="M30" s="1062">
        <f t="shared" si="3"/>
        <v>1500</v>
      </c>
      <c r="N30" s="677">
        <f t="shared" si="1"/>
        <v>100</v>
      </c>
    </row>
    <row r="31" spans="1:14" ht="8.1" customHeight="1">
      <c r="B31" s="10"/>
      <c r="C31" s="11"/>
      <c r="D31" s="11"/>
      <c r="E31" s="636"/>
      <c r="F31" s="662"/>
      <c r="G31" s="11"/>
      <c r="H31" s="30"/>
      <c r="I31" s="720"/>
      <c r="J31" s="357"/>
      <c r="K31" s="593"/>
      <c r="L31" s="593"/>
      <c r="M31" s="1063"/>
      <c r="N31" s="677" t="str">
        <f t="shared" si="1"/>
        <v/>
      </c>
    </row>
    <row r="32" spans="1:14" s="1" customFormat="1" ht="12.95" customHeight="1">
      <c r="A32" s="608"/>
      <c r="B32" s="12"/>
      <c r="C32" s="8"/>
      <c r="D32" s="8"/>
      <c r="E32" s="635"/>
      <c r="F32" s="661"/>
      <c r="G32" s="8" t="s">
        <v>93</v>
      </c>
      <c r="H32" s="79">
        <v>3</v>
      </c>
      <c r="I32" s="723">
        <v>3</v>
      </c>
      <c r="J32" s="360">
        <v>3</v>
      </c>
      <c r="K32" s="622">
        <v>3</v>
      </c>
      <c r="L32" s="622"/>
      <c r="M32" s="1064">
        <v>3</v>
      </c>
      <c r="N32" s="677"/>
    </row>
    <row r="33" spans="1:14" s="1" customFormat="1" ht="12.95" customHeight="1">
      <c r="A33" s="608"/>
      <c r="B33" s="12"/>
      <c r="C33" s="8"/>
      <c r="D33" s="8"/>
      <c r="E33" s="635"/>
      <c r="F33" s="661"/>
      <c r="G33" s="8" t="s">
        <v>113</v>
      </c>
      <c r="H33" s="15">
        <f>H8+H13+H16+H28</f>
        <v>90370</v>
      </c>
      <c r="I33" s="15">
        <f>I8+I13+I16+I28</f>
        <v>89770</v>
      </c>
      <c r="J33" s="15">
        <f t="shared" ref="J33" si="4">J8+J13+J16+J28</f>
        <v>62751</v>
      </c>
      <c r="K33" s="615">
        <f>K8+K13+K16+K28</f>
        <v>90370</v>
      </c>
      <c r="L33" s="615">
        <f>L8+L13+L16+L28</f>
        <v>0</v>
      </c>
      <c r="M33" s="1064">
        <f>M8+M13+M16+M28</f>
        <v>90370</v>
      </c>
      <c r="N33" s="676">
        <f t="shared" si="1"/>
        <v>100.66837473543499</v>
      </c>
    </row>
    <row r="34" spans="1:14" s="1" customFormat="1" ht="12.95" customHeight="1">
      <c r="A34" s="608"/>
      <c r="B34" s="12"/>
      <c r="C34" s="8"/>
      <c r="D34" s="8"/>
      <c r="E34" s="635"/>
      <c r="F34" s="661"/>
      <c r="G34" s="8" t="s">
        <v>94</v>
      </c>
      <c r="H34" s="15"/>
      <c r="I34" s="15"/>
      <c r="J34" s="15"/>
      <c r="K34" s="615"/>
      <c r="L34" s="615"/>
      <c r="M34" s="1064"/>
      <c r="N34" s="677" t="str">
        <f>IF(I34=0,"",M34/I34*100)</f>
        <v/>
      </c>
    </row>
    <row r="35" spans="1:14" s="1" customFormat="1" ht="12.95" customHeight="1">
      <c r="A35" s="608"/>
      <c r="B35" s="12"/>
      <c r="C35" s="8"/>
      <c r="D35" s="8"/>
      <c r="E35" s="635"/>
      <c r="F35" s="661"/>
      <c r="G35" s="8" t="s">
        <v>95</v>
      </c>
      <c r="H35" s="15"/>
      <c r="I35" s="15"/>
      <c r="J35" s="15"/>
      <c r="K35" s="615"/>
      <c r="L35" s="615"/>
      <c r="M35" s="1064"/>
      <c r="N35" s="677" t="str">
        <f t="shared" si="1"/>
        <v/>
      </c>
    </row>
    <row r="36" spans="1:14" ht="8.1" customHeight="1" thickBot="1">
      <c r="B36" s="16"/>
      <c r="C36" s="17"/>
      <c r="D36" s="17"/>
      <c r="E36" s="637"/>
      <c r="F36" s="663"/>
      <c r="G36" s="17"/>
      <c r="H36" s="17"/>
      <c r="I36" s="17"/>
      <c r="J36" s="17"/>
      <c r="K36" s="17"/>
      <c r="L36" s="17"/>
      <c r="M36" s="1071"/>
      <c r="N36" s="679"/>
    </row>
    <row r="37" spans="1:14" ht="12.95" customHeight="1">
      <c r="E37" s="638"/>
      <c r="F37" s="664"/>
      <c r="M37" s="1068"/>
    </row>
    <row r="38" spans="1:14" ht="12.95" customHeight="1">
      <c r="B38" s="56"/>
      <c r="E38" s="638"/>
      <c r="F38" s="664"/>
      <c r="M38" s="1068"/>
    </row>
    <row r="39" spans="1:14" ht="12.95" customHeight="1">
      <c r="B39" s="56"/>
      <c r="E39" s="638"/>
      <c r="F39" s="664"/>
      <c r="M39" s="1068"/>
    </row>
    <row r="40" spans="1:14" ht="12.95" customHeight="1">
      <c r="B40" s="56"/>
      <c r="E40" s="638"/>
      <c r="F40" s="664"/>
      <c r="M40" s="1068"/>
    </row>
    <row r="41" spans="1:14" ht="12.95" customHeight="1">
      <c r="B41" s="56"/>
      <c r="E41" s="638"/>
      <c r="F41" s="664"/>
      <c r="M41" s="1068"/>
    </row>
    <row r="42" spans="1:14" ht="12.95" customHeight="1">
      <c r="E42" s="638"/>
      <c r="F42" s="664"/>
      <c r="M42" s="1068"/>
    </row>
    <row r="43" spans="1:14" ht="12.95" customHeight="1">
      <c r="E43" s="638"/>
      <c r="F43" s="664"/>
      <c r="M43" s="1068"/>
    </row>
    <row r="44" spans="1:14" ht="12.95" customHeight="1">
      <c r="E44" s="638"/>
      <c r="F44" s="664"/>
      <c r="M44" s="1068"/>
    </row>
    <row r="45" spans="1:14" ht="12.95" customHeight="1">
      <c r="E45" s="638"/>
      <c r="F45" s="664"/>
      <c r="M45" s="1068"/>
    </row>
    <row r="46" spans="1:14" ht="12.95" customHeight="1">
      <c r="E46" s="638"/>
      <c r="F46" s="664"/>
      <c r="M46" s="1068"/>
    </row>
    <row r="47" spans="1:14" ht="12.95" customHeight="1">
      <c r="E47" s="638"/>
      <c r="F47" s="664"/>
      <c r="M47" s="1068"/>
    </row>
    <row r="48" spans="1:14" ht="12.95" customHeight="1">
      <c r="E48" s="638"/>
      <c r="F48" s="664"/>
      <c r="M48" s="1068"/>
    </row>
    <row r="49" spans="5:13" ht="12.95" customHeight="1">
      <c r="E49" s="638"/>
      <c r="F49" s="664"/>
      <c r="M49" s="1068"/>
    </row>
    <row r="50" spans="5:13" ht="12.95" customHeight="1">
      <c r="E50" s="638"/>
      <c r="F50" s="664"/>
      <c r="M50" s="1068"/>
    </row>
    <row r="51" spans="5:13" ht="12.95" customHeight="1">
      <c r="E51" s="638"/>
      <c r="F51" s="664"/>
      <c r="M51" s="1068"/>
    </row>
    <row r="52" spans="5:13" ht="12.95" customHeight="1">
      <c r="E52" s="638"/>
      <c r="F52" s="664"/>
      <c r="M52" s="1068"/>
    </row>
    <row r="53" spans="5:13" ht="12.95" customHeight="1">
      <c r="E53" s="638"/>
      <c r="F53" s="664"/>
      <c r="M53" s="1068"/>
    </row>
    <row r="54" spans="5:13" ht="12.95" customHeight="1">
      <c r="E54" s="638"/>
      <c r="F54" s="664"/>
      <c r="M54" s="1068"/>
    </row>
    <row r="55" spans="5:13" ht="12.95" customHeight="1">
      <c r="E55" s="638"/>
      <c r="F55" s="664"/>
      <c r="M55" s="1068"/>
    </row>
    <row r="56" spans="5:13" ht="12.95" customHeight="1">
      <c r="E56" s="638"/>
      <c r="F56" s="664"/>
      <c r="M56" s="1068"/>
    </row>
    <row r="57" spans="5:13" ht="12.95" customHeight="1">
      <c r="E57" s="638"/>
      <c r="F57" s="664"/>
      <c r="M57" s="1068"/>
    </row>
    <row r="58" spans="5:13" ht="12.95" customHeight="1">
      <c r="E58" s="638"/>
      <c r="F58" s="664"/>
      <c r="M58" s="1068"/>
    </row>
    <row r="59" spans="5:13" ht="12.95" customHeight="1">
      <c r="E59" s="638"/>
      <c r="F59" s="664"/>
      <c r="M59" s="1068"/>
    </row>
    <row r="60" spans="5:13" ht="17.100000000000001" customHeight="1">
      <c r="E60" s="638"/>
      <c r="F60" s="664"/>
      <c r="M60" s="1068"/>
    </row>
    <row r="61" spans="5:13" ht="14.25">
      <c r="E61" s="638"/>
      <c r="F61" s="664"/>
      <c r="M61" s="1068"/>
    </row>
    <row r="62" spans="5:13" ht="14.25">
      <c r="E62" s="638"/>
      <c r="F62" s="664"/>
      <c r="M62" s="1068"/>
    </row>
    <row r="63" spans="5:13" ht="14.25">
      <c r="E63" s="638"/>
      <c r="F63" s="664"/>
      <c r="M63" s="1068"/>
    </row>
    <row r="64" spans="5:13" ht="14.25">
      <c r="E64" s="638"/>
      <c r="F64" s="664"/>
      <c r="M64" s="1068"/>
    </row>
    <row r="65" spans="5:13" ht="14.25">
      <c r="E65" s="638"/>
      <c r="F65" s="664"/>
      <c r="M65" s="1068"/>
    </row>
    <row r="66" spans="5:13" ht="14.25">
      <c r="E66" s="638"/>
      <c r="F66" s="664"/>
      <c r="M66" s="1068"/>
    </row>
    <row r="67" spans="5:13" ht="14.25">
      <c r="E67" s="638"/>
      <c r="F67" s="664"/>
      <c r="M67" s="1068"/>
    </row>
    <row r="68" spans="5:13" ht="14.25">
      <c r="E68" s="638"/>
      <c r="F68" s="664"/>
      <c r="M68" s="1068"/>
    </row>
    <row r="69" spans="5:13" ht="14.25">
      <c r="E69" s="638"/>
      <c r="F69" s="664"/>
      <c r="M69" s="1068"/>
    </row>
    <row r="70" spans="5:13" ht="14.25">
      <c r="E70" s="638"/>
      <c r="F70" s="664"/>
      <c r="M70" s="1068"/>
    </row>
    <row r="71" spans="5:13" ht="14.25">
      <c r="E71" s="638"/>
      <c r="F71" s="664"/>
      <c r="M71" s="1068"/>
    </row>
    <row r="72" spans="5:13" ht="14.25">
      <c r="E72" s="638"/>
      <c r="F72" s="664"/>
      <c r="M72" s="1068"/>
    </row>
    <row r="73" spans="5:13" ht="14.25">
      <c r="E73" s="638"/>
      <c r="F73" s="664"/>
      <c r="M73" s="1068"/>
    </row>
    <row r="74" spans="5:13" ht="14.25">
      <c r="E74" s="638"/>
      <c r="F74" s="638"/>
      <c r="M74" s="1068"/>
    </row>
    <row r="75" spans="5:13" ht="14.25">
      <c r="E75" s="638"/>
      <c r="F75" s="638"/>
      <c r="M75" s="1068"/>
    </row>
    <row r="76" spans="5:13" ht="14.25">
      <c r="E76" s="638"/>
      <c r="F76" s="638"/>
      <c r="M76" s="1068"/>
    </row>
    <row r="77" spans="5:13" ht="14.25">
      <c r="E77" s="638"/>
      <c r="F77" s="638"/>
      <c r="M77" s="1068"/>
    </row>
    <row r="78" spans="5:13" ht="14.25">
      <c r="E78" s="638"/>
      <c r="F78" s="638"/>
      <c r="M78" s="1068"/>
    </row>
    <row r="79" spans="5:13" ht="14.25">
      <c r="E79" s="638"/>
      <c r="F79" s="638"/>
      <c r="M79" s="1068"/>
    </row>
    <row r="80" spans="5:13" ht="14.25">
      <c r="E80" s="638"/>
      <c r="F80" s="638"/>
      <c r="M80" s="1068"/>
    </row>
    <row r="81" spans="5:13" ht="14.25">
      <c r="E81" s="638"/>
      <c r="F81" s="638"/>
      <c r="M81" s="1068"/>
    </row>
    <row r="82" spans="5:13" ht="14.25">
      <c r="E82" s="638"/>
      <c r="F82" s="638"/>
      <c r="M82" s="1068"/>
    </row>
    <row r="83" spans="5:13" ht="14.25">
      <c r="E83" s="638"/>
      <c r="F83" s="638"/>
      <c r="M83" s="1068"/>
    </row>
    <row r="84" spans="5:13" ht="14.25">
      <c r="E84" s="638"/>
      <c r="F84" s="638"/>
      <c r="M84" s="1068"/>
    </row>
    <row r="85" spans="5:13" ht="14.25">
      <c r="E85" s="638"/>
      <c r="F85" s="638"/>
      <c r="M85" s="1068"/>
    </row>
    <row r="86" spans="5:13" ht="14.25">
      <c r="E86" s="638"/>
      <c r="F86" s="638"/>
      <c r="M86" s="1068"/>
    </row>
    <row r="87" spans="5:13" ht="14.25">
      <c r="E87" s="638"/>
      <c r="F87" s="638"/>
      <c r="M87" s="1068"/>
    </row>
    <row r="88" spans="5:13" ht="14.25">
      <c r="E88" s="638"/>
      <c r="F88" s="638"/>
      <c r="M88" s="1068"/>
    </row>
    <row r="89" spans="5:13" ht="14.25">
      <c r="E89" s="638"/>
      <c r="F89" s="638"/>
      <c r="M89" s="1068"/>
    </row>
    <row r="90" spans="5:13" ht="14.25">
      <c r="E90" s="638"/>
      <c r="F90" s="638"/>
      <c r="M90" s="1068"/>
    </row>
    <row r="91" spans="5:13">
      <c r="F91" s="638"/>
    </row>
    <row r="92" spans="5:13">
      <c r="F92" s="638"/>
    </row>
    <row r="93" spans="5:13">
      <c r="F93" s="638"/>
    </row>
    <row r="94" spans="5:13">
      <c r="F94" s="638"/>
    </row>
    <row r="95" spans="5:13">
      <c r="F95" s="638"/>
    </row>
    <row r="96" spans="5:13">
      <c r="F96" s="638"/>
    </row>
  </sheetData>
  <mergeCells count="13">
    <mergeCell ref="N4:N5"/>
    <mergeCell ref="G4:G5"/>
    <mergeCell ref="B2:M2"/>
    <mergeCell ref="G3:H3"/>
    <mergeCell ref="K4:M4"/>
    <mergeCell ref="B4:B5"/>
    <mergeCell ref="C4:C5"/>
    <mergeCell ref="D4:D5"/>
    <mergeCell ref="F4:F5"/>
    <mergeCell ref="E4:E5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6"/>
  <dimension ref="A1:P96"/>
  <sheetViews>
    <sheetView zoomScaleNormal="100" workbookViewId="0">
      <selection activeCell="Q14" sqref="Q14"/>
    </sheetView>
  </sheetViews>
  <sheetFormatPr defaultRowHeight="12.75"/>
  <cols>
    <col min="1" max="1" width="9.140625" style="611"/>
    <col min="2" max="2" width="4.7109375" style="9" customWidth="1"/>
    <col min="3" max="3" width="5.140625" style="9" customWidth="1"/>
    <col min="4" max="4" width="5" style="9" customWidth="1"/>
    <col min="5" max="5" width="8.7109375" style="18" customWidth="1"/>
    <col min="6" max="6" width="8.7109375" style="616" customWidth="1"/>
    <col min="7" max="7" width="50.7109375" style="9" customWidth="1"/>
    <col min="8" max="10" width="14.7109375" style="9" customWidth="1"/>
    <col min="11" max="12" width="14.7109375" style="611" customWidth="1"/>
    <col min="13" max="13" width="15.7109375" style="9" customWidth="1"/>
    <col min="14" max="14" width="7.7109375" style="680" customWidth="1"/>
    <col min="15" max="16384" width="9.140625" style="9"/>
  </cols>
  <sheetData>
    <row r="1" spans="1:16" ht="13.5" thickBot="1"/>
    <row r="2" spans="1:16" s="126" customFormat="1" ht="20.100000000000001" customHeight="1" thickTop="1" thickBot="1">
      <c r="B2" s="1261" t="s">
        <v>560</v>
      </c>
      <c r="C2" s="1262"/>
      <c r="D2" s="1262"/>
      <c r="E2" s="1262"/>
      <c r="F2" s="1262"/>
      <c r="G2" s="1262"/>
      <c r="H2" s="1262"/>
      <c r="I2" s="1262"/>
      <c r="J2" s="1262"/>
      <c r="K2" s="1262"/>
      <c r="L2" s="1262"/>
      <c r="M2" s="1262"/>
      <c r="N2" s="1056"/>
    </row>
    <row r="3" spans="1:16" s="1" customFormat="1" ht="8.1" customHeight="1" thickTop="1" thickBot="1">
      <c r="A3" s="608"/>
      <c r="E3" s="2"/>
      <c r="F3" s="609"/>
      <c r="G3" s="1264"/>
      <c r="H3" s="1264"/>
      <c r="I3" s="306"/>
      <c r="J3" s="306"/>
      <c r="K3" s="119"/>
      <c r="L3" s="119"/>
      <c r="M3" s="119"/>
      <c r="N3" s="674"/>
    </row>
    <row r="4" spans="1:16" s="1" customFormat="1" ht="39" customHeight="1">
      <c r="A4" s="608"/>
      <c r="B4" s="1268" t="s">
        <v>78</v>
      </c>
      <c r="C4" s="1280" t="s">
        <v>79</v>
      </c>
      <c r="D4" s="1281" t="s">
        <v>110</v>
      </c>
      <c r="E4" s="1282" t="s">
        <v>615</v>
      </c>
      <c r="F4" s="1273" t="s">
        <v>695</v>
      </c>
      <c r="G4" s="1274" t="s">
        <v>80</v>
      </c>
      <c r="H4" s="1283" t="s">
        <v>614</v>
      </c>
      <c r="I4" s="1284" t="s">
        <v>747</v>
      </c>
      <c r="J4" s="1283" t="s">
        <v>667</v>
      </c>
      <c r="K4" s="1265" t="s">
        <v>682</v>
      </c>
      <c r="L4" s="1266"/>
      <c r="M4" s="1267"/>
      <c r="N4" s="1278" t="s">
        <v>756</v>
      </c>
    </row>
    <row r="5" spans="1:16" s="608" customFormat="1" ht="27" customHeight="1">
      <c r="B5" s="1269"/>
      <c r="C5" s="1271"/>
      <c r="D5" s="1271"/>
      <c r="E5" s="1275"/>
      <c r="F5" s="1271"/>
      <c r="G5" s="1275"/>
      <c r="H5" s="1275"/>
      <c r="I5" s="1275"/>
      <c r="J5" s="1275"/>
      <c r="K5" s="1048" t="s">
        <v>753</v>
      </c>
      <c r="L5" s="1048" t="s">
        <v>754</v>
      </c>
      <c r="M5" s="1059" t="s">
        <v>426</v>
      </c>
      <c r="N5" s="1279"/>
    </row>
    <row r="6" spans="1:16" s="2" customFormat="1" ht="12.95" customHeight="1">
      <c r="A6" s="609"/>
      <c r="B6" s="1181">
        <v>1</v>
      </c>
      <c r="C6" s="661">
        <v>2</v>
      </c>
      <c r="D6" s="661">
        <v>3</v>
      </c>
      <c r="E6" s="661">
        <v>4</v>
      </c>
      <c r="F6" s="661">
        <v>5</v>
      </c>
      <c r="G6" s="661">
        <v>6</v>
      </c>
      <c r="H6" s="661">
        <v>7</v>
      </c>
      <c r="I6" s="661">
        <v>8</v>
      </c>
      <c r="J6" s="661">
        <v>9</v>
      </c>
      <c r="K6" s="661">
        <v>10</v>
      </c>
      <c r="L6" s="661">
        <v>11</v>
      </c>
      <c r="M6" s="1201" t="s">
        <v>755</v>
      </c>
      <c r="N6" s="1183">
        <v>13</v>
      </c>
    </row>
    <row r="7" spans="1:16" s="2" customFormat="1" ht="12.95" customHeight="1">
      <c r="A7" s="609"/>
      <c r="B7" s="6" t="s">
        <v>119</v>
      </c>
      <c r="C7" s="7" t="s">
        <v>81</v>
      </c>
      <c r="D7" s="7" t="s">
        <v>146</v>
      </c>
      <c r="E7" s="5"/>
      <c r="F7" s="610"/>
      <c r="G7" s="5"/>
      <c r="H7" s="5"/>
      <c r="I7" s="5"/>
      <c r="J7" s="5"/>
      <c r="K7" s="610"/>
      <c r="L7" s="610"/>
      <c r="M7" s="1060"/>
      <c r="N7" s="675"/>
    </row>
    <row r="8" spans="1:16" s="1" customFormat="1" ht="12.95" customHeight="1">
      <c r="A8" s="608"/>
      <c r="B8" s="12"/>
      <c r="C8" s="8"/>
      <c r="D8" s="8"/>
      <c r="E8" s="635">
        <v>611000</v>
      </c>
      <c r="F8" s="661"/>
      <c r="G8" s="8" t="s">
        <v>163</v>
      </c>
      <c r="H8" s="272">
        <f>SUM(H9:H12)</f>
        <v>158190</v>
      </c>
      <c r="I8" s="732">
        <v>145610</v>
      </c>
      <c r="J8" s="369">
        <v>99543</v>
      </c>
      <c r="K8" s="272">
        <f>SUM(K9:K12)</f>
        <v>169880</v>
      </c>
      <c r="L8" s="272">
        <f>SUM(L9:L12)</f>
        <v>0</v>
      </c>
      <c r="M8" s="1061">
        <f>SUM(M9:M12)</f>
        <v>169880</v>
      </c>
      <c r="N8" s="676">
        <f>IF(I8=0,"",M8/I8*100)</f>
        <v>116.66781127669803</v>
      </c>
    </row>
    <row r="9" spans="1:16" ht="12.95" customHeight="1">
      <c r="B9" s="10"/>
      <c r="C9" s="11"/>
      <c r="D9" s="11"/>
      <c r="E9" s="636">
        <v>611100</v>
      </c>
      <c r="F9" s="662"/>
      <c r="G9" s="20" t="s">
        <v>204</v>
      </c>
      <c r="H9" s="273">
        <f>77200+1000+3*15000+2300+1350</f>
        <v>126850</v>
      </c>
      <c r="I9" s="733">
        <v>113200</v>
      </c>
      <c r="J9" s="370">
        <v>79375</v>
      </c>
      <c r="K9" s="273">
        <f>132900+500</f>
        <v>133400</v>
      </c>
      <c r="L9" s="273">
        <v>0</v>
      </c>
      <c r="M9" s="1062">
        <f>SUM(K9:L9)</f>
        <v>133400</v>
      </c>
      <c r="N9" s="677">
        <f>IF(I9=0,"",M9/I9*100)</f>
        <v>117.84452296819788</v>
      </c>
      <c r="O9" s="64"/>
    </row>
    <row r="10" spans="1:16" ht="12.95" customHeight="1">
      <c r="B10" s="10"/>
      <c r="C10" s="11"/>
      <c r="D10" s="11"/>
      <c r="E10" s="636">
        <v>611200</v>
      </c>
      <c r="F10" s="662"/>
      <c r="G10" s="11" t="s">
        <v>205</v>
      </c>
      <c r="H10" s="273">
        <f>16940+600+3*4600</f>
        <v>31340</v>
      </c>
      <c r="I10" s="733">
        <v>32410</v>
      </c>
      <c r="J10" s="370">
        <v>20168</v>
      </c>
      <c r="K10" s="273">
        <f>36180+300</f>
        <v>36480</v>
      </c>
      <c r="L10" s="273">
        <v>0</v>
      </c>
      <c r="M10" s="1062">
        <f t="shared" ref="M10:M11" si="0">SUM(K10:L10)</f>
        <v>36480</v>
      </c>
      <c r="N10" s="677">
        <f t="shared" ref="N10:N35" si="1">IF(I10=0,"",M10/I10*100)</f>
        <v>112.55785251465598</v>
      </c>
      <c r="O10" s="68"/>
    </row>
    <row r="11" spans="1:16" ht="12.95" customHeight="1">
      <c r="B11" s="10"/>
      <c r="C11" s="11"/>
      <c r="D11" s="11"/>
      <c r="E11" s="636">
        <v>611200</v>
      </c>
      <c r="F11" s="662"/>
      <c r="G11" s="229" t="s">
        <v>547</v>
      </c>
      <c r="H11" s="273">
        <v>0</v>
      </c>
      <c r="I11" s="733">
        <v>0</v>
      </c>
      <c r="J11" s="370">
        <v>0</v>
      </c>
      <c r="K11" s="273">
        <v>0</v>
      </c>
      <c r="L11" s="273">
        <v>0</v>
      </c>
      <c r="M11" s="1062">
        <f t="shared" si="0"/>
        <v>0</v>
      </c>
      <c r="N11" s="677" t="str">
        <f t="shared" si="1"/>
        <v/>
      </c>
      <c r="P11" s="63"/>
    </row>
    <row r="12" spans="1:16" ht="12.95" customHeight="1">
      <c r="B12" s="10"/>
      <c r="C12" s="11"/>
      <c r="D12" s="11"/>
      <c r="E12" s="636"/>
      <c r="F12" s="662"/>
      <c r="G12" s="20"/>
      <c r="H12" s="273"/>
      <c r="I12" s="733"/>
      <c r="J12" s="370"/>
      <c r="K12" s="273"/>
      <c r="L12" s="273"/>
      <c r="M12" s="1062"/>
      <c r="N12" s="677" t="str">
        <f t="shared" si="1"/>
        <v/>
      </c>
    </row>
    <row r="13" spans="1:16" s="1" customFormat="1" ht="12.95" customHeight="1">
      <c r="A13" s="608"/>
      <c r="B13" s="12"/>
      <c r="C13" s="8"/>
      <c r="D13" s="8"/>
      <c r="E13" s="635">
        <v>612000</v>
      </c>
      <c r="F13" s="661"/>
      <c r="G13" s="8" t="s">
        <v>162</v>
      </c>
      <c r="H13" s="272">
        <f>H14</f>
        <v>14010</v>
      </c>
      <c r="I13" s="732">
        <v>12250</v>
      </c>
      <c r="J13" s="369">
        <v>8450</v>
      </c>
      <c r="K13" s="272">
        <f>K14</f>
        <v>14260</v>
      </c>
      <c r="L13" s="272">
        <f>L14</f>
        <v>0</v>
      </c>
      <c r="M13" s="1061">
        <f>M14</f>
        <v>14260</v>
      </c>
      <c r="N13" s="676">
        <f t="shared" si="1"/>
        <v>116.40816326530611</v>
      </c>
    </row>
    <row r="14" spans="1:16" ht="12.95" customHeight="1">
      <c r="B14" s="10"/>
      <c r="C14" s="11"/>
      <c r="D14" s="11"/>
      <c r="E14" s="636">
        <v>612100</v>
      </c>
      <c r="F14" s="662"/>
      <c r="G14" s="13" t="s">
        <v>83</v>
      </c>
      <c r="H14" s="273">
        <f>8260+400+3*1650+250+150</f>
        <v>14010</v>
      </c>
      <c r="I14" s="733">
        <v>12250</v>
      </c>
      <c r="J14" s="370">
        <v>8450</v>
      </c>
      <c r="K14" s="273">
        <f>14180+80</f>
        <v>14260</v>
      </c>
      <c r="L14" s="273">
        <v>0</v>
      </c>
      <c r="M14" s="1062">
        <f>SUM(K14:L14)</f>
        <v>14260</v>
      </c>
      <c r="N14" s="677">
        <f t="shared" si="1"/>
        <v>116.40816326530611</v>
      </c>
    </row>
    <row r="15" spans="1:16" ht="12.95" customHeight="1">
      <c r="B15" s="10"/>
      <c r="C15" s="11"/>
      <c r="D15" s="11"/>
      <c r="E15" s="636"/>
      <c r="F15" s="662"/>
      <c r="G15" s="11"/>
      <c r="H15" s="30"/>
      <c r="I15" s="727"/>
      <c r="J15" s="364"/>
      <c r="K15" s="593"/>
      <c r="L15" s="593"/>
      <c r="M15" s="1063"/>
      <c r="N15" s="677" t="str">
        <f t="shared" si="1"/>
        <v/>
      </c>
    </row>
    <row r="16" spans="1:16" s="1" customFormat="1" ht="12.95" customHeight="1">
      <c r="A16" s="608"/>
      <c r="B16" s="12"/>
      <c r="C16" s="8"/>
      <c r="D16" s="8"/>
      <c r="E16" s="635">
        <v>613000</v>
      </c>
      <c r="F16" s="661"/>
      <c r="G16" s="8" t="s">
        <v>164</v>
      </c>
      <c r="H16" s="35">
        <f>SUM(H17:H26)</f>
        <v>10400</v>
      </c>
      <c r="I16" s="728">
        <v>11200</v>
      </c>
      <c r="J16" s="365">
        <v>7559</v>
      </c>
      <c r="K16" s="620">
        <f>SUM(K17:K26)</f>
        <v>11700</v>
      </c>
      <c r="L16" s="620">
        <f>SUM(L17:L26)</f>
        <v>0</v>
      </c>
      <c r="M16" s="1064">
        <f>SUM(M17:M26)</f>
        <v>11700</v>
      </c>
      <c r="N16" s="676">
        <f t="shared" si="1"/>
        <v>104.46428571428572</v>
      </c>
    </row>
    <row r="17" spans="1:14" ht="12.95" customHeight="1">
      <c r="B17" s="10"/>
      <c r="C17" s="11"/>
      <c r="D17" s="11"/>
      <c r="E17" s="636">
        <v>613100</v>
      </c>
      <c r="F17" s="662"/>
      <c r="G17" s="11" t="s">
        <v>84</v>
      </c>
      <c r="H17" s="57">
        <v>5000</v>
      </c>
      <c r="I17" s="729">
        <v>6000</v>
      </c>
      <c r="J17" s="366">
        <v>4049</v>
      </c>
      <c r="K17" s="982">
        <v>6000</v>
      </c>
      <c r="L17" s="982">
        <v>0</v>
      </c>
      <c r="M17" s="1062">
        <f t="shared" ref="M17:M26" si="2">SUM(K17:L17)</f>
        <v>6000</v>
      </c>
      <c r="N17" s="677">
        <f t="shared" si="1"/>
        <v>100</v>
      </c>
    </row>
    <row r="18" spans="1:14" ht="12.95" customHeight="1">
      <c r="B18" s="10"/>
      <c r="C18" s="11"/>
      <c r="D18" s="11"/>
      <c r="E18" s="636">
        <v>613200</v>
      </c>
      <c r="F18" s="662"/>
      <c r="G18" s="11" t="s">
        <v>85</v>
      </c>
      <c r="H18" s="30">
        <v>0</v>
      </c>
      <c r="I18" s="727">
        <v>0</v>
      </c>
      <c r="J18" s="364">
        <v>0</v>
      </c>
      <c r="K18" s="962">
        <v>0</v>
      </c>
      <c r="L18" s="962">
        <v>0</v>
      </c>
      <c r="M18" s="1062">
        <f t="shared" si="2"/>
        <v>0</v>
      </c>
      <c r="N18" s="677" t="str">
        <f t="shared" si="1"/>
        <v/>
      </c>
    </row>
    <row r="19" spans="1:14" ht="12.95" customHeight="1">
      <c r="B19" s="10"/>
      <c r="C19" s="11"/>
      <c r="D19" s="11"/>
      <c r="E19" s="636">
        <v>613300</v>
      </c>
      <c r="F19" s="662"/>
      <c r="G19" s="20" t="s">
        <v>206</v>
      </c>
      <c r="H19" s="30">
        <v>1200</v>
      </c>
      <c r="I19" s="727">
        <v>1000</v>
      </c>
      <c r="J19" s="364">
        <v>496</v>
      </c>
      <c r="K19" s="962">
        <v>1000</v>
      </c>
      <c r="L19" s="962">
        <v>0</v>
      </c>
      <c r="M19" s="1062">
        <f t="shared" si="2"/>
        <v>1000</v>
      </c>
      <c r="N19" s="677">
        <f t="shared" si="1"/>
        <v>100</v>
      </c>
    </row>
    <row r="20" spans="1:14" ht="12.95" customHeight="1">
      <c r="B20" s="10"/>
      <c r="C20" s="11"/>
      <c r="D20" s="11"/>
      <c r="E20" s="636">
        <v>613400</v>
      </c>
      <c r="F20" s="662"/>
      <c r="G20" s="11" t="s">
        <v>165</v>
      </c>
      <c r="H20" s="57">
        <v>1000</v>
      </c>
      <c r="I20" s="729">
        <v>1000</v>
      </c>
      <c r="J20" s="366">
        <v>701</v>
      </c>
      <c r="K20" s="982">
        <v>1000</v>
      </c>
      <c r="L20" s="982">
        <v>0</v>
      </c>
      <c r="M20" s="1062">
        <f t="shared" si="2"/>
        <v>1000</v>
      </c>
      <c r="N20" s="677">
        <f t="shared" si="1"/>
        <v>100</v>
      </c>
    </row>
    <row r="21" spans="1:14" ht="12.95" customHeight="1">
      <c r="B21" s="10"/>
      <c r="C21" s="11"/>
      <c r="D21" s="11"/>
      <c r="E21" s="636">
        <v>613500</v>
      </c>
      <c r="F21" s="662"/>
      <c r="G21" s="11" t="s">
        <v>86</v>
      </c>
      <c r="H21" s="30">
        <v>0</v>
      </c>
      <c r="I21" s="727">
        <v>0</v>
      </c>
      <c r="J21" s="364">
        <v>0</v>
      </c>
      <c r="K21" s="962">
        <v>0</v>
      </c>
      <c r="L21" s="962">
        <v>0</v>
      </c>
      <c r="M21" s="1062">
        <f t="shared" si="2"/>
        <v>0</v>
      </c>
      <c r="N21" s="677" t="str">
        <f t="shared" si="1"/>
        <v/>
      </c>
    </row>
    <row r="22" spans="1:14" ht="12.95" customHeight="1">
      <c r="B22" s="10"/>
      <c r="C22" s="11"/>
      <c r="D22" s="11"/>
      <c r="E22" s="636">
        <v>613600</v>
      </c>
      <c r="F22" s="662"/>
      <c r="G22" s="20" t="s">
        <v>207</v>
      </c>
      <c r="H22" s="30">
        <v>0</v>
      </c>
      <c r="I22" s="727">
        <v>0</v>
      </c>
      <c r="J22" s="364">
        <v>0</v>
      </c>
      <c r="K22" s="962">
        <v>0</v>
      </c>
      <c r="L22" s="962">
        <v>0</v>
      </c>
      <c r="M22" s="1062">
        <f t="shared" si="2"/>
        <v>0</v>
      </c>
      <c r="N22" s="677" t="str">
        <f t="shared" si="1"/>
        <v/>
      </c>
    </row>
    <row r="23" spans="1:14" ht="12.95" customHeight="1">
      <c r="B23" s="10"/>
      <c r="C23" s="11"/>
      <c r="D23" s="11"/>
      <c r="E23" s="636">
        <v>613700</v>
      </c>
      <c r="F23" s="662"/>
      <c r="G23" s="11" t="s">
        <v>87</v>
      </c>
      <c r="H23" s="30">
        <v>700</v>
      </c>
      <c r="I23" s="727">
        <v>1200</v>
      </c>
      <c r="J23" s="364">
        <v>680</v>
      </c>
      <c r="K23" s="962">
        <v>1200</v>
      </c>
      <c r="L23" s="962">
        <v>0</v>
      </c>
      <c r="M23" s="1062">
        <f t="shared" si="2"/>
        <v>1200</v>
      </c>
      <c r="N23" s="677">
        <f t="shared" si="1"/>
        <v>100</v>
      </c>
    </row>
    <row r="24" spans="1:14" ht="12.95" customHeight="1">
      <c r="B24" s="10"/>
      <c r="C24" s="11"/>
      <c r="D24" s="11"/>
      <c r="E24" s="636">
        <v>613800</v>
      </c>
      <c r="F24" s="662"/>
      <c r="G24" s="11" t="s">
        <v>166</v>
      </c>
      <c r="H24" s="30">
        <v>0</v>
      </c>
      <c r="I24" s="727">
        <v>0</v>
      </c>
      <c r="J24" s="364">
        <v>0</v>
      </c>
      <c r="K24" s="962">
        <v>0</v>
      </c>
      <c r="L24" s="962">
        <v>0</v>
      </c>
      <c r="M24" s="1062">
        <f t="shared" si="2"/>
        <v>0</v>
      </c>
      <c r="N24" s="677" t="str">
        <f t="shared" si="1"/>
        <v/>
      </c>
    </row>
    <row r="25" spans="1:14" ht="12.95" customHeight="1">
      <c r="B25" s="10"/>
      <c r="C25" s="11"/>
      <c r="D25" s="11"/>
      <c r="E25" s="636">
        <v>613900</v>
      </c>
      <c r="F25" s="662"/>
      <c r="G25" s="11" t="s">
        <v>167</v>
      </c>
      <c r="H25" s="57">
        <v>2500</v>
      </c>
      <c r="I25" s="729">
        <v>2000</v>
      </c>
      <c r="J25" s="366">
        <v>1633</v>
      </c>
      <c r="K25" s="982">
        <v>2500</v>
      </c>
      <c r="L25" s="982">
        <v>0</v>
      </c>
      <c r="M25" s="1062">
        <f t="shared" si="2"/>
        <v>2500</v>
      </c>
      <c r="N25" s="677">
        <f t="shared" si="1"/>
        <v>125</v>
      </c>
    </row>
    <row r="26" spans="1:14" ht="12.95" customHeight="1">
      <c r="B26" s="10"/>
      <c r="C26" s="11"/>
      <c r="D26" s="11"/>
      <c r="E26" s="636">
        <v>613900</v>
      </c>
      <c r="F26" s="662"/>
      <c r="G26" s="229" t="s">
        <v>548</v>
      </c>
      <c r="H26" s="88">
        <v>0</v>
      </c>
      <c r="I26" s="731">
        <v>0</v>
      </c>
      <c r="J26" s="368">
        <v>0</v>
      </c>
      <c r="K26" s="984">
        <v>0</v>
      </c>
      <c r="L26" s="984">
        <v>0</v>
      </c>
      <c r="M26" s="1062">
        <f t="shared" si="2"/>
        <v>0</v>
      </c>
      <c r="N26" s="677" t="str">
        <f t="shared" si="1"/>
        <v/>
      </c>
    </row>
    <row r="27" spans="1:14" s="1" customFormat="1" ht="12.95" customHeight="1">
      <c r="A27" s="608"/>
      <c r="B27" s="12"/>
      <c r="C27" s="8"/>
      <c r="D27" s="8"/>
      <c r="E27" s="646"/>
      <c r="F27" s="673"/>
      <c r="G27" s="8"/>
      <c r="H27" s="57"/>
      <c r="I27" s="729"/>
      <c r="J27" s="366"/>
      <c r="K27" s="595"/>
      <c r="L27" s="595"/>
      <c r="M27" s="1063"/>
      <c r="N27" s="677" t="str">
        <f t="shared" si="1"/>
        <v/>
      </c>
    </row>
    <row r="28" spans="1:14" s="1" customFormat="1" ht="12.95" customHeight="1">
      <c r="A28" s="608"/>
      <c r="B28" s="12"/>
      <c r="C28" s="8"/>
      <c r="D28" s="8"/>
      <c r="E28" s="635">
        <v>821000</v>
      </c>
      <c r="F28" s="661"/>
      <c r="G28" s="8" t="s">
        <v>90</v>
      </c>
      <c r="H28" s="79">
        <f>SUM(H29:H30)</f>
        <v>7000</v>
      </c>
      <c r="I28" s="730">
        <v>4840</v>
      </c>
      <c r="J28" s="367">
        <v>4838</v>
      </c>
      <c r="K28" s="622">
        <f>SUM(K29:K30)</f>
        <v>1000</v>
      </c>
      <c r="L28" s="622">
        <f>SUM(L29:L30)</f>
        <v>0</v>
      </c>
      <c r="M28" s="1064">
        <f>SUM(M29:M30)</f>
        <v>1000</v>
      </c>
      <c r="N28" s="676">
        <f t="shared" si="1"/>
        <v>20.66115702479339</v>
      </c>
    </row>
    <row r="29" spans="1:14" ht="12.95" customHeight="1">
      <c r="B29" s="10"/>
      <c r="C29" s="11"/>
      <c r="D29" s="11"/>
      <c r="E29" s="636">
        <v>821200</v>
      </c>
      <c r="F29" s="662"/>
      <c r="G29" s="11" t="s">
        <v>91</v>
      </c>
      <c r="H29" s="57">
        <v>0</v>
      </c>
      <c r="I29" s="729">
        <v>0</v>
      </c>
      <c r="J29" s="366">
        <v>0</v>
      </c>
      <c r="K29" s="595">
        <v>0</v>
      </c>
      <c r="L29" s="595">
        <v>0</v>
      </c>
      <c r="M29" s="1062">
        <f t="shared" ref="M29:M30" si="3">SUM(K29:L29)</f>
        <v>0</v>
      </c>
      <c r="N29" s="677" t="str">
        <f t="shared" si="1"/>
        <v/>
      </c>
    </row>
    <row r="30" spans="1:14" ht="12.95" customHeight="1">
      <c r="B30" s="10"/>
      <c r="C30" s="11"/>
      <c r="D30" s="11"/>
      <c r="E30" s="636">
        <v>821300</v>
      </c>
      <c r="F30" s="662"/>
      <c r="G30" s="11" t="s">
        <v>92</v>
      </c>
      <c r="H30" s="57">
        <v>7000</v>
      </c>
      <c r="I30" s="729">
        <v>4840</v>
      </c>
      <c r="J30" s="366">
        <v>4838</v>
      </c>
      <c r="K30" s="595">
        <v>1000</v>
      </c>
      <c r="L30" s="595">
        <v>0</v>
      </c>
      <c r="M30" s="1062">
        <f t="shared" si="3"/>
        <v>1000</v>
      </c>
      <c r="N30" s="677">
        <f t="shared" si="1"/>
        <v>20.66115702479339</v>
      </c>
    </row>
    <row r="31" spans="1:14" ht="12.95" customHeight="1">
      <c r="B31" s="10"/>
      <c r="C31" s="11"/>
      <c r="D31" s="11"/>
      <c r="E31" s="636"/>
      <c r="F31" s="662"/>
      <c r="G31" s="11"/>
      <c r="H31" s="30"/>
      <c r="I31" s="727"/>
      <c r="J31" s="364"/>
      <c r="K31" s="593"/>
      <c r="L31" s="593"/>
      <c r="M31" s="1063"/>
      <c r="N31" s="677" t="str">
        <f t="shared" si="1"/>
        <v/>
      </c>
    </row>
    <row r="32" spans="1:14" s="1" customFormat="1" ht="12.95" customHeight="1">
      <c r="A32" s="608"/>
      <c r="B32" s="12"/>
      <c r="C32" s="8"/>
      <c r="D32" s="8"/>
      <c r="E32" s="635"/>
      <c r="F32" s="661"/>
      <c r="G32" s="8" t="s">
        <v>93</v>
      </c>
      <c r="H32" s="79">
        <v>7</v>
      </c>
      <c r="I32" s="730">
        <v>7</v>
      </c>
      <c r="J32" s="367">
        <v>7</v>
      </c>
      <c r="K32" s="622">
        <v>7</v>
      </c>
      <c r="L32" s="622"/>
      <c r="M32" s="1064">
        <v>7</v>
      </c>
      <c r="N32" s="677"/>
    </row>
    <row r="33" spans="1:14" s="1" customFormat="1" ht="12.95" customHeight="1">
      <c r="A33" s="608"/>
      <c r="B33" s="12"/>
      <c r="C33" s="8"/>
      <c r="D33" s="8"/>
      <c r="E33" s="635"/>
      <c r="F33" s="661"/>
      <c r="G33" s="8" t="s">
        <v>113</v>
      </c>
      <c r="H33" s="15">
        <f>H8+H13+H16+H28</f>
        <v>189600</v>
      </c>
      <c r="I33" s="15">
        <f>I8+I13+I16+I28</f>
        <v>173900</v>
      </c>
      <c r="J33" s="15">
        <f t="shared" ref="J33" si="4">J8+J13+J16+J28</f>
        <v>120390</v>
      </c>
      <c r="K33" s="615">
        <f>K8+K13+K16+K28</f>
        <v>196840</v>
      </c>
      <c r="L33" s="615">
        <f>L8+L13+L16+L28</f>
        <v>0</v>
      </c>
      <c r="M33" s="1064">
        <f>M8+M13+M16+M28</f>
        <v>196840</v>
      </c>
      <c r="N33" s="676">
        <f t="shared" si="1"/>
        <v>113.19148936170214</v>
      </c>
    </row>
    <row r="34" spans="1:14" s="1" customFormat="1" ht="12.95" customHeight="1">
      <c r="A34" s="608"/>
      <c r="B34" s="12"/>
      <c r="C34" s="8"/>
      <c r="D34" s="8"/>
      <c r="E34" s="635"/>
      <c r="F34" s="661"/>
      <c r="G34" s="8" t="s">
        <v>94</v>
      </c>
      <c r="H34" s="15">
        <f>H33+'6'!H33+'5'!H33+'4'!H36+'3'!H56</f>
        <v>3641600</v>
      </c>
      <c r="I34" s="15">
        <f>I33+'6'!I33+'5'!I33+'4'!I36+'3'!I56</f>
        <v>3311610</v>
      </c>
      <c r="J34" s="15">
        <f>J33+'6'!J33+'5'!J33+'4'!J36+'3'!J56</f>
        <v>1818326</v>
      </c>
      <c r="K34" s="615">
        <f>K33+'6'!K33+'5'!K33+'4'!K36+'3'!K56</f>
        <v>2719070</v>
      </c>
      <c r="L34" s="615">
        <f>L33+'6'!L33+'5'!L33+'4'!L36+'3'!L56</f>
        <v>0</v>
      </c>
      <c r="M34" s="1064">
        <f>M33+'6'!M33+'5'!M33+'4'!M36+'3'!M56</f>
        <v>2719070</v>
      </c>
      <c r="N34" s="676">
        <f>IF(I34=0,"",M34/I34*100)</f>
        <v>82.107192574004785</v>
      </c>
    </row>
    <row r="35" spans="1:14" s="1" customFormat="1" ht="12.95" customHeight="1">
      <c r="A35" s="608"/>
      <c r="B35" s="12"/>
      <c r="C35" s="8"/>
      <c r="D35" s="8"/>
      <c r="E35" s="635"/>
      <c r="F35" s="661"/>
      <c r="G35" s="8" t="s">
        <v>95</v>
      </c>
      <c r="H35" s="15">
        <f>H34</f>
        <v>3641600</v>
      </c>
      <c r="I35" s="15">
        <f>I34</f>
        <v>3311610</v>
      </c>
      <c r="J35" s="15">
        <f t="shared" ref="J35" si="5">J34</f>
        <v>1818326</v>
      </c>
      <c r="K35" s="615">
        <f>K34</f>
        <v>2719070</v>
      </c>
      <c r="L35" s="615">
        <f>L34</f>
        <v>0</v>
      </c>
      <c r="M35" s="1064">
        <f>M34</f>
        <v>2719070</v>
      </c>
      <c r="N35" s="676">
        <f t="shared" si="1"/>
        <v>82.107192574004785</v>
      </c>
    </row>
    <row r="36" spans="1:14" ht="12.95" customHeight="1" thickBot="1">
      <c r="B36" s="16"/>
      <c r="C36" s="17"/>
      <c r="D36" s="17"/>
      <c r="E36" s="637"/>
      <c r="F36" s="663"/>
      <c r="G36" s="17"/>
      <c r="H36" s="17"/>
      <c r="I36" s="17"/>
      <c r="J36" s="17"/>
      <c r="K36" s="17"/>
      <c r="L36" s="17"/>
      <c r="M36" s="1071"/>
      <c r="N36" s="679"/>
    </row>
    <row r="37" spans="1:14" ht="12.95" customHeight="1">
      <c r="E37" s="638"/>
      <c r="F37" s="664"/>
      <c r="M37" s="1068"/>
    </row>
    <row r="38" spans="1:14" ht="12.95" customHeight="1">
      <c r="B38" s="56"/>
      <c r="E38" s="638"/>
      <c r="F38" s="664"/>
      <c r="M38" s="1068"/>
    </row>
    <row r="39" spans="1:14" ht="12.95" customHeight="1">
      <c r="B39" s="56"/>
      <c r="E39" s="638"/>
      <c r="F39" s="664"/>
      <c r="M39" s="1068"/>
    </row>
    <row r="40" spans="1:14" ht="12.95" customHeight="1">
      <c r="B40" s="56"/>
      <c r="E40" s="638"/>
      <c r="F40" s="664"/>
      <c r="M40" s="1068"/>
    </row>
    <row r="41" spans="1:14" ht="12.95" customHeight="1">
      <c r="B41" s="56"/>
      <c r="E41" s="638"/>
      <c r="F41" s="664"/>
      <c r="M41" s="1068"/>
    </row>
    <row r="42" spans="1:14" ht="12.95" customHeight="1">
      <c r="E42" s="638"/>
      <c r="F42" s="664"/>
      <c r="M42" s="1068"/>
    </row>
    <row r="43" spans="1:14" ht="12.95" customHeight="1">
      <c r="E43" s="638"/>
      <c r="F43" s="664"/>
      <c r="M43" s="1068"/>
    </row>
    <row r="44" spans="1:14" ht="12.95" customHeight="1">
      <c r="E44" s="638"/>
      <c r="F44" s="664"/>
      <c r="M44" s="1068"/>
    </row>
    <row r="45" spans="1:14" ht="12.95" customHeight="1">
      <c r="E45" s="638"/>
      <c r="F45" s="664"/>
      <c r="M45" s="1068"/>
    </row>
    <row r="46" spans="1:14" ht="12.95" customHeight="1">
      <c r="E46" s="638"/>
      <c r="F46" s="664"/>
      <c r="M46" s="1068"/>
    </row>
    <row r="47" spans="1:14" ht="12.95" customHeight="1">
      <c r="E47" s="638"/>
      <c r="F47" s="664"/>
      <c r="M47" s="1068"/>
    </row>
    <row r="48" spans="1:14" ht="12.95" customHeight="1">
      <c r="E48" s="638"/>
      <c r="F48" s="664"/>
      <c r="M48" s="1068"/>
    </row>
    <row r="49" spans="5:13" ht="12.95" customHeight="1">
      <c r="E49" s="638"/>
      <c r="F49" s="664"/>
      <c r="M49" s="1068"/>
    </row>
    <row r="50" spans="5:13" ht="12.95" customHeight="1">
      <c r="E50" s="638"/>
      <c r="F50" s="664"/>
      <c r="M50" s="1068"/>
    </row>
    <row r="51" spans="5:13" ht="12.95" customHeight="1">
      <c r="E51" s="638"/>
      <c r="F51" s="664"/>
      <c r="M51" s="1068"/>
    </row>
    <row r="52" spans="5:13" ht="12.95" customHeight="1">
      <c r="E52" s="638"/>
      <c r="F52" s="664"/>
      <c r="M52" s="1068"/>
    </row>
    <row r="53" spans="5:13" ht="12.95" customHeight="1">
      <c r="E53" s="638"/>
      <c r="F53" s="664"/>
      <c r="M53" s="1068"/>
    </row>
    <row r="54" spans="5:13" ht="12.95" customHeight="1">
      <c r="E54" s="638"/>
      <c r="F54" s="664"/>
      <c r="M54" s="1068"/>
    </row>
    <row r="55" spans="5:13" ht="12.95" customHeight="1">
      <c r="E55" s="638"/>
      <c r="F55" s="664"/>
      <c r="M55" s="1068"/>
    </row>
    <row r="56" spans="5:13" ht="12.95" customHeight="1">
      <c r="E56" s="638"/>
      <c r="F56" s="664"/>
      <c r="M56" s="1068"/>
    </row>
    <row r="57" spans="5:13" ht="12.95" customHeight="1">
      <c r="E57" s="638"/>
      <c r="F57" s="664"/>
      <c r="M57" s="1068"/>
    </row>
    <row r="58" spans="5:13" ht="12.95" customHeight="1">
      <c r="E58" s="638"/>
      <c r="F58" s="664"/>
      <c r="M58" s="1068"/>
    </row>
    <row r="59" spans="5:13" ht="12.95" customHeight="1">
      <c r="E59" s="638"/>
      <c r="F59" s="664"/>
      <c r="M59" s="1068"/>
    </row>
    <row r="60" spans="5:13" ht="17.100000000000001" customHeight="1">
      <c r="E60" s="638"/>
      <c r="F60" s="664"/>
      <c r="M60" s="1068"/>
    </row>
    <row r="61" spans="5:13" ht="14.25">
      <c r="E61" s="638"/>
      <c r="F61" s="664"/>
      <c r="M61" s="1068"/>
    </row>
    <row r="62" spans="5:13" ht="14.25">
      <c r="E62" s="638"/>
      <c r="F62" s="664"/>
      <c r="M62" s="1068"/>
    </row>
    <row r="63" spans="5:13" ht="14.25">
      <c r="E63" s="638"/>
      <c r="F63" s="664"/>
      <c r="M63" s="1068"/>
    </row>
    <row r="64" spans="5:13" ht="14.25">
      <c r="E64" s="638"/>
      <c r="F64" s="664"/>
      <c r="M64" s="1068"/>
    </row>
    <row r="65" spans="5:13" ht="14.25">
      <c r="E65" s="638"/>
      <c r="F65" s="664"/>
      <c r="M65" s="1068"/>
    </row>
    <row r="66" spans="5:13" ht="14.25">
      <c r="E66" s="638"/>
      <c r="F66" s="664"/>
      <c r="M66" s="1068"/>
    </row>
    <row r="67" spans="5:13" ht="14.25">
      <c r="E67" s="638"/>
      <c r="F67" s="664"/>
      <c r="M67" s="1068"/>
    </row>
    <row r="68" spans="5:13" ht="14.25">
      <c r="E68" s="638"/>
      <c r="F68" s="664"/>
      <c r="M68" s="1068"/>
    </row>
    <row r="69" spans="5:13" ht="14.25">
      <c r="E69" s="638"/>
      <c r="F69" s="664"/>
      <c r="M69" s="1068"/>
    </row>
    <row r="70" spans="5:13" ht="14.25">
      <c r="E70" s="638"/>
      <c r="F70" s="664"/>
      <c r="M70" s="1068"/>
    </row>
    <row r="71" spans="5:13" ht="14.25">
      <c r="E71" s="638"/>
      <c r="F71" s="664"/>
      <c r="M71" s="1068"/>
    </row>
    <row r="72" spans="5:13" ht="14.25">
      <c r="E72" s="638"/>
      <c r="F72" s="664"/>
      <c r="M72" s="1068"/>
    </row>
    <row r="73" spans="5:13" ht="14.25">
      <c r="E73" s="638"/>
      <c r="F73" s="664"/>
      <c r="M73" s="1068"/>
    </row>
    <row r="74" spans="5:13" ht="14.25">
      <c r="E74" s="638"/>
      <c r="F74" s="638"/>
      <c r="M74" s="1068"/>
    </row>
    <row r="75" spans="5:13" ht="14.25">
      <c r="E75" s="638"/>
      <c r="F75" s="638"/>
      <c r="M75" s="1068"/>
    </row>
    <row r="76" spans="5:13" ht="14.25">
      <c r="E76" s="638"/>
      <c r="F76" s="638"/>
      <c r="M76" s="1068"/>
    </row>
    <row r="77" spans="5:13" ht="14.25">
      <c r="E77" s="638"/>
      <c r="F77" s="638"/>
      <c r="M77" s="1068"/>
    </row>
    <row r="78" spans="5:13" ht="14.25">
      <c r="E78" s="638"/>
      <c r="F78" s="638"/>
      <c r="M78" s="1068"/>
    </row>
    <row r="79" spans="5:13" ht="14.25">
      <c r="E79" s="638"/>
      <c r="F79" s="638"/>
      <c r="M79" s="1068"/>
    </row>
    <row r="80" spans="5:13" ht="14.25">
      <c r="E80" s="638"/>
      <c r="F80" s="638"/>
      <c r="M80" s="1068"/>
    </row>
    <row r="81" spans="5:13" ht="14.25">
      <c r="E81" s="638"/>
      <c r="F81" s="638"/>
      <c r="M81" s="1068"/>
    </row>
    <row r="82" spans="5:13" ht="14.25">
      <c r="E82" s="638"/>
      <c r="F82" s="638"/>
      <c r="M82" s="1068"/>
    </row>
    <row r="83" spans="5:13" ht="14.25">
      <c r="E83" s="638"/>
      <c r="F83" s="638"/>
      <c r="M83" s="1068"/>
    </row>
    <row r="84" spans="5:13" ht="14.25">
      <c r="E84" s="638"/>
      <c r="F84" s="638"/>
      <c r="M84" s="1068"/>
    </row>
    <row r="85" spans="5:13" ht="14.25">
      <c r="E85" s="638"/>
      <c r="F85" s="638"/>
      <c r="M85" s="1068"/>
    </row>
    <row r="86" spans="5:13" ht="14.25">
      <c r="E86" s="638"/>
      <c r="F86" s="638"/>
      <c r="M86" s="1068"/>
    </row>
    <row r="87" spans="5:13" ht="14.25">
      <c r="E87" s="638"/>
      <c r="F87" s="638"/>
      <c r="M87" s="1068"/>
    </row>
    <row r="88" spans="5:13" ht="14.25">
      <c r="E88" s="638"/>
      <c r="F88" s="638"/>
      <c r="M88" s="1068"/>
    </row>
    <row r="89" spans="5:13" ht="14.25">
      <c r="E89" s="638"/>
      <c r="F89" s="638"/>
      <c r="M89" s="1068"/>
    </row>
    <row r="90" spans="5:13" ht="14.25">
      <c r="E90" s="638"/>
      <c r="F90" s="638"/>
      <c r="M90" s="1068"/>
    </row>
    <row r="91" spans="5:13">
      <c r="F91" s="638"/>
    </row>
    <row r="92" spans="5:13">
      <c r="F92" s="638"/>
    </row>
    <row r="93" spans="5:13">
      <c r="F93" s="638"/>
    </row>
    <row r="94" spans="5:13">
      <c r="F94" s="638"/>
    </row>
    <row r="95" spans="5:13">
      <c r="F95" s="638"/>
    </row>
    <row r="96" spans="5:13">
      <c r="F96" s="638"/>
    </row>
  </sheetData>
  <mergeCells count="13">
    <mergeCell ref="N4:N5"/>
    <mergeCell ref="G4:G5"/>
    <mergeCell ref="B2:M2"/>
    <mergeCell ref="G3:H3"/>
    <mergeCell ref="K4:M4"/>
    <mergeCell ref="B4:B5"/>
    <mergeCell ref="C4:C5"/>
    <mergeCell ref="D4:D5"/>
    <mergeCell ref="F4:F5"/>
    <mergeCell ref="E4:E5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Q96"/>
  <sheetViews>
    <sheetView zoomScaleNormal="100" workbookViewId="0">
      <selection activeCell="Q14" sqref="Q14"/>
    </sheetView>
  </sheetViews>
  <sheetFormatPr defaultRowHeight="12.75"/>
  <cols>
    <col min="1" max="1" width="9.140625" style="611"/>
    <col min="2" max="2" width="4.7109375" style="9" customWidth="1"/>
    <col min="3" max="3" width="5.140625" style="9" customWidth="1"/>
    <col min="4" max="4" width="5" style="9" customWidth="1"/>
    <col min="5" max="5" width="8.7109375" style="18" customWidth="1"/>
    <col min="6" max="6" width="8.7109375" style="616" customWidth="1"/>
    <col min="7" max="7" width="50.7109375" style="9" customWidth="1"/>
    <col min="8" max="10" width="14.7109375" style="9" customWidth="1"/>
    <col min="11" max="12" width="14.7109375" style="611" customWidth="1"/>
    <col min="13" max="13" width="15.7109375" style="9" customWidth="1"/>
    <col min="14" max="14" width="7.7109375" style="680" customWidth="1"/>
    <col min="15" max="16384" width="9.140625" style="9"/>
  </cols>
  <sheetData>
    <row r="1" spans="1:17" ht="13.5" thickBot="1"/>
    <row r="2" spans="1:17" s="1052" customFormat="1" ht="20.100000000000001" customHeight="1" thickTop="1" thickBot="1">
      <c r="B2" s="1261" t="s">
        <v>126</v>
      </c>
      <c r="C2" s="1262"/>
      <c r="D2" s="1262"/>
      <c r="E2" s="1262"/>
      <c r="F2" s="1262"/>
      <c r="G2" s="1262"/>
      <c r="H2" s="1262"/>
      <c r="I2" s="1262"/>
      <c r="J2" s="1262"/>
      <c r="K2" s="1262"/>
      <c r="L2" s="1262"/>
      <c r="M2" s="1262"/>
      <c r="N2" s="1056"/>
    </row>
    <row r="3" spans="1:17" s="1" customFormat="1" ht="8.1" customHeight="1" thickTop="1" thickBot="1">
      <c r="A3" s="608"/>
      <c r="E3" s="2"/>
      <c r="F3" s="609"/>
      <c r="G3" s="1264"/>
      <c r="H3" s="1264"/>
      <c r="I3" s="306"/>
      <c r="J3" s="306"/>
      <c r="K3" s="119"/>
      <c r="L3" s="119"/>
      <c r="M3" s="119"/>
      <c r="N3" s="674"/>
    </row>
    <row r="4" spans="1:17" s="1" customFormat="1" ht="39" customHeight="1">
      <c r="A4" s="608"/>
      <c r="B4" s="1268" t="s">
        <v>78</v>
      </c>
      <c r="C4" s="1280" t="s">
        <v>79</v>
      </c>
      <c r="D4" s="1281" t="s">
        <v>110</v>
      </c>
      <c r="E4" s="1282" t="s">
        <v>615</v>
      </c>
      <c r="F4" s="1273" t="s">
        <v>695</v>
      </c>
      <c r="G4" s="1274" t="s">
        <v>80</v>
      </c>
      <c r="H4" s="1283" t="s">
        <v>614</v>
      </c>
      <c r="I4" s="1284" t="s">
        <v>747</v>
      </c>
      <c r="J4" s="1283" t="s">
        <v>667</v>
      </c>
      <c r="K4" s="1265" t="s">
        <v>682</v>
      </c>
      <c r="L4" s="1266"/>
      <c r="M4" s="1267"/>
      <c r="N4" s="1278" t="s">
        <v>756</v>
      </c>
    </row>
    <row r="5" spans="1:17" s="608" customFormat="1" ht="27" customHeight="1">
      <c r="B5" s="1269"/>
      <c r="C5" s="1271"/>
      <c r="D5" s="1271"/>
      <c r="E5" s="1275"/>
      <c r="F5" s="1271"/>
      <c r="G5" s="1275"/>
      <c r="H5" s="1275"/>
      <c r="I5" s="1275"/>
      <c r="J5" s="1275"/>
      <c r="K5" s="1048" t="s">
        <v>753</v>
      </c>
      <c r="L5" s="1048" t="s">
        <v>754</v>
      </c>
      <c r="M5" s="1059" t="s">
        <v>426</v>
      </c>
      <c r="N5" s="1279"/>
    </row>
    <row r="6" spans="1:17" s="2" customFormat="1" ht="12.95" customHeight="1">
      <c r="A6" s="609"/>
      <c r="B6" s="1181">
        <v>1</v>
      </c>
      <c r="C6" s="661">
        <v>2</v>
      </c>
      <c r="D6" s="661">
        <v>3</v>
      </c>
      <c r="E6" s="661">
        <v>4</v>
      </c>
      <c r="F6" s="661">
        <v>5</v>
      </c>
      <c r="G6" s="661">
        <v>6</v>
      </c>
      <c r="H6" s="661">
        <v>7</v>
      </c>
      <c r="I6" s="661">
        <v>8</v>
      </c>
      <c r="J6" s="661">
        <v>9</v>
      </c>
      <c r="K6" s="661">
        <v>10</v>
      </c>
      <c r="L6" s="661">
        <v>11</v>
      </c>
      <c r="M6" s="1201" t="s">
        <v>755</v>
      </c>
      <c r="N6" s="1183">
        <v>13</v>
      </c>
    </row>
    <row r="7" spans="1:17" s="2" customFormat="1" ht="12.95" customHeight="1">
      <c r="A7" s="609"/>
      <c r="B7" s="6" t="s">
        <v>127</v>
      </c>
      <c r="C7" s="7" t="s">
        <v>81</v>
      </c>
      <c r="D7" s="7" t="s">
        <v>82</v>
      </c>
      <c r="E7" s="5"/>
      <c r="F7" s="610"/>
      <c r="G7" s="5"/>
      <c r="H7" s="5"/>
      <c r="I7" s="5"/>
      <c r="J7" s="5"/>
      <c r="K7" s="610"/>
      <c r="L7" s="610"/>
      <c r="M7" s="1060"/>
      <c r="N7" s="675"/>
    </row>
    <row r="8" spans="1:17" s="1" customFormat="1" ht="12.95" customHeight="1">
      <c r="A8" s="608"/>
      <c r="B8" s="12"/>
      <c r="C8" s="8"/>
      <c r="D8" s="8"/>
      <c r="E8" s="635">
        <v>611000</v>
      </c>
      <c r="F8" s="661"/>
      <c r="G8" s="8" t="s">
        <v>163</v>
      </c>
      <c r="H8" s="256">
        <f>SUM(H9:H12)</f>
        <v>267560</v>
      </c>
      <c r="I8" s="741">
        <v>266920</v>
      </c>
      <c r="J8" s="378">
        <v>193018</v>
      </c>
      <c r="K8" s="256">
        <f>SUM(K9:K12)</f>
        <v>276000</v>
      </c>
      <c r="L8" s="256">
        <f>SUM(L9:L12)</f>
        <v>0</v>
      </c>
      <c r="M8" s="1061">
        <f>SUM(M9:M12)</f>
        <v>276000</v>
      </c>
      <c r="N8" s="676">
        <f>IF(I8=0,"",M8/I8*100)</f>
        <v>103.40176832009591</v>
      </c>
    </row>
    <row r="9" spans="1:17" ht="12.95" customHeight="1">
      <c r="B9" s="10"/>
      <c r="C9" s="11"/>
      <c r="D9" s="11"/>
      <c r="E9" s="636">
        <v>611100</v>
      </c>
      <c r="F9" s="662"/>
      <c r="G9" s="20" t="s">
        <v>204</v>
      </c>
      <c r="H9" s="255">
        <f>190940+2000+11000+5800</f>
        <v>209740</v>
      </c>
      <c r="I9" s="740">
        <v>207800</v>
      </c>
      <c r="J9" s="377">
        <v>152052</v>
      </c>
      <c r="K9" s="255">
        <f>216200+1000</f>
        <v>217200</v>
      </c>
      <c r="L9" s="255">
        <v>0</v>
      </c>
      <c r="M9" s="1062">
        <f>SUM(K9:L9)</f>
        <v>217200</v>
      </c>
      <c r="N9" s="677">
        <f>IF(I9=0,"",M9/I9*100)</f>
        <v>104.52358036573628</v>
      </c>
      <c r="O9" s="56"/>
    </row>
    <row r="10" spans="1:17" ht="12.95" customHeight="1">
      <c r="B10" s="10"/>
      <c r="C10" s="11"/>
      <c r="D10" s="11"/>
      <c r="E10" s="636">
        <v>611200</v>
      </c>
      <c r="F10" s="662"/>
      <c r="G10" s="11" t="s">
        <v>205</v>
      </c>
      <c r="H10" s="255">
        <f>54280+0+840+2700</f>
        <v>57820</v>
      </c>
      <c r="I10" s="740">
        <v>59120</v>
      </c>
      <c r="J10" s="377">
        <v>40966</v>
      </c>
      <c r="K10" s="255">
        <f>58000+800</f>
        <v>58800</v>
      </c>
      <c r="L10" s="255">
        <v>0</v>
      </c>
      <c r="M10" s="1062">
        <f t="shared" ref="M10:M11" si="0">SUM(K10:L10)</f>
        <v>58800</v>
      </c>
      <c r="N10" s="677">
        <f t="shared" ref="N10:N35" si="1">IF(I10=0,"",M10/I10*100)</f>
        <v>99.458728010825439</v>
      </c>
    </row>
    <row r="11" spans="1:17" ht="12.95" customHeight="1">
      <c r="B11" s="10"/>
      <c r="C11" s="11"/>
      <c r="D11" s="11"/>
      <c r="E11" s="636">
        <v>611200</v>
      </c>
      <c r="F11" s="662"/>
      <c r="G11" s="229" t="s">
        <v>547</v>
      </c>
      <c r="H11" s="255">
        <v>0</v>
      </c>
      <c r="I11" s="740">
        <v>0</v>
      </c>
      <c r="J11" s="377">
        <v>0</v>
      </c>
      <c r="K11" s="255">
        <v>0</v>
      </c>
      <c r="L11" s="255">
        <v>0</v>
      </c>
      <c r="M11" s="1062">
        <f t="shared" si="0"/>
        <v>0</v>
      </c>
      <c r="N11" s="677" t="str">
        <f t="shared" si="1"/>
        <v/>
      </c>
      <c r="P11" s="63"/>
    </row>
    <row r="12" spans="1:17" ht="12.95" customHeight="1">
      <c r="B12" s="10"/>
      <c r="C12" s="11"/>
      <c r="D12" s="11"/>
      <c r="E12" s="636"/>
      <c r="F12" s="662"/>
      <c r="G12" s="20"/>
      <c r="H12" s="255"/>
      <c r="I12" s="740"/>
      <c r="J12" s="377"/>
      <c r="K12" s="255"/>
      <c r="L12" s="255"/>
      <c r="M12" s="1062"/>
      <c r="N12" s="677" t="str">
        <f t="shared" si="1"/>
        <v/>
      </c>
      <c r="P12" s="56"/>
    </row>
    <row r="13" spans="1:17" s="1" customFormat="1" ht="12.95" customHeight="1">
      <c r="A13" s="608"/>
      <c r="B13" s="12"/>
      <c r="C13" s="8"/>
      <c r="D13" s="8"/>
      <c r="E13" s="635">
        <v>612000</v>
      </c>
      <c r="F13" s="661"/>
      <c r="G13" s="8" t="s">
        <v>162</v>
      </c>
      <c r="H13" s="256">
        <f>H14</f>
        <v>22720</v>
      </c>
      <c r="I13" s="741">
        <v>22720</v>
      </c>
      <c r="J13" s="378">
        <v>16359</v>
      </c>
      <c r="K13" s="256">
        <f>K14</f>
        <v>23250</v>
      </c>
      <c r="L13" s="256">
        <f>L14</f>
        <v>0</v>
      </c>
      <c r="M13" s="1061">
        <f>M14</f>
        <v>23250</v>
      </c>
      <c r="N13" s="676">
        <f t="shared" si="1"/>
        <v>102.33274647887325</v>
      </c>
      <c r="P13" s="69"/>
      <c r="Q13" s="69"/>
    </row>
    <row r="14" spans="1:17" ht="12.95" customHeight="1">
      <c r="B14" s="10"/>
      <c r="C14" s="11"/>
      <c r="D14" s="11"/>
      <c r="E14" s="636">
        <v>612100</v>
      </c>
      <c r="F14" s="662"/>
      <c r="G14" s="13" t="s">
        <v>83</v>
      </c>
      <c r="H14" s="255">
        <f>20470+400+1200+650</f>
        <v>22720</v>
      </c>
      <c r="I14" s="740">
        <v>22720</v>
      </c>
      <c r="J14" s="377">
        <v>16359</v>
      </c>
      <c r="K14" s="255">
        <f>23100+150</f>
        <v>23250</v>
      </c>
      <c r="L14" s="255">
        <v>0</v>
      </c>
      <c r="M14" s="1062">
        <f>SUM(K14:L14)</f>
        <v>23250</v>
      </c>
      <c r="N14" s="677">
        <f t="shared" si="1"/>
        <v>102.33274647887325</v>
      </c>
    </row>
    <row r="15" spans="1:17" ht="12.95" customHeight="1">
      <c r="B15" s="10"/>
      <c r="C15" s="11"/>
      <c r="D15" s="11"/>
      <c r="E15" s="636"/>
      <c r="F15" s="662"/>
      <c r="G15" s="11"/>
      <c r="H15" s="57"/>
      <c r="I15" s="738"/>
      <c r="J15" s="375"/>
      <c r="K15" s="595"/>
      <c r="L15" s="595"/>
      <c r="M15" s="1063"/>
      <c r="N15" s="677" t="str">
        <f t="shared" si="1"/>
        <v/>
      </c>
    </row>
    <row r="16" spans="1:17" s="1" customFormat="1" ht="12.95" customHeight="1">
      <c r="A16" s="608"/>
      <c r="B16" s="12"/>
      <c r="C16" s="8"/>
      <c r="D16" s="8"/>
      <c r="E16" s="635">
        <v>613000</v>
      </c>
      <c r="F16" s="661"/>
      <c r="G16" s="8" t="s">
        <v>164</v>
      </c>
      <c r="H16" s="35">
        <f>SUM(H17:H26)</f>
        <v>403500</v>
      </c>
      <c r="I16" s="737">
        <v>419620</v>
      </c>
      <c r="J16" s="374">
        <v>284798</v>
      </c>
      <c r="K16" s="620">
        <f>SUM(K17:K26)</f>
        <v>401500</v>
      </c>
      <c r="L16" s="620">
        <f>SUM(L17:L26)</f>
        <v>0</v>
      </c>
      <c r="M16" s="1064">
        <f>SUM(M17:M26)</f>
        <v>401500</v>
      </c>
      <c r="N16" s="676">
        <f t="shared" si="1"/>
        <v>95.681807349506698</v>
      </c>
    </row>
    <row r="17" spans="1:15" ht="12.95" customHeight="1">
      <c r="B17" s="10"/>
      <c r="C17" s="11"/>
      <c r="D17" s="11"/>
      <c r="E17" s="636">
        <v>613100</v>
      </c>
      <c r="F17" s="662"/>
      <c r="G17" s="11" t="s">
        <v>84</v>
      </c>
      <c r="H17" s="57">
        <v>7000</v>
      </c>
      <c r="I17" s="738">
        <v>14000</v>
      </c>
      <c r="J17" s="375">
        <v>6964</v>
      </c>
      <c r="K17" s="982">
        <v>8500</v>
      </c>
      <c r="L17" s="982">
        <v>0</v>
      </c>
      <c r="M17" s="1062">
        <f t="shared" ref="M17:M26" si="2">SUM(K17:L17)</f>
        <v>8500</v>
      </c>
      <c r="N17" s="677">
        <f t="shared" si="1"/>
        <v>60.714285714285708</v>
      </c>
    </row>
    <row r="18" spans="1:15" ht="12.95" customHeight="1">
      <c r="B18" s="10"/>
      <c r="C18" s="11"/>
      <c r="D18" s="11"/>
      <c r="E18" s="636">
        <v>613200</v>
      </c>
      <c r="F18" s="662"/>
      <c r="G18" s="11" t="s">
        <v>85</v>
      </c>
      <c r="H18" s="30">
        <v>104000</v>
      </c>
      <c r="I18" s="735">
        <v>84000</v>
      </c>
      <c r="J18" s="372">
        <v>45905</v>
      </c>
      <c r="K18" s="962">
        <v>95000</v>
      </c>
      <c r="L18" s="962">
        <v>0</v>
      </c>
      <c r="M18" s="1062">
        <f t="shared" si="2"/>
        <v>95000</v>
      </c>
      <c r="N18" s="677">
        <f t="shared" si="1"/>
        <v>113.09523809523809</v>
      </c>
    </row>
    <row r="19" spans="1:15" ht="12.95" customHeight="1">
      <c r="B19" s="10"/>
      <c r="C19" s="11"/>
      <c r="D19" s="11"/>
      <c r="E19" s="636">
        <v>613300</v>
      </c>
      <c r="F19" s="662"/>
      <c r="G19" s="20" t="s">
        <v>206</v>
      </c>
      <c r="H19" s="30">
        <v>44000</v>
      </c>
      <c r="I19" s="735">
        <v>40120</v>
      </c>
      <c r="J19" s="372">
        <v>26042</v>
      </c>
      <c r="K19" s="962">
        <v>41500</v>
      </c>
      <c r="L19" s="962">
        <v>0</v>
      </c>
      <c r="M19" s="1062">
        <f t="shared" si="2"/>
        <v>41500</v>
      </c>
      <c r="N19" s="677">
        <f t="shared" si="1"/>
        <v>103.43968095712862</v>
      </c>
    </row>
    <row r="20" spans="1:15" ht="12.95" customHeight="1">
      <c r="B20" s="10"/>
      <c r="C20" s="11"/>
      <c r="D20" s="11"/>
      <c r="E20" s="636">
        <v>613400</v>
      </c>
      <c r="F20" s="662"/>
      <c r="G20" s="11" t="s">
        <v>165</v>
      </c>
      <c r="H20" s="30">
        <v>84000</v>
      </c>
      <c r="I20" s="735">
        <v>87000</v>
      </c>
      <c r="J20" s="372">
        <v>67516</v>
      </c>
      <c r="K20" s="962">
        <v>84000</v>
      </c>
      <c r="L20" s="962">
        <v>0</v>
      </c>
      <c r="M20" s="1062">
        <f t="shared" si="2"/>
        <v>84000</v>
      </c>
      <c r="N20" s="677">
        <f t="shared" si="1"/>
        <v>96.551724137931032</v>
      </c>
    </row>
    <row r="21" spans="1:15" ht="12.95" customHeight="1">
      <c r="B21" s="10"/>
      <c r="C21" s="11"/>
      <c r="D21" s="11"/>
      <c r="E21" s="636">
        <v>613500</v>
      </c>
      <c r="F21" s="662"/>
      <c r="G21" s="11" t="s">
        <v>86</v>
      </c>
      <c r="H21" s="30">
        <v>54000</v>
      </c>
      <c r="I21" s="735">
        <v>72000</v>
      </c>
      <c r="J21" s="372">
        <v>49673</v>
      </c>
      <c r="K21" s="962">
        <v>61000</v>
      </c>
      <c r="L21" s="962">
        <v>0</v>
      </c>
      <c r="M21" s="1062">
        <f t="shared" si="2"/>
        <v>61000</v>
      </c>
      <c r="N21" s="677">
        <f t="shared" si="1"/>
        <v>84.722222222222214</v>
      </c>
    </row>
    <row r="22" spans="1:15" ht="12.95" customHeight="1">
      <c r="B22" s="10"/>
      <c r="C22" s="11"/>
      <c r="D22" s="11"/>
      <c r="E22" s="636">
        <v>613600</v>
      </c>
      <c r="F22" s="662"/>
      <c r="G22" s="20" t="s">
        <v>207</v>
      </c>
      <c r="H22" s="30">
        <v>0</v>
      </c>
      <c r="I22" s="735">
        <v>0</v>
      </c>
      <c r="J22" s="372">
        <v>0</v>
      </c>
      <c r="K22" s="962">
        <v>0</v>
      </c>
      <c r="L22" s="962">
        <v>0</v>
      </c>
      <c r="M22" s="1062">
        <f t="shared" si="2"/>
        <v>0</v>
      </c>
      <c r="N22" s="677" t="str">
        <f t="shared" si="1"/>
        <v/>
      </c>
    </row>
    <row r="23" spans="1:15" ht="12.95" customHeight="1">
      <c r="B23" s="10"/>
      <c r="C23" s="11"/>
      <c r="D23" s="11"/>
      <c r="E23" s="636">
        <v>613700</v>
      </c>
      <c r="F23" s="662"/>
      <c r="G23" s="11" t="s">
        <v>87</v>
      </c>
      <c r="H23" s="30">
        <v>42000</v>
      </c>
      <c r="I23" s="735">
        <v>41000</v>
      </c>
      <c r="J23" s="372">
        <v>32840</v>
      </c>
      <c r="K23" s="962">
        <v>41000</v>
      </c>
      <c r="L23" s="962">
        <v>0</v>
      </c>
      <c r="M23" s="1062">
        <f t="shared" si="2"/>
        <v>41000</v>
      </c>
      <c r="N23" s="677">
        <f t="shared" si="1"/>
        <v>100</v>
      </c>
    </row>
    <row r="24" spans="1:15" ht="12.95" customHeight="1">
      <c r="B24" s="10"/>
      <c r="C24" s="11"/>
      <c r="D24" s="11"/>
      <c r="E24" s="636">
        <v>613800</v>
      </c>
      <c r="F24" s="662"/>
      <c r="G24" s="11" t="s">
        <v>166</v>
      </c>
      <c r="H24" s="30">
        <v>10500</v>
      </c>
      <c r="I24" s="735">
        <v>5500</v>
      </c>
      <c r="J24" s="372">
        <v>2461</v>
      </c>
      <c r="K24" s="962">
        <v>5500</v>
      </c>
      <c r="L24" s="962">
        <v>0</v>
      </c>
      <c r="M24" s="1062">
        <f t="shared" si="2"/>
        <v>5500</v>
      </c>
      <c r="N24" s="677">
        <f t="shared" si="1"/>
        <v>100</v>
      </c>
      <c r="O24" s="56"/>
    </row>
    <row r="25" spans="1:15" ht="12.95" customHeight="1">
      <c r="B25" s="10"/>
      <c r="C25" s="11"/>
      <c r="D25" s="11"/>
      <c r="E25" s="636">
        <v>613900</v>
      </c>
      <c r="F25" s="662"/>
      <c r="G25" s="11" t="s">
        <v>167</v>
      </c>
      <c r="H25" s="57">
        <v>58000</v>
      </c>
      <c r="I25" s="738">
        <v>76000</v>
      </c>
      <c r="J25" s="375">
        <v>53397</v>
      </c>
      <c r="K25" s="982">
        <v>65000</v>
      </c>
      <c r="L25" s="982">
        <v>0</v>
      </c>
      <c r="M25" s="1062">
        <f t="shared" si="2"/>
        <v>65000</v>
      </c>
      <c r="N25" s="677">
        <f t="shared" si="1"/>
        <v>85.526315789473685</v>
      </c>
    </row>
    <row r="26" spans="1:15" ht="12.95" customHeight="1">
      <c r="B26" s="10"/>
      <c r="C26" s="11"/>
      <c r="D26" s="11"/>
      <c r="E26" s="636">
        <v>613900</v>
      </c>
      <c r="F26" s="662"/>
      <c r="G26" s="229" t="s">
        <v>548</v>
      </c>
      <c r="H26" s="31">
        <v>0</v>
      </c>
      <c r="I26" s="736">
        <v>0</v>
      </c>
      <c r="J26" s="373">
        <v>0</v>
      </c>
      <c r="K26" s="978">
        <v>0</v>
      </c>
      <c r="L26" s="978">
        <v>0</v>
      </c>
      <c r="M26" s="1062">
        <f t="shared" si="2"/>
        <v>0</v>
      </c>
      <c r="N26" s="677" t="str">
        <f t="shared" si="1"/>
        <v/>
      </c>
    </row>
    <row r="27" spans="1:15" s="1" customFormat="1" ht="12.95" customHeight="1">
      <c r="A27" s="608"/>
      <c r="B27" s="12"/>
      <c r="C27" s="8"/>
      <c r="D27" s="8"/>
      <c r="E27" s="646"/>
      <c r="F27" s="673"/>
      <c r="G27" s="8"/>
      <c r="H27" s="30"/>
      <c r="I27" s="735"/>
      <c r="J27" s="372"/>
      <c r="K27" s="593"/>
      <c r="L27" s="593"/>
      <c r="M27" s="1063"/>
      <c r="N27" s="677" t="str">
        <f t="shared" si="1"/>
        <v/>
      </c>
    </row>
    <row r="28" spans="1:15" s="1" customFormat="1" ht="12.95" customHeight="1">
      <c r="A28" s="608"/>
      <c r="B28" s="12"/>
      <c r="C28" s="8"/>
      <c r="D28" s="8"/>
      <c r="E28" s="635">
        <v>821000</v>
      </c>
      <c r="F28" s="661"/>
      <c r="G28" s="8" t="s">
        <v>90</v>
      </c>
      <c r="H28" s="15">
        <f>SUM(H29:H30)</f>
        <v>20000</v>
      </c>
      <c r="I28" s="734">
        <v>12500</v>
      </c>
      <c r="J28" s="371">
        <v>9435</v>
      </c>
      <c r="K28" s="615">
        <f>SUM(K29:K30)</f>
        <v>80000</v>
      </c>
      <c r="L28" s="615">
        <f>SUM(L29:L30)</f>
        <v>0</v>
      </c>
      <c r="M28" s="1064">
        <f>SUM(M29:M30)</f>
        <v>80000</v>
      </c>
      <c r="N28" s="676">
        <f t="shared" si="1"/>
        <v>640</v>
      </c>
    </row>
    <row r="29" spans="1:15" ht="12.95" customHeight="1">
      <c r="B29" s="10"/>
      <c r="C29" s="11"/>
      <c r="D29" s="11"/>
      <c r="E29" s="636">
        <v>821200</v>
      </c>
      <c r="F29" s="662"/>
      <c r="G29" s="11" t="s">
        <v>91</v>
      </c>
      <c r="H29" s="57">
        <v>0</v>
      </c>
      <c r="I29" s="738">
        <v>0</v>
      </c>
      <c r="J29" s="375">
        <v>0</v>
      </c>
      <c r="K29" s="595">
        <v>0</v>
      </c>
      <c r="L29" s="595">
        <v>0</v>
      </c>
      <c r="M29" s="1062">
        <f t="shared" ref="M29:M30" si="3">SUM(K29:L29)</f>
        <v>0</v>
      </c>
      <c r="N29" s="677" t="str">
        <f t="shared" si="1"/>
        <v/>
      </c>
    </row>
    <row r="30" spans="1:15" ht="12.95" customHeight="1">
      <c r="B30" s="10"/>
      <c r="C30" s="11"/>
      <c r="D30" s="11"/>
      <c r="E30" s="636">
        <v>821300</v>
      </c>
      <c r="F30" s="662"/>
      <c r="G30" s="11" t="s">
        <v>92</v>
      </c>
      <c r="H30" s="57">
        <v>20000</v>
      </c>
      <c r="I30" s="738">
        <v>12500</v>
      </c>
      <c r="J30" s="375">
        <v>9435</v>
      </c>
      <c r="K30" s="595">
        <v>80000</v>
      </c>
      <c r="L30" s="595">
        <v>0</v>
      </c>
      <c r="M30" s="1062">
        <f t="shared" si="3"/>
        <v>80000</v>
      </c>
      <c r="N30" s="677">
        <f t="shared" si="1"/>
        <v>640</v>
      </c>
    </row>
    <row r="31" spans="1:15" ht="12.95" customHeight="1">
      <c r="B31" s="10"/>
      <c r="C31" s="11"/>
      <c r="D31" s="11"/>
      <c r="E31" s="636"/>
      <c r="F31" s="662"/>
      <c r="G31" s="11"/>
      <c r="H31" s="15"/>
      <c r="I31" s="734"/>
      <c r="J31" s="371"/>
      <c r="K31" s="615"/>
      <c r="L31" s="615"/>
      <c r="M31" s="1064"/>
      <c r="N31" s="677" t="str">
        <f t="shared" si="1"/>
        <v/>
      </c>
    </row>
    <row r="32" spans="1:15" s="1" customFormat="1" ht="12.95" customHeight="1">
      <c r="A32" s="608"/>
      <c r="B32" s="12"/>
      <c r="C32" s="8"/>
      <c r="D32" s="8"/>
      <c r="E32" s="635"/>
      <c r="F32" s="661"/>
      <c r="G32" s="8" t="s">
        <v>93</v>
      </c>
      <c r="H32" s="79">
        <v>16</v>
      </c>
      <c r="I32" s="739">
        <v>16</v>
      </c>
      <c r="J32" s="376">
        <v>16</v>
      </c>
      <c r="K32" s="622">
        <v>16</v>
      </c>
      <c r="L32" s="622"/>
      <c r="M32" s="1064">
        <v>16</v>
      </c>
      <c r="N32" s="677"/>
    </row>
    <row r="33" spans="1:14" s="1" customFormat="1" ht="12.95" customHeight="1">
      <c r="A33" s="608"/>
      <c r="B33" s="12"/>
      <c r="C33" s="8"/>
      <c r="D33" s="8"/>
      <c r="E33" s="635"/>
      <c r="F33" s="661"/>
      <c r="G33" s="8" t="s">
        <v>113</v>
      </c>
      <c r="H33" s="15">
        <f>H8+H13+H16+H28</f>
        <v>713780</v>
      </c>
      <c r="I33" s="15">
        <f>I8+I13+I16+I28</f>
        <v>721760</v>
      </c>
      <c r="J33" s="15">
        <f t="shared" ref="J33" si="4">J8+J13+J16+J28</f>
        <v>503610</v>
      </c>
      <c r="K33" s="615">
        <f>K8+K13+K16+K28</f>
        <v>780750</v>
      </c>
      <c r="L33" s="615">
        <f>L8+L13+L16+L28</f>
        <v>0</v>
      </c>
      <c r="M33" s="1064">
        <f>M8+M13+M16+M28</f>
        <v>780750</v>
      </c>
      <c r="N33" s="676">
        <f t="shared" si="1"/>
        <v>108.17307692307692</v>
      </c>
    </row>
    <row r="34" spans="1:14" s="1" customFormat="1" ht="12.95" customHeight="1">
      <c r="A34" s="608"/>
      <c r="B34" s="12"/>
      <c r="C34" s="8"/>
      <c r="D34" s="8"/>
      <c r="E34" s="635"/>
      <c r="F34" s="661"/>
      <c r="G34" s="8" t="s">
        <v>94</v>
      </c>
      <c r="H34" s="15">
        <f>H33</f>
        <v>713780</v>
      </c>
      <c r="I34" s="15">
        <f>I33</f>
        <v>721760</v>
      </c>
      <c r="J34" s="15">
        <f t="shared" ref="J34" si="5">J33</f>
        <v>503610</v>
      </c>
      <c r="K34" s="615">
        <f t="shared" ref="K34:M35" si="6">K33</f>
        <v>780750</v>
      </c>
      <c r="L34" s="615">
        <f t="shared" si="6"/>
        <v>0</v>
      </c>
      <c r="M34" s="1064">
        <f t="shared" si="6"/>
        <v>780750</v>
      </c>
      <c r="N34" s="676">
        <f>IF(I34=0,"",M34/I34*100)</f>
        <v>108.17307692307692</v>
      </c>
    </row>
    <row r="35" spans="1:14" s="1" customFormat="1" ht="12.95" customHeight="1">
      <c r="A35" s="608"/>
      <c r="B35" s="12"/>
      <c r="C35" s="8"/>
      <c r="D35" s="8"/>
      <c r="E35" s="635"/>
      <c r="F35" s="661"/>
      <c r="G35" s="8" t="s">
        <v>95</v>
      </c>
      <c r="H35" s="15">
        <f>H34</f>
        <v>713780</v>
      </c>
      <c r="I35" s="15">
        <f>I34</f>
        <v>721760</v>
      </c>
      <c r="J35" s="15">
        <f t="shared" ref="J35" si="7">J34</f>
        <v>503610</v>
      </c>
      <c r="K35" s="615">
        <f t="shared" si="6"/>
        <v>780750</v>
      </c>
      <c r="L35" s="615">
        <f t="shared" si="6"/>
        <v>0</v>
      </c>
      <c r="M35" s="1064">
        <f t="shared" si="6"/>
        <v>780750</v>
      </c>
      <c r="N35" s="676">
        <f t="shared" si="1"/>
        <v>108.17307692307692</v>
      </c>
    </row>
    <row r="36" spans="1:14" ht="12.95" customHeight="1" thickBot="1">
      <c r="B36" s="16"/>
      <c r="C36" s="17"/>
      <c r="D36" s="17"/>
      <c r="E36" s="637"/>
      <c r="F36" s="663"/>
      <c r="G36" s="17"/>
      <c r="H36" s="17"/>
      <c r="I36" s="17"/>
      <c r="J36" s="17"/>
      <c r="K36" s="17"/>
      <c r="L36" s="17"/>
      <c r="M36" s="1071"/>
      <c r="N36" s="679"/>
    </row>
    <row r="37" spans="1:14" ht="12.95" customHeight="1">
      <c r="E37" s="638"/>
      <c r="F37" s="664"/>
      <c r="M37" s="1068"/>
    </row>
    <row r="38" spans="1:14" ht="12.95" customHeight="1">
      <c r="B38" s="56"/>
      <c r="E38" s="638"/>
      <c r="F38" s="664"/>
      <c r="M38" s="1068"/>
    </row>
    <row r="39" spans="1:14" ht="12.95" customHeight="1">
      <c r="B39" s="56"/>
      <c r="E39" s="638"/>
      <c r="F39" s="664"/>
      <c r="M39" s="1068"/>
    </row>
    <row r="40" spans="1:14" ht="12.95" customHeight="1">
      <c r="B40" s="56"/>
      <c r="E40" s="638"/>
      <c r="F40" s="664"/>
      <c r="M40" s="1068"/>
    </row>
    <row r="41" spans="1:14" ht="12.95" customHeight="1">
      <c r="B41" s="56"/>
      <c r="E41" s="638"/>
      <c r="F41" s="664"/>
      <c r="M41" s="1068"/>
    </row>
    <row r="42" spans="1:14" ht="12.95" customHeight="1">
      <c r="E42" s="638"/>
      <c r="F42" s="664"/>
      <c r="M42" s="1068"/>
    </row>
    <row r="43" spans="1:14" ht="12.95" customHeight="1">
      <c r="E43" s="638"/>
      <c r="F43" s="664"/>
      <c r="M43" s="1068"/>
    </row>
    <row r="44" spans="1:14" ht="12.95" customHeight="1">
      <c r="E44" s="638"/>
      <c r="F44" s="664"/>
      <c r="M44" s="1068"/>
    </row>
    <row r="45" spans="1:14" ht="12.95" customHeight="1">
      <c r="E45" s="638"/>
      <c r="F45" s="664"/>
      <c r="M45" s="1068"/>
    </row>
    <row r="46" spans="1:14" ht="12.95" customHeight="1">
      <c r="E46" s="638"/>
      <c r="F46" s="664"/>
      <c r="M46" s="1068"/>
    </row>
    <row r="47" spans="1:14" ht="12.95" customHeight="1">
      <c r="E47" s="638"/>
      <c r="F47" s="664"/>
      <c r="M47" s="1068"/>
    </row>
    <row r="48" spans="1:14" ht="12.95" customHeight="1">
      <c r="E48" s="638"/>
      <c r="F48" s="664"/>
      <c r="M48" s="1068"/>
    </row>
    <row r="49" spans="5:13" ht="12.95" customHeight="1">
      <c r="E49" s="638"/>
      <c r="F49" s="664"/>
      <c r="M49" s="1068"/>
    </row>
    <row r="50" spans="5:13" ht="12.95" customHeight="1">
      <c r="E50" s="638"/>
      <c r="F50" s="664"/>
      <c r="M50" s="1068"/>
    </row>
    <row r="51" spans="5:13" ht="12.95" customHeight="1">
      <c r="E51" s="638"/>
      <c r="F51" s="664"/>
      <c r="M51" s="1068"/>
    </row>
    <row r="52" spans="5:13" ht="12.95" customHeight="1">
      <c r="E52" s="638"/>
      <c r="F52" s="664"/>
      <c r="M52" s="1068"/>
    </row>
    <row r="53" spans="5:13" ht="12.95" customHeight="1">
      <c r="E53" s="638"/>
      <c r="F53" s="664"/>
      <c r="M53" s="1068"/>
    </row>
    <row r="54" spans="5:13" ht="12.95" customHeight="1">
      <c r="E54" s="638"/>
      <c r="F54" s="664"/>
      <c r="M54" s="1068"/>
    </row>
    <row r="55" spans="5:13" ht="12.95" customHeight="1">
      <c r="E55" s="638"/>
      <c r="F55" s="664"/>
      <c r="M55" s="1068"/>
    </row>
    <row r="56" spans="5:13" ht="12.95" customHeight="1">
      <c r="E56" s="638"/>
      <c r="F56" s="664"/>
      <c r="M56" s="1068"/>
    </row>
    <row r="57" spans="5:13" ht="12.95" customHeight="1">
      <c r="E57" s="638"/>
      <c r="F57" s="664"/>
      <c r="M57" s="1068"/>
    </row>
    <row r="58" spans="5:13" ht="12.95" customHeight="1">
      <c r="E58" s="638"/>
      <c r="F58" s="664"/>
      <c r="M58" s="1068"/>
    </row>
    <row r="59" spans="5:13" ht="12.95" customHeight="1">
      <c r="E59" s="638"/>
      <c r="F59" s="664"/>
      <c r="M59" s="1068"/>
    </row>
    <row r="60" spans="5:13" ht="17.100000000000001" customHeight="1">
      <c r="E60" s="638"/>
      <c r="F60" s="664"/>
      <c r="M60" s="1068"/>
    </row>
    <row r="61" spans="5:13" ht="14.25">
      <c r="E61" s="638"/>
      <c r="F61" s="664"/>
      <c r="M61" s="1068"/>
    </row>
    <row r="62" spans="5:13" ht="14.25">
      <c r="E62" s="638"/>
      <c r="F62" s="664"/>
      <c r="M62" s="1068"/>
    </row>
    <row r="63" spans="5:13" ht="14.25">
      <c r="E63" s="638"/>
      <c r="F63" s="664"/>
      <c r="M63" s="1068"/>
    </row>
    <row r="64" spans="5:13" ht="14.25">
      <c r="E64" s="638"/>
      <c r="F64" s="664"/>
      <c r="M64" s="1068"/>
    </row>
    <row r="65" spans="5:13" ht="14.25">
      <c r="E65" s="638"/>
      <c r="F65" s="664"/>
      <c r="M65" s="1068"/>
    </row>
    <row r="66" spans="5:13" ht="14.25">
      <c r="E66" s="638"/>
      <c r="F66" s="664"/>
      <c r="M66" s="1068"/>
    </row>
    <row r="67" spans="5:13" ht="14.25">
      <c r="E67" s="638"/>
      <c r="F67" s="664"/>
      <c r="M67" s="1068"/>
    </row>
    <row r="68" spans="5:13" ht="14.25">
      <c r="E68" s="638"/>
      <c r="F68" s="664"/>
      <c r="M68" s="1068"/>
    </row>
    <row r="69" spans="5:13" ht="14.25">
      <c r="E69" s="638"/>
      <c r="F69" s="664"/>
      <c r="M69" s="1068"/>
    </row>
    <row r="70" spans="5:13" ht="14.25">
      <c r="E70" s="638"/>
      <c r="F70" s="664"/>
      <c r="M70" s="1068"/>
    </row>
    <row r="71" spans="5:13" ht="14.25">
      <c r="E71" s="638"/>
      <c r="F71" s="664"/>
      <c r="M71" s="1068"/>
    </row>
    <row r="72" spans="5:13" ht="14.25">
      <c r="E72" s="638"/>
      <c r="F72" s="664"/>
      <c r="M72" s="1068"/>
    </row>
    <row r="73" spans="5:13" ht="14.25">
      <c r="E73" s="638"/>
      <c r="F73" s="664"/>
      <c r="M73" s="1068"/>
    </row>
    <row r="74" spans="5:13" ht="14.25">
      <c r="E74" s="638"/>
      <c r="F74" s="638"/>
      <c r="M74" s="1068"/>
    </row>
    <row r="75" spans="5:13" ht="14.25">
      <c r="E75" s="638"/>
      <c r="F75" s="638"/>
      <c r="M75" s="1068"/>
    </row>
    <row r="76" spans="5:13" ht="14.25">
      <c r="E76" s="638"/>
      <c r="F76" s="638"/>
      <c r="M76" s="1068"/>
    </row>
    <row r="77" spans="5:13" ht="14.25">
      <c r="E77" s="638"/>
      <c r="F77" s="638"/>
      <c r="M77" s="1068"/>
    </row>
    <row r="78" spans="5:13" ht="14.25">
      <c r="E78" s="638"/>
      <c r="F78" s="638"/>
      <c r="M78" s="1068"/>
    </row>
    <row r="79" spans="5:13" ht="14.25">
      <c r="E79" s="638"/>
      <c r="F79" s="638"/>
      <c r="M79" s="1068"/>
    </row>
    <row r="80" spans="5:13" ht="14.25">
      <c r="E80" s="638"/>
      <c r="F80" s="638"/>
      <c r="M80" s="1068"/>
    </row>
    <row r="81" spans="5:13" ht="14.25">
      <c r="E81" s="638"/>
      <c r="F81" s="638"/>
      <c r="M81" s="1068"/>
    </row>
    <row r="82" spans="5:13" ht="14.25">
      <c r="E82" s="638"/>
      <c r="F82" s="638"/>
      <c r="M82" s="1068"/>
    </row>
    <row r="83" spans="5:13" ht="14.25">
      <c r="E83" s="638"/>
      <c r="F83" s="638"/>
      <c r="M83" s="1068"/>
    </row>
    <row r="84" spans="5:13" ht="14.25">
      <c r="E84" s="638"/>
      <c r="F84" s="638"/>
      <c r="M84" s="1068"/>
    </row>
    <row r="85" spans="5:13" ht="14.25">
      <c r="E85" s="638"/>
      <c r="F85" s="638"/>
      <c r="M85" s="1068"/>
    </row>
    <row r="86" spans="5:13" ht="14.25">
      <c r="E86" s="638"/>
      <c r="F86" s="638"/>
      <c r="M86" s="1068"/>
    </row>
    <row r="87" spans="5:13" ht="14.25">
      <c r="E87" s="638"/>
      <c r="F87" s="638"/>
      <c r="M87" s="1068"/>
    </row>
    <row r="88" spans="5:13" ht="14.25">
      <c r="E88" s="638"/>
      <c r="F88" s="638"/>
      <c r="M88" s="1068"/>
    </row>
    <row r="89" spans="5:13" ht="14.25">
      <c r="E89" s="638"/>
      <c r="F89" s="638"/>
      <c r="M89" s="1068"/>
    </row>
    <row r="90" spans="5:13" ht="14.25">
      <c r="E90" s="638"/>
      <c r="F90" s="638"/>
      <c r="M90" s="1068"/>
    </row>
    <row r="91" spans="5:13">
      <c r="F91" s="638"/>
    </row>
    <row r="92" spans="5:13">
      <c r="F92" s="638"/>
    </row>
    <row r="93" spans="5:13">
      <c r="F93" s="638"/>
    </row>
    <row r="94" spans="5:13">
      <c r="F94" s="638"/>
    </row>
    <row r="95" spans="5:13">
      <c r="F95" s="638"/>
    </row>
    <row r="96" spans="5:13">
      <c r="F96" s="638"/>
    </row>
  </sheetData>
  <mergeCells count="13">
    <mergeCell ref="N4:N5"/>
    <mergeCell ref="G4:G5"/>
    <mergeCell ref="B2:M2"/>
    <mergeCell ref="G3:H3"/>
    <mergeCell ref="K4:M4"/>
    <mergeCell ref="B4:B5"/>
    <mergeCell ref="C4:C5"/>
    <mergeCell ref="D4:D5"/>
    <mergeCell ref="F4:F5"/>
    <mergeCell ref="E4:E5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P96"/>
  <sheetViews>
    <sheetView zoomScaleNormal="100" workbookViewId="0">
      <selection activeCell="Q14" sqref="Q14"/>
    </sheetView>
  </sheetViews>
  <sheetFormatPr defaultRowHeight="12.75"/>
  <cols>
    <col min="1" max="1" width="9.140625" style="611"/>
    <col min="2" max="2" width="4.7109375" style="9" customWidth="1"/>
    <col min="3" max="3" width="5.140625" style="9" customWidth="1"/>
    <col min="4" max="4" width="5" style="9" customWidth="1"/>
    <col min="5" max="5" width="8.7109375" style="18" customWidth="1"/>
    <col min="6" max="6" width="8.7109375" style="616" customWidth="1"/>
    <col min="7" max="7" width="50.7109375" style="9" customWidth="1"/>
    <col min="8" max="10" width="14.7109375" style="9" customWidth="1"/>
    <col min="11" max="12" width="14.7109375" style="611" customWidth="1"/>
    <col min="13" max="13" width="15.7109375" style="9" customWidth="1"/>
    <col min="14" max="14" width="7.7109375" style="680" customWidth="1"/>
    <col min="15" max="15" width="9.140625" style="9"/>
    <col min="16" max="16" width="9.5703125" style="9" bestFit="1" customWidth="1"/>
    <col min="17" max="16384" width="9.140625" style="9"/>
  </cols>
  <sheetData>
    <row r="1" spans="1:16" ht="13.5" thickBot="1"/>
    <row r="2" spans="1:16" s="126" customFormat="1" ht="20.100000000000001" customHeight="1" thickTop="1" thickBot="1">
      <c r="A2" s="1052"/>
      <c r="B2" s="1261" t="s">
        <v>128</v>
      </c>
      <c r="C2" s="1262"/>
      <c r="D2" s="1262"/>
      <c r="E2" s="1262"/>
      <c r="F2" s="1262"/>
      <c r="G2" s="1262"/>
      <c r="H2" s="1262"/>
      <c r="I2" s="1262"/>
      <c r="J2" s="1262"/>
      <c r="K2" s="1262"/>
      <c r="L2" s="1262"/>
      <c r="M2" s="1262"/>
      <c r="N2" s="1056"/>
    </row>
    <row r="3" spans="1:16" s="1" customFormat="1" ht="8.1" customHeight="1" thickTop="1" thickBot="1">
      <c r="A3" s="608"/>
      <c r="E3" s="2"/>
      <c r="F3" s="609"/>
      <c r="G3" s="1264"/>
      <c r="H3" s="1264"/>
      <c r="I3" s="306"/>
      <c r="J3" s="306"/>
      <c r="K3" s="119"/>
      <c r="L3" s="119"/>
      <c r="M3" s="119"/>
      <c r="N3" s="674"/>
    </row>
    <row r="4" spans="1:16" s="1" customFormat="1" ht="39" customHeight="1">
      <c r="A4" s="608"/>
      <c r="B4" s="1268" t="s">
        <v>78</v>
      </c>
      <c r="C4" s="1280" t="s">
        <v>79</v>
      </c>
      <c r="D4" s="1281" t="s">
        <v>110</v>
      </c>
      <c r="E4" s="1282" t="s">
        <v>615</v>
      </c>
      <c r="F4" s="1273" t="s">
        <v>695</v>
      </c>
      <c r="G4" s="1274" t="s">
        <v>80</v>
      </c>
      <c r="H4" s="1283" t="s">
        <v>614</v>
      </c>
      <c r="I4" s="1284" t="s">
        <v>747</v>
      </c>
      <c r="J4" s="1283" t="s">
        <v>667</v>
      </c>
      <c r="K4" s="1265" t="s">
        <v>682</v>
      </c>
      <c r="L4" s="1266"/>
      <c r="M4" s="1267"/>
      <c r="N4" s="1278" t="s">
        <v>756</v>
      </c>
    </row>
    <row r="5" spans="1:16" s="608" customFormat="1" ht="27" customHeight="1">
      <c r="B5" s="1269"/>
      <c r="C5" s="1271"/>
      <c r="D5" s="1271"/>
      <c r="E5" s="1275"/>
      <c r="F5" s="1271"/>
      <c r="G5" s="1275"/>
      <c r="H5" s="1275"/>
      <c r="I5" s="1275"/>
      <c r="J5" s="1275"/>
      <c r="K5" s="1048" t="s">
        <v>753</v>
      </c>
      <c r="L5" s="1048" t="s">
        <v>754</v>
      </c>
      <c r="M5" s="1059" t="s">
        <v>426</v>
      </c>
      <c r="N5" s="1279"/>
    </row>
    <row r="6" spans="1:16" s="2" customFormat="1" ht="12.95" customHeight="1">
      <c r="A6" s="609"/>
      <c r="B6" s="1181">
        <v>1</v>
      </c>
      <c r="C6" s="661">
        <v>2</v>
      </c>
      <c r="D6" s="661">
        <v>3</v>
      </c>
      <c r="E6" s="661">
        <v>4</v>
      </c>
      <c r="F6" s="661">
        <v>5</v>
      </c>
      <c r="G6" s="661">
        <v>6</v>
      </c>
      <c r="H6" s="661">
        <v>7</v>
      </c>
      <c r="I6" s="661">
        <v>8</v>
      </c>
      <c r="J6" s="661">
        <v>9</v>
      </c>
      <c r="K6" s="661">
        <v>10</v>
      </c>
      <c r="L6" s="661">
        <v>11</v>
      </c>
      <c r="M6" s="1201" t="s">
        <v>755</v>
      </c>
      <c r="N6" s="1183">
        <v>13</v>
      </c>
    </row>
    <row r="7" spans="1:16" s="2" customFormat="1" ht="12.95" customHeight="1">
      <c r="A7" s="609"/>
      <c r="B7" s="6" t="s">
        <v>129</v>
      </c>
      <c r="C7" s="7" t="s">
        <v>81</v>
      </c>
      <c r="D7" s="7" t="s">
        <v>82</v>
      </c>
      <c r="E7" s="5"/>
      <c r="F7" s="610"/>
      <c r="G7" s="5"/>
      <c r="H7" s="5"/>
      <c r="I7" s="5"/>
      <c r="J7" s="5"/>
      <c r="K7" s="610"/>
      <c r="L7" s="610"/>
      <c r="M7" s="1060"/>
      <c r="N7" s="675"/>
    </row>
    <row r="8" spans="1:16" s="1" customFormat="1" ht="12.95" customHeight="1">
      <c r="A8" s="608"/>
      <c r="B8" s="12"/>
      <c r="C8" s="8"/>
      <c r="D8" s="8"/>
      <c r="E8" s="635">
        <v>611000</v>
      </c>
      <c r="F8" s="661"/>
      <c r="G8" s="8" t="s">
        <v>163</v>
      </c>
      <c r="H8" s="256">
        <f>SUM(H9:H12)</f>
        <v>4713610</v>
      </c>
      <c r="I8" s="747">
        <v>4707110</v>
      </c>
      <c r="J8" s="384">
        <v>3477157</v>
      </c>
      <c r="K8" s="256">
        <f>SUM(K9:K12)</f>
        <v>4844890</v>
      </c>
      <c r="L8" s="256">
        <f>SUM(L9:L12)</f>
        <v>0</v>
      </c>
      <c r="M8" s="1061">
        <f>SUM(M9:M12)</f>
        <v>4844890</v>
      </c>
      <c r="N8" s="676">
        <f>IF(I8=0,"",M8/I8*100)</f>
        <v>102.92706140285652</v>
      </c>
      <c r="P8" s="65"/>
    </row>
    <row r="9" spans="1:16" ht="12.95" customHeight="1">
      <c r="B9" s="10"/>
      <c r="C9" s="11"/>
      <c r="D9" s="11"/>
      <c r="E9" s="636">
        <v>611100</v>
      </c>
      <c r="F9" s="662"/>
      <c r="G9" s="20" t="s">
        <v>204</v>
      </c>
      <c r="H9" s="255">
        <f>3702900+9000+9970+7*4430+4*10900+111100+2250</f>
        <v>3909830</v>
      </c>
      <c r="I9" s="746">
        <v>3866700</v>
      </c>
      <c r="J9" s="383">
        <v>2889201</v>
      </c>
      <c r="K9" s="255">
        <f>3854000+8400+7*12*1200+4380+14*500+10*2*1200+2*6*1650</f>
        <v>4018380</v>
      </c>
      <c r="L9" s="255">
        <v>0</v>
      </c>
      <c r="M9" s="1062">
        <f>SUM(K9:L9)</f>
        <v>4018380</v>
      </c>
      <c r="N9" s="677">
        <f>IF(I9=0,"",M9/I9*100)</f>
        <v>103.92272480409652</v>
      </c>
      <c r="O9" s="82"/>
    </row>
    <row r="10" spans="1:16" ht="12.95" customHeight="1">
      <c r="B10" s="10"/>
      <c r="C10" s="11"/>
      <c r="D10" s="11"/>
      <c r="E10" s="636">
        <v>611200</v>
      </c>
      <c r="F10" s="662"/>
      <c r="G10" s="11" t="s">
        <v>205</v>
      </c>
      <c r="H10" s="255">
        <f>762360+7*840+2*1470+8630+7*1710+4*3000</f>
        <v>803780</v>
      </c>
      <c r="I10" s="746">
        <v>840410</v>
      </c>
      <c r="J10" s="383">
        <v>587956</v>
      </c>
      <c r="K10" s="255">
        <f>762500+3400+7*4100+11750+14*900+12*2*21*15</f>
        <v>826510</v>
      </c>
      <c r="L10" s="255">
        <v>0</v>
      </c>
      <c r="M10" s="1062">
        <f t="shared" ref="M10:M11" si="0">SUM(K10:L10)</f>
        <v>826510</v>
      </c>
      <c r="N10" s="677">
        <f t="shared" ref="N10:N35" si="1">IF(I10=0,"",M10/I10*100)</f>
        <v>98.346045382610868</v>
      </c>
      <c r="O10" s="83"/>
    </row>
    <row r="11" spans="1:16" ht="12.95" customHeight="1">
      <c r="B11" s="10"/>
      <c r="C11" s="11"/>
      <c r="D11" s="11"/>
      <c r="E11" s="636">
        <v>611200</v>
      </c>
      <c r="F11" s="662"/>
      <c r="G11" s="229" t="s">
        <v>547</v>
      </c>
      <c r="H11" s="255">
        <v>0</v>
      </c>
      <c r="I11" s="746">
        <v>0</v>
      </c>
      <c r="J11" s="383">
        <v>0</v>
      </c>
      <c r="K11" s="255">
        <v>0</v>
      </c>
      <c r="L11" s="255">
        <v>0</v>
      </c>
      <c r="M11" s="1062">
        <f t="shared" si="0"/>
        <v>0</v>
      </c>
      <c r="N11" s="677" t="str">
        <f t="shared" si="1"/>
        <v/>
      </c>
      <c r="P11" s="63"/>
    </row>
    <row r="12" spans="1:16" ht="12.95" customHeight="1">
      <c r="B12" s="10"/>
      <c r="C12" s="11"/>
      <c r="D12" s="11"/>
      <c r="E12" s="636"/>
      <c r="F12" s="662"/>
      <c r="G12" s="20"/>
      <c r="H12" s="255"/>
      <c r="I12" s="746"/>
      <c r="J12" s="383"/>
      <c r="K12" s="255"/>
      <c r="L12" s="255"/>
      <c r="M12" s="1062"/>
      <c r="N12" s="677" t="str">
        <f t="shared" si="1"/>
        <v/>
      </c>
      <c r="O12" s="83"/>
    </row>
    <row r="13" spans="1:16" s="1" customFormat="1" ht="12.95" customHeight="1">
      <c r="A13" s="608"/>
      <c r="B13" s="12"/>
      <c r="C13" s="8"/>
      <c r="D13" s="8"/>
      <c r="E13" s="635">
        <v>612000</v>
      </c>
      <c r="F13" s="661"/>
      <c r="G13" s="8" t="s">
        <v>162</v>
      </c>
      <c r="H13" s="256">
        <f>H14</f>
        <v>604740</v>
      </c>
      <c r="I13" s="747">
        <v>604570</v>
      </c>
      <c r="J13" s="384">
        <v>451187</v>
      </c>
      <c r="K13" s="256">
        <f>K14</f>
        <v>626380</v>
      </c>
      <c r="L13" s="256">
        <f>L14</f>
        <v>0</v>
      </c>
      <c r="M13" s="1061">
        <f>M14</f>
        <v>626380</v>
      </c>
      <c r="N13" s="676">
        <f t="shared" si="1"/>
        <v>103.60752270208577</v>
      </c>
      <c r="O13" s="84"/>
    </row>
    <row r="14" spans="1:16" ht="12.95" customHeight="1">
      <c r="B14" s="10"/>
      <c r="C14" s="11"/>
      <c r="D14" s="11"/>
      <c r="E14" s="636">
        <v>612100</v>
      </c>
      <c r="F14" s="662"/>
      <c r="G14" s="13" t="s">
        <v>83</v>
      </c>
      <c r="H14" s="255">
        <f>574340+3500+7*650+4*1200+17250+300</f>
        <v>604740</v>
      </c>
      <c r="I14" s="746">
        <v>604570</v>
      </c>
      <c r="J14" s="383">
        <v>451187</v>
      </c>
      <c r="K14" s="255">
        <f>601000+1000+7*200*12+14*70+10*2*180+2*6*250</f>
        <v>626380</v>
      </c>
      <c r="L14" s="255">
        <v>0</v>
      </c>
      <c r="M14" s="1062">
        <f>SUM(K14:L14)</f>
        <v>626380</v>
      </c>
      <c r="N14" s="677">
        <f t="shared" si="1"/>
        <v>103.60752270208577</v>
      </c>
      <c r="O14" s="82"/>
    </row>
    <row r="15" spans="1:16" ht="12.95" customHeight="1">
      <c r="B15" s="10"/>
      <c r="C15" s="11"/>
      <c r="D15" s="11"/>
      <c r="E15" s="636"/>
      <c r="F15" s="662"/>
      <c r="G15" s="20"/>
      <c r="H15" s="57"/>
      <c r="I15" s="743"/>
      <c r="J15" s="380"/>
      <c r="K15" s="595"/>
      <c r="L15" s="595"/>
      <c r="M15" s="1063"/>
      <c r="N15" s="677" t="str">
        <f t="shared" si="1"/>
        <v/>
      </c>
      <c r="O15" s="83"/>
    </row>
    <row r="16" spans="1:16" s="1" customFormat="1" ht="12.95" customHeight="1">
      <c r="A16" s="608"/>
      <c r="B16" s="12"/>
      <c r="C16" s="8"/>
      <c r="D16" s="8"/>
      <c r="E16" s="635">
        <v>613000</v>
      </c>
      <c r="F16" s="661"/>
      <c r="G16" s="8" t="s">
        <v>164</v>
      </c>
      <c r="H16" s="79">
        <f>SUM(H17:H26)</f>
        <v>772500</v>
      </c>
      <c r="I16" s="744">
        <v>772500</v>
      </c>
      <c r="J16" s="381">
        <v>484820</v>
      </c>
      <c r="K16" s="622">
        <f>SUM(K17:K26)</f>
        <v>797400</v>
      </c>
      <c r="L16" s="622">
        <f>SUM(L17:L26)</f>
        <v>0</v>
      </c>
      <c r="M16" s="1064">
        <f>SUM(M17:M26)</f>
        <v>797400</v>
      </c>
      <c r="N16" s="676">
        <f t="shared" si="1"/>
        <v>103.22330097087378</v>
      </c>
    </row>
    <row r="17" spans="1:15" ht="12.95" customHeight="1">
      <c r="B17" s="10"/>
      <c r="C17" s="11"/>
      <c r="D17" s="11"/>
      <c r="E17" s="636">
        <v>613100</v>
      </c>
      <c r="F17" s="662"/>
      <c r="G17" s="11" t="s">
        <v>84</v>
      </c>
      <c r="H17" s="57">
        <v>14500</v>
      </c>
      <c r="I17" s="743">
        <v>12900</v>
      </c>
      <c r="J17" s="380">
        <v>6533</v>
      </c>
      <c r="K17" s="982">
        <v>12900</v>
      </c>
      <c r="L17" s="982">
        <v>0</v>
      </c>
      <c r="M17" s="1062">
        <f t="shared" ref="M17:M26" si="2">SUM(K17:L17)</f>
        <v>12900</v>
      </c>
      <c r="N17" s="677">
        <f t="shared" si="1"/>
        <v>100</v>
      </c>
    </row>
    <row r="18" spans="1:15" ht="12.95" customHeight="1">
      <c r="B18" s="10"/>
      <c r="C18" s="11"/>
      <c r="D18" s="11"/>
      <c r="E18" s="636">
        <v>613200</v>
      </c>
      <c r="F18" s="662"/>
      <c r="G18" s="11" t="s">
        <v>85</v>
      </c>
      <c r="H18" s="57">
        <v>90000</v>
      </c>
      <c r="I18" s="743">
        <v>83000</v>
      </c>
      <c r="J18" s="380">
        <v>51771</v>
      </c>
      <c r="K18" s="982">
        <v>83000</v>
      </c>
      <c r="L18" s="982">
        <v>0</v>
      </c>
      <c r="M18" s="1062">
        <f t="shared" si="2"/>
        <v>83000</v>
      </c>
      <c r="N18" s="677">
        <f t="shared" si="1"/>
        <v>100</v>
      </c>
    </row>
    <row r="19" spans="1:15" ht="12.95" customHeight="1">
      <c r="B19" s="10"/>
      <c r="C19" s="11"/>
      <c r="D19" s="11"/>
      <c r="E19" s="636">
        <v>613300</v>
      </c>
      <c r="F19" s="662"/>
      <c r="G19" s="20" t="s">
        <v>206</v>
      </c>
      <c r="H19" s="57">
        <v>92000</v>
      </c>
      <c r="I19" s="743">
        <v>85100</v>
      </c>
      <c r="J19" s="380">
        <v>57263</v>
      </c>
      <c r="K19" s="982">
        <v>92000</v>
      </c>
      <c r="L19" s="982">
        <v>0</v>
      </c>
      <c r="M19" s="1062">
        <f t="shared" si="2"/>
        <v>92000</v>
      </c>
      <c r="N19" s="677">
        <f t="shared" si="1"/>
        <v>108.10810810810811</v>
      </c>
    </row>
    <row r="20" spans="1:15" ht="12.95" customHeight="1">
      <c r="B20" s="10"/>
      <c r="C20" s="11"/>
      <c r="D20" s="11"/>
      <c r="E20" s="636">
        <v>613400</v>
      </c>
      <c r="F20" s="662"/>
      <c r="G20" s="11" t="s">
        <v>165</v>
      </c>
      <c r="H20" s="57">
        <v>200000</v>
      </c>
      <c r="I20" s="743">
        <v>243000</v>
      </c>
      <c r="J20" s="380">
        <v>138773</v>
      </c>
      <c r="K20" s="982">
        <v>200000</v>
      </c>
      <c r="L20" s="982">
        <v>0</v>
      </c>
      <c r="M20" s="1062">
        <f t="shared" si="2"/>
        <v>200000</v>
      </c>
      <c r="N20" s="677">
        <f t="shared" si="1"/>
        <v>82.304526748971199</v>
      </c>
    </row>
    <row r="21" spans="1:15" ht="12.95" customHeight="1">
      <c r="B21" s="10"/>
      <c r="C21" s="11"/>
      <c r="D21" s="11"/>
      <c r="E21" s="636">
        <v>613500</v>
      </c>
      <c r="F21" s="662"/>
      <c r="G21" s="11" t="s">
        <v>86</v>
      </c>
      <c r="H21" s="57">
        <v>100000</v>
      </c>
      <c r="I21" s="743">
        <v>100000</v>
      </c>
      <c r="J21" s="380">
        <v>78785</v>
      </c>
      <c r="K21" s="982">
        <v>100000</v>
      </c>
      <c r="L21" s="982">
        <v>0</v>
      </c>
      <c r="M21" s="1062">
        <f t="shared" si="2"/>
        <v>100000</v>
      </c>
      <c r="N21" s="677">
        <f t="shared" si="1"/>
        <v>100</v>
      </c>
    </row>
    <row r="22" spans="1:15" ht="12.95" customHeight="1">
      <c r="B22" s="10"/>
      <c r="C22" s="11"/>
      <c r="D22" s="11"/>
      <c r="E22" s="636">
        <v>613600</v>
      </c>
      <c r="F22" s="662"/>
      <c r="G22" s="20" t="s">
        <v>207</v>
      </c>
      <c r="H22" s="57">
        <v>33000</v>
      </c>
      <c r="I22" s="743">
        <v>33000</v>
      </c>
      <c r="J22" s="380">
        <v>24750</v>
      </c>
      <c r="K22" s="982">
        <v>33000</v>
      </c>
      <c r="L22" s="982">
        <v>0</v>
      </c>
      <c r="M22" s="1062">
        <f t="shared" si="2"/>
        <v>33000</v>
      </c>
      <c r="N22" s="677">
        <f t="shared" si="1"/>
        <v>100</v>
      </c>
    </row>
    <row r="23" spans="1:15" ht="12.95" customHeight="1">
      <c r="B23" s="10"/>
      <c r="C23" s="11"/>
      <c r="D23" s="11"/>
      <c r="E23" s="636">
        <v>613700</v>
      </c>
      <c r="F23" s="662"/>
      <c r="G23" s="11" t="s">
        <v>87</v>
      </c>
      <c r="H23" s="57">
        <v>75000</v>
      </c>
      <c r="I23" s="743">
        <v>75000</v>
      </c>
      <c r="J23" s="380">
        <v>53148</v>
      </c>
      <c r="K23" s="982">
        <v>80000</v>
      </c>
      <c r="L23" s="982">
        <v>0</v>
      </c>
      <c r="M23" s="1062">
        <f t="shared" si="2"/>
        <v>80000</v>
      </c>
      <c r="N23" s="677">
        <f t="shared" si="1"/>
        <v>106.66666666666667</v>
      </c>
    </row>
    <row r="24" spans="1:15" ht="12.95" customHeight="1">
      <c r="B24" s="10"/>
      <c r="C24" s="11"/>
      <c r="D24" s="11"/>
      <c r="E24" s="636">
        <v>613800</v>
      </c>
      <c r="F24" s="662"/>
      <c r="G24" s="11" t="s">
        <v>166</v>
      </c>
      <c r="H24" s="57">
        <v>18000</v>
      </c>
      <c r="I24" s="743">
        <v>16500</v>
      </c>
      <c r="J24" s="380">
        <v>11429</v>
      </c>
      <c r="K24" s="982">
        <v>16500</v>
      </c>
      <c r="L24" s="982">
        <v>0</v>
      </c>
      <c r="M24" s="1062">
        <f t="shared" si="2"/>
        <v>16500</v>
      </c>
      <c r="N24" s="677">
        <f t="shared" si="1"/>
        <v>100</v>
      </c>
    </row>
    <row r="25" spans="1:15" ht="12.95" customHeight="1">
      <c r="B25" s="10"/>
      <c r="C25" s="11"/>
      <c r="D25" s="11"/>
      <c r="E25" s="636">
        <v>613900</v>
      </c>
      <c r="F25" s="662"/>
      <c r="G25" s="11" t="s">
        <v>167</v>
      </c>
      <c r="H25" s="57">
        <v>150000</v>
      </c>
      <c r="I25" s="743">
        <v>124000</v>
      </c>
      <c r="J25" s="380">
        <v>62368</v>
      </c>
      <c r="K25" s="982">
        <v>180000</v>
      </c>
      <c r="L25" s="982">
        <v>0</v>
      </c>
      <c r="M25" s="1062">
        <f t="shared" si="2"/>
        <v>180000</v>
      </c>
      <c r="N25" s="677">
        <f t="shared" si="1"/>
        <v>145.16129032258064</v>
      </c>
    </row>
    <row r="26" spans="1:15" ht="12.95" customHeight="1">
      <c r="B26" s="10"/>
      <c r="C26" s="11"/>
      <c r="D26" s="11"/>
      <c r="E26" s="636">
        <v>613900</v>
      </c>
      <c r="F26" s="662"/>
      <c r="G26" s="229" t="s">
        <v>548</v>
      </c>
      <c r="H26" s="88">
        <v>0</v>
      </c>
      <c r="I26" s="745">
        <v>0</v>
      </c>
      <c r="J26" s="382">
        <v>0</v>
      </c>
      <c r="K26" s="984">
        <v>0</v>
      </c>
      <c r="L26" s="984">
        <v>0</v>
      </c>
      <c r="M26" s="1062">
        <f t="shared" si="2"/>
        <v>0</v>
      </c>
      <c r="N26" s="677" t="str">
        <f t="shared" si="1"/>
        <v/>
      </c>
      <c r="O26" s="64"/>
    </row>
    <row r="27" spans="1:15" s="1" customFormat="1" ht="12.95" customHeight="1">
      <c r="A27" s="608"/>
      <c r="B27" s="12"/>
      <c r="C27" s="8"/>
      <c r="D27" s="8"/>
      <c r="E27" s="646"/>
      <c r="F27" s="673"/>
      <c r="G27" s="8"/>
      <c r="H27" s="57"/>
      <c r="I27" s="743"/>
      <c r="J27" s="380"/>
      <c r="K27" s="595"/>
      <c r="L27" s="595"/>
      <c r="M27" s="1063"/>
      <c r="N27" s="677" t="str">
        <f t="shared" si="1"/>
        <v/>
      </c>
    </row>
    <row r="28" spans="1:15" s="1" customFormat="1" ht="12.95" customHeight="1">
      <c r="A28" s="608"/>
      <c r="B28" s="12"/>
      <c r="C28" s="8"/>
      <c r="D28" s="8"/>
      <c r="E28" s="635">
        <v>821000</v>
      </c>
      <c r="F28" s="661"/>
      <c r="G28" s="8" t="s">
        <v>90</v>
      </c>
      <c r="H28" s="79">
        <f>SUM(H29:H30)</f>
        <v>100000</v>
      </c>
      <c r="I28" s="744">
        <v>80000</v>
      </c>
      <c r="J28" s="381">
        <v>37433</v>
      </c>
      <c r="K28" s="622">
        <f>SUM(K29:K30)</f>
        <v>40000</v>
      </c>
      <c r="L28" s="622">
        <f>SUM(L29:L30)</f>
        <v>0</v>
      </c>
      <c r="M28" s="1064">
        <f>SUM(M29:M30)</f>
        <v>40000</v>
      </c>
      <c r="N28" s="676">
        <f t="shared" si="1"/>
        <v>50</v>
      </c>
    </row>
    <row r="29" spans="1:15" ht="12.95" customHeight="1">
      <c r="B29" s="10"/>
      <c r="C29" s="11"/>
      <c r="D29" s="11"/>
      <c r="E29" s="636">
        <v>821200</v>
      </c>
      <c r="F29" s="662"/>
      <c r="G29" s="11" t="s">
        <v>91</v>
      </c>
      <c r="H29" s="57">
        <v>0</v>
      </c>
      <c r="I29" s="743">
        <v>0</v>
      </c>
      <c r="J29" s="380">
        <v>0</v>
      </c>
      <c r="K29" s="595">
        <v>0</v>
      </c>
      <c r="L29" s="595">
        <v>0</v>
      </c>
      <c r="M29" s="1062">
        <f t="shared" ref="M29:M30" si="3">SUM(K29:L29)</f>
        <v>0</v>
      </c>
      <c r="N29" s="677" t="str">
        <f t="shared" si="1"/>
        <v/>
      </c>
    </row>
    <row r="30" spans="1:15" ht="12.95" customHeight="1">
      <c r="B30" s="10"/>
      <c r="C30" s="11"/>
      <c r="D30" s="11"/>
      <c r="E30" s="636">
        <v>821300</v>
      </c>
      <c r="F30" s="662"/>
      <c r="G30" s="11" t="s">
        <v>92</v>
      </c>
      <c r="H30" s="57">
        <v>100000</v>
      </c>
      <c r="I30" s="743">
        <v>80000</v>
      </c>
      <c r="J30" s="380">
        <v>37433</v>
      </c>
      <c r="K30" s="595">
        <v>40000</v>
      </c>
      <c r="L30" s="595">
        <v>0</v>
      </c>
      <c r="M30" s="1062">
        <f t="shared" si="3"/>
        <v>40000</v>
      </c>
      <c r="N30" s="677">
        <f t="shared" si="1"/>
        <v>50</v>
      </c>
    </row>
    <row r="31" spans="1:15" ht="12.95" customHeight="1">
      <c r="B31" s="10"/>
      <c r="C31" s="11"/>
      <c r="D31" s="11"/>
      <c r="E31" s="636"/>
      <c r="F31" s="662"/>
      <c r="G31" s="11"/>
      <c r="H31" s="15"/>
      <c r="I31" s="742"/>
      <c r="J31" s="379"/>
      <c r="K31" s="615"/>
      <c r="L31" s="615"/>
      <c r="M31" s="1064"/>
      <c r="N31" s="677" t="str">
        <f t="shared" si="1"/>
        <v/>
      </c>
    </row>
    <row r="32" spans="1:15" s="1" customFormat="1" ht="12.95" customHeight="1">
      <c r="A32" s="608"/>
      <c r="B32" s="12"/>
      <c r="C32" s="8"/>
      <c r="D32" s="8"/>
      <c r="E32" s="635"/>
      <c r="F32" s="661"/>
      <c r="G32" s="8" t="s">
        <v>93</v>
      </c>
      <c r="H32" s="79">
        <f>198+11</f>
        <v>209</v>
      </c>
      <c r="I32" s="744">
        <v>206</v>
      </c>
      <c r="J32" s="381">
        <v>199</v>
      </c>
      <c r="K32" s="622">
        <v>218</v>
      </c>
      <c r="L32" s="622"/>
      <c r="M32" s="1064">
        <v>218</v>
      </c>
      <c r="N32" s="677"/>
    </row>
    <row r="33" spans="1:14" s="1" customFormat="1" ht="12.95" customHeight="1">
      <c r="A33" s="608"/>
      <c r="B33" s="12"/>
      <c r="C33" s="8"/>
      <c r="D33" s="8"/>
      <c r="E33" s="635"/>
      <c r="F33" s="661"/>
      <c r="G33" s="8" t="s">
        <v>113</v>
      </c>
      <c r="H33" s="15">
        <f>H8+H13+H16+H28</f>
        <v>6190850</v>
      </c>
      <c r="I33" s="15">
        <f>I8+I13+I16+I28</f>
        <v>6164180</v>
      </c>
      <c r="J33" s="15">
        <f t="shared" ref="J33" si="4">J8+J13+J16+J28</f>
        <v>4450597</v>
      </c>
      <c r="K33" s="615">
        <f>K8+K13+K16+K28</f>
        <v>6308670</v>
      </c>
      <c r="L33" s="615">
        <f>L8+L13+L16+L28</f>
        <v>0</v>
      </c>
      <c r="M33" s="1064">
        <f>M8+M13+M16+M28</f>
        <v>6308670</v>
      </c>
      <c r="N33" s="676">
        <f t="shared" si="1"/>
        <v>102.34402629384607</v>
      </c>
    </row>
    <row r="34" spans="1:14" s="1" customFormat="1" ht="12.95" customHeight="1">
      <c r="A34" s="608"/>
      <c r="B34" s="12"/>
      <c r="C34" s="8"/>
      <c r="D34" s="8"/>
      <c r="E34" s="635"/>
      <c r="F34" s="661"/>
      <c r="G34" s="8" t="s">
        <v>94</v>
      </c>
      <c r="H34" s="15">
        <f>H33</f>
        <v>6190850</v>
      </c>
      <c r="I34" s="15">
        <f>I33</f>
        <v>6164180</v>
      </c>
      <c r="J34" s="15">
        <f t="shared" ref="J34" si="5">J33</f>
        <v>4450597</v>
      </c>
      <c r="K34" s="615">
        <f t="shared" ref="K34:M35" si="6">K33</f>
        <v>6308670</v>
      </c>
      <c r="L34" s="615">
        <f t="shared" si="6"/>
        <v>0</v>
      </c>
      <c r="M34" s="1064">
        <f t="shared" si="6"/>
        <v>6308670</v>
      </c>
      <c r="N34" s="676">
        <f>IF(I34=0,"",M34/I34*100)</f>
        <v>102.34402629384607</v>
      </c>
    </row>
    <row r="35" spans="1:14" s="1" customFormat="1" ht="12.95" customHeight="1">
      <c r="A35" s="608"/>
      <c r="B35" s="12"/>
      <c r="C35" s="8"/>
      <c r="D35" s="8"/>
      <c r="E35" s="635"/>
      <c r="F35" s="661"/>
      <c r="G35" s="8" t="s">
        <v>95</v>
      </c>
      <c r="H35" s="15">
        <f>H34</f>
        <v>6190850</v>
      </c>
      <c r="I35" s="15">
        <f>I34</f>
        <v>6164180</v>
      </c>
      <c r="J35" s="15">
        <f t="shared" ref="J35" si="7">J34</f>
        <v>4450597</v>
      </c>
      <c r="K35" s="615">
        <f t="shared" si="6"/>
        <v>6308670</v>
      </c>
      <c r="L35" s="615">
        <f t="shared" si="6"/>
        <v>0</v>
      </c>
      <c r="M35" s="1064">
        <f t="shared" si="6"/>
        <v>6308670</v>
      </c>
      <c r="N35" s="676">
        <f t="shared" si="1"/>
        <v>102.34402629384607</v>
      </c>
    </row>
    <row r="36" spans="1:14" ht="12.95" customHeight="1" thickBot="1">
      <c r="B36" s="16"/>
      <c r="C36" s="17"/>
      <c r="D36" s="17"/>
      <c r="E36" s="637"/>
      <c r="F36" s="663"/>
      <c r="G36" s="17"/>
      <c r="H36" s="17"/>
      <c r="I36" s="17"/>
      <c r="J36" s="17"/>
      <c r="K36" s="17"/>
      <c r="L36" s="17"/>
      <c r="M36" s="1071"/>
      <c r="N36" s="679"/>
    </row>
    <row r="37" spans="1:14" ht="12.95" customHeight="1">
      <c r="E37" s="638"/>
      <c r="F37" s="664"/>
      <c r="M37" s="1068"/>
    </row>
    <row r="38" spans="1:14" ht="12.95" customHeight="1">
      <c r="B38" s="56"/>
      <c r="E38" s="638"/>
      <c r="F38" s="664"/>
      <c r="M38" s="1068"/>
    </row>
    <row r="39" spans="1:14" ht="12.95" customHeight="1">
      <c r="B39" s="56"/>
      <c r="E39" s="638"/>
      <c r="F39" s="664"/>
      <c r="M39" s="1068"/>
    </row>
    <row r="40" spans="1:14" ht="12.95" customHeight="1">
      <c r="B40" s="56"/>
      <c r="E40" s="638"/>
      <c r="F40" s="664"/>
      <c r="M40" s="1068"/>
    </row>
    <row r="41" spans="1:14" ht="12.95" customHeight="1">
      <c r="B41" s="56"/>
      <c r="E41" s="638"/>
      <c r="F41" s="664"/>
      <c r="M41" s="1068"/>
    </row>
    <row r="42" spans="1:14" ht="12.95" customHeight="1">
      <c r="B42" s="56"/>
      <c r="E42" s="638"/>
      <c r="F42" s="664"/>
      <c r="M42" s="1068"/>
    </row>
    <row r="43" spans="1:14" ht="12.95" customHeight="1">
      <c r="B43" s="56"/>
      <c r="E43" s="638"/>
      <c r="F43" s="664"/>
      <c r="M43" s="1068"/>
    </row>
    <row r="44" spans="1:14" ht="12.95" customHeight="1">
      <c r="E44" s="638"/>
      <c r="F44" s="664"/>
      <c r="M44" s="1068"/>
    </row>
    <row r="45" spans="1:14" ht="12.95" customHeight="1">
      <c r="E45" s="638"/>
      <c r="F45" s="664"/>
      <c r="M45" s="1068"/>
    </row>
    <row r="46" spans="1:14" ht="12.95" customHeight="1">
      <c r="E46" s="638"/>
      <c r="F46" s="664"/>
      <c r="M46" s="1068"/>
    </row>
    <row r="47" spans="1:14" ht="12.95" customHeight="1">
      <c r="E47" s="638"/>
      <c r="F47" s="664"/>
      <c r="M47" s="1068"/>
    </row>
    <row r="48" spans="1:14" ht="12.95" customHeight="1">
      <c r="E48" s="638"/>
      <c r="F48" s="664"/>
      <c r="M48" s="1068"/>
    </row>
    <row r="49" spans="5:13" ht="12.95" customHeight="1">
      <c r="E49" s="638"/>
      <c r="F49" s="664"/>
      <c r="M49" s="1068"/>
    </row>
    <row r="50" spans="5:13" ht="12.95" customHeight="1">
      <c r="E50" s="638"/>
      <c r="F50" s="664"/>
      <c r="M50" s="1068"/>
    </row>
    <row r="51" spans="5:13" ht="12.95" customHeight="1">
      <c r="E51" s="638"/>
      <c r="F51" s="664"/>
      <c r="M51" s="1068"/>
    </row>
    <row r="52" spans="5:13" ht="12.95" customHeight="1">
      <c r="E52" s="638"/>
      <c r="F52" s="664"/>
      <c r="M52" s="1068"/>
    </row>
    <row r="53" spans="5:13" ht="12.95" customHeight="1">
      <c r="E53" s="638"/>
      <c r="F53" s="664"/>
      <c r="M53" s="1068"/>
    </row>
    <row r="54" spans="5:13" ht="12.95" customHeight="1">
      <c r="E54" s="638"/>
      <c r="F54" s="664"/>
      <c r="M54" s="1068"/>
    </row>
    <row r="55" spans="5:13" ht="12.95" customHeight="1">
      <c r="E55" s="638"/>
      <c r="F55" s="664"/>
      <c r="M55" s="1068"/>
    </row>
    <row r="56" spans="5:13" ht="12.95" customHeight="1">
      <c r="E56" s="638"/>
      <c r="F56" s="664"/>
      <c r="M56" s="1068"/>
    </row>
    <row r="57" spans="5:13" ht="12.95" customHeight="1">
      <c r="E57" s="638"/>
      <c r="F57" s="664"/>
      <c r="M57" s="1068"/>
    </row>
    <row r="58" spans="5:13" ht="12.95" customHeight="1">
      <c r="E58" s="638"/>
      <c r="F58" s="664"/>
      <c r="M58" s="1068"/>
    </row>
    <row r="59" spans="5:13" ht="12.95" customHeight="1">
      <c r="E59" s="638"/>
      <c r="F59" s="664"/>
      <c r="M59" s="1068"/>
    </row>
    <row r="60" spans="5:13" ht="17.100000000000001" customHeight="1">
      <c r="E60" s="638"/>
      <c r="F60" s="664"/>
      <c r="M60" s="1068"/>
    </row>
    <row r="61" spans="5:13" ht="14.25">
      <c r="E61" s="638"/>
      <c r="F61" s="664"/>
      <c r="M61" s="1068"/>
    </row>
    <row r="62" spans="5:13" ht="14.25">
      <c r="E62" s="638"/>
      <c r="F62" s="664"/>
      <c r="M62" s="1068"/>
    </row>
    <row r="63" spans="5:13" ht="14.25">
      <c r="E63" s="638"/>
      <c r="F63" s="664"/>
      <c r="M63" s="1068"/>
    </row>
    <row r="64" spans="5:13" ht="14.25">
      <c r="E64" s="638"/>
      <c r="F64" s="664"/>
      <c r="M64" s="1068"/>
    </row>
    <row r="65" spans="5:13" ht="14.25">
      <c r="E65" s="638"/>
      <c r="F65" s="664"/>
      <c r="M65" s="1068"/>
    </row>
    <row r="66" spans="5:13" ht="14.25">
      <c r="E66" s="638"/>
      <c r="F66" s="664"/>
      <c r="M66" s="1068"/>
    </row>
    <row r="67" spans="5:13" ht="14.25">
      <c r="E67" s="638"/>
      <c r="F67" s="664"/>
      <c r="M67" s="1068"/>
    </row>
    <row r="68" spans="5:13" ht="14.25">
      <c r="E68" s="638"/>
      <c r="F68" s="664"/>
      <c r="M68" s="1068"/>
    </row>
    <row r="69" spans="5:13" ht="14.25">
      <c r="E69" s="638"/>
      <c r="F69" s="664"/>
      <c r="M69" s="1068"/>
    </row>
    <row r="70" spans="5:13" ht="14.25">
      <c r="E70" s="638"/>
      <c r="F70" s="664"/>
      <c r="M70" s="1068"/>
    </row>
    <row r="71" spans="5:13" ht="14.25">
      <c r="E71" s="638"/>
      <c r="F71" s="664"/>
      <c r="M71" s="1068"/>
    </row>
    <row r="72" spans="5:13" ht="14.25">
      <c r="E72" s="638"/>
      <c r="F72" s="664"/>
      <c r="M72" s="1068"/>
    </row>
    <row r="73" spans="5:13" ht="14.25">
      <c r="E73" s="638"/>
      <c r="F73" s="664"/>
      <c r="M73" s="1068"/>
    </row>
    <row r="74" spans="5:13" ht="14.25">
      <c r="E74" s="638"/>
      <c r="F74" s="638"/>
      <c r="M74" s="1068"/>
    </row>
    <row r="75" spans="5:13" ht="14.25">
      <c r="E75" s="638"/>
      <c r="F75" s="638"/>
      <c r="M75" s="1068"/>
    </row>
    <row r="76" spans="5:13" ht="14.25">
      <c r="E76" s="638"/>
      <c r="F76" s="638"/>
      <c r="M76" s="1068"/>
    </row>
    <row r="77" spans="5:13" ht="14.25">
      <c r="E77" s="638"/>
      <c r="F77" s="638"/>
      <c r="M77" s="1068"/>
    </row>
    <row r="78" spans="5:13" ht="14.25">
      <c r="E78" s="638"/>
      <c r="F78" s="638"/>
      <c r="M78" s="1068"/>
    </row>
    <row r="79" spans="5:13" ht="14.25">
      <c r="E79" s="638"/>
      <c r="F79" s="638"/>
      <c r="M79" s="1068"/>
    </row>
    <row r="80" spans="5:13" ht="14.25">
      <c r="E80" s="638"/>
      <c r="F80" s="638"/>
      <c r="M80" s="1068"/>
    </row>
    <row r="81" spans="5:13" ht="14.25">
      <c r="E81" s="638"/>
      <c r="F81" s="638"/>
      <c r="M81" s="1068"/>
    </row>
    <row r="82" spans="5:13" ht="14.25">
      <c r="E82" s="638"/>
      <c r="F82" s="638"/>
      <c r="M82" s="1068"/>
    </row>
    <row r="83" spans="5:13" ht="14.25">
      <c r="E83" s="638"/>
      <c r="F83" s="638"/>
      <c r="M83" s="1068"/>
    </row>
    <row r="84" spans="5:13" ht="14.25">
      <c r="E84" s="638"/>
      <c r="F84" s="638"/>
      <c r="M84" s="1068"/>
    </row>
    <row r="85" spans="5:13" ht="14.25">
      <c r="E85" s="638"/>
      <c r="F85" s="638"/>
      <c r="M85" s="1068"/>
    </row>
    <row r="86" spans="5:13" ht="14.25">
      <c r="E86" s="638"/>
      <c r="F86" s="638"/>
      <c r="M86" s="1068"/>
    </row>
    <row r="87" spans="5:13" ht="14.25">
      <c r="E87" s="638"/>
      <c r="F87" s="638"/>
      <c r="M87" s="1068"/>
    </row>
    <row r="88" spans="5:13" ht="14.25">
      <c r="E88" s="638"/>
      <c r="F88" s="638"/>
      <c r="M88" s="1068"/>
    </row>
    <row r="89" spans="5:13" ht="14.25">
      <c r="E89" s="638"/>
      <c r="F89" s="638"/>
      <c r="M89" s="1068"/>
    </row>
    <row r="90" spans="5:13" ht="14.25">
      <c r="E90" s="638"/>
      <c r="F90" s="638"/>
      <c r="M90" s="1068"/>
    </row>
    <row r="91" spans="5:13">
      <c r="F91" s="638"/>
    </row>
    <row r="92" spans="5:13">
      <c r="F92" s="638"/>
    </row>
    <row r="93" spans="5:13">
      <c r="F93" s="638"/>
    </row>
    <row r="94" spans="5:13">
      <c r="F94" s="638"/>
    </row>
    <row r="95" spans="5:13">
      <c r="F95" s="638"/>
    </row>
    <row r="96" spans="5:13">
      <c r="F96" s="638"/>
    </row>
  </sheetData>
  <mergeCells count="13">
    <mergeCell ref="N4:N5"/>
    <mergeCell ref="G4:G5"/>
    <mergeCell ref="B2:M2"/>
    <mergeCell ref="G3:H3"/>
    <mergeCell ref="K4:M4"/>
    <mergeCell ref="B4:B5"/>
    <mergeCell ref="C4:C5"/>
    <mergeCell ref="D4:D5"/>
    <mergeCell ref="F4:F5"/>
    <mergeCell ref="E4:E5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P96"/>
  <sheetViews>
    <sheetView zoomScaleNormal="100" workbookViewId="0">
      <selection activeCell="Q14" sqref="Q14"/>
    </sheetView>
  </sheetViews>
  <sheetFormatPr defaultRowHeight="12.75"/>
  <cols>
    <col min="1" max="1" width="9.140625" style="611"/>
    <col min="2" max="2" width="4.7109375" style="9" customWidth="1"/>
    <col min="3" max="3" width="5.140625" style="9" customWidth="1"/>
    <col min="4" max="4" width="5" style="9" customWidth="1"/>
    <col min="5" max="5" width="8.7109375" style="18" customWidth="1"/>
    <col min="6" max="6" width="8.7109375" style="616" customWidth="1"/>
    <col min="7" max="7" width="50.7109375" style="9" customWidth="1"/>
    <col min="8" max="12" width="14.7109375" style="64" customWidth="1"/>
    <col min="13" max="13" width="15.7109375" style="64" customWidth="1"/>
    <col min="14" max="14" width="7.7109375" style="680" customWidth="1"/>
    <col min="15" max="16384" width="9.140625" style="9"/>
  </cols>
  <sheetData>
    <row r="1" spans="1:16" ht="13.5" thickBot="1"/>
    <row r="2" spans="1:16" s="1052" customFormat="1" ht="20.100000000000001" customHeight="1" thickTop="1" thickBot="1">
      <c r="B2" s="1261" t="s">
        <v>130</v>
      </c>
      <c r="C2" s="1262"/>
      <c r="D2" s="1262"/>
      <c r="E2" s="1262"/>
      <c r="F2" s="1262"/>
      <c r="G2" s="1262"/>
      <c r="H2" s="1262"/>
      <c r="I2" s="1053"/>
      <c r="J2" s="1053"/>
      <c r="K2" s="1054"/>
      <c r="L2" s="1054"/>
      <c r="M2" s="1054"/>
      <c r="N2" s="1057"/>
    </row>
    <row r="3" spans="1:16" s="1" customFormat="1" ht="8.1" customHeight="1" thickTop="1" thickBot="1">
      <c r="A3" s="608"/>
      <c r="E3" s="2"/>
      <c r="F3" s="609"/>
      <c r="G3" s="1264"/>
      <c r="H3" s="1264"/>
      <c r="I3" s="306"/>
      <c r="J3" s="306"/>
      <c r="K3" s="119"/>
      <c r="L3" s="119"/>
      <c r="M3" s="119"/>
      <c r="N3" s="674"/>
    </row>
    <row r="4" spans="1:16" s="1" customFormat="1" ht="39" customHeight="1">
      <c r="A4" s="608"/>
      <c r="B4" s="1268" t="s">
        <v>78</v>
      </c>
      <c r="C4" s="1280" t="s">
        <v>79</v>
      </c>
      <c r="D4" s="1281" t="s">
        <v>110</v>
      </c>
      <c r="E4" s="1282" t="s">
        <v>615</v>
      </c>
      <c r="F4" s="1273" t="s">
        <v>695</v>
      </c>
      <c r="G4" s="1274" t="s">
        <v>80</v>
      </c>
      <c r="H4" s="1283" t="s">
        <v>614</v>
      </c>
      <c r="I4" s="1284" t="s">
        <v>747</v>
      </c>
      <c r="J4" s="1283" t="s">
        <v>667</v>
      </c>
      <c r="K4" s="1265" t="s">
        <v>682</v>
      </c>
      <c r="L4" s="1266"/>
      <c r="M4" s="1267"/>
      <c r="N4" s="1278" t="s">
        <v>756</v>
      </c>
    </row>
    <row r="5" spans="1:16" s="608" customFormat="1" ht="27" customHeight="1">
      <c r="B5" s="1269"/>
      <c r="C5" s="1271"/>
      <c r="D5" s="1271"/>
      <c r="E5" s="1275"/>
      <c r="F5" s="1271"/>
      <c r="G5" s="1275"/>
      <c r="H5" s="1275"/>
      <c r="I5" s="1275"/>
      <c r="J5" s="1275"/>
      <c r="K5" s="1048" t="s">
        <v>753</v>
      </c>
      <c r="L5" s="1048" t="s">
        <v>754</v>
      </c>
      <c r="M5" s="1059" t="s">
        <v>426</v>
      </c>
      <c r="N5" s="1279"/>
    </row>
    <row r="6" spans="1:16" s="2" customFormat="1" ht="12.95" customHeight="1">
      <c r="A6" s="609"/>
      <c r="B6" s="1181">
        <v>1</v>
      </c>
      <c r="C6" s="661">
        <v>2</v>
      </c>
      <c r="D6" s="661">
        <v>3</v>
      </c>
      <c r="E6" s="661">
        <v>4</v>
      </c>
      <c r="F6" s="661">
        <v>5</v>
      </c>
      <c r="G6" s="661">
        <v>6</v>
      </c>
      <c r="H6" s="661">
        <v>7</v>
      </c>
      <c r="I6" s="661">
        <v>8</v>
      </c>
      <c r="J6" s="661">
        <v>9</v>
      </c>
      <c r="K6" s="661">
        <v>10</v>
      </c>
      <c r="L6" s="661">
        <v>11</v>
      </c>
      <c r="M6" s="1201" t="s">
        <v>755</v>
      </c>
      <c r="N6" s="1183">
        <v>13</v>
      </c>
    </row>
    <row r="7" spans="1:16" s="2" customFormat="1" ht="12.95" customHeight="1">
      <c r="A7" s="609"/>
      <c r="B7" s="6" t="s">
        <v>131</v>
      </c>
      <c r="C7" s="7" t="s">
        <v>81</v>
      </c>
      <c r="D7" s="7" t="s">
        <v>82</v>
      </c>
      <c r="E7" s="5"/>
      <c r="F7" s="610"/>
      <c r="G7" s="5"/>
      <c r="H7" s="110"/>
      <c r="I7" s="110"/>
      <c r="J7" s="110"/>
      <c r="K7" s="110"/>
      <c r="L7" s="110"/>
      <c r="M7" s="1069"/>
      <c r="N7" s="675"/>
    </row>
    <row r="8" spans="1:16" s="1" customFormat="1" ht="12.95" customHeight="1">
      <c r="A8" s="608"/>
      <c r="B8" s="12"/>
      <c r="C8" s="8"/>
      <c r="D8" s="8"/>
      <c r="E8" s="635">
        <v>611000</v>
      </c>
      <c r="F8" s="661"/>
      <c r="G8" s="8" t="s">
        <v>163</v>
      </c>
      <c r="H8" s="256">
        <f>SUM(H9:H12)</f>
        <v>99420</v>
      </c>
      <c r="I8" s="754">
        <v>82770</v>
      </c>
      <c r="J8" s="391">
        <v>56890</v>
      </c>
      <c r="K8" s="256">
        <f>SUM(K9:K12)</f>
        <v>94470</v>
      </c>
      <c r="L8" s="256">
        <f>SUM(L9:L12)</f>
        <v>0</v>
      </c>
      <c r="M8" s="1061">
        <f>SUM(M9:M12)</f>
        <v>94470</v>
      </c>
      <c r="N8" s="676">
        <f>IF(I8=0,"",M8/I8*100)</f>
        <v>114.13555636100037</v>
      </c>
    </row>
    <row r="9" spans="1:16" ht="12.95" customHeight="1">
      <c r="B9" s="10"/>
      <c r="C9" s="11"/>
      <c r="D9" s="11"/>
      <c r="E9" s="636">
        <v>611100</v>
      </c>
      <c r="F9" s="662"/>
      <c r="G9" s="20" t="s">
        <v>204</v>
      </c>
      <c r="H9" s="258">
        <f>64830+1000+1950+13100</f>
        <v>80880</v>
      </c>
      <c r="I9" s="755">
        <v>71160</v>
      </c>
      <c r="J9" s="392">
        <v>49065</v>
      </c>
      <c r="K9" s="258">
        <f>69170+200+1*10*1150</f>
        <v>80870</v>
      </c>
      <c r="L9" s="258">
        <v>0</v>
      </c>
      <c r="M9" s="1062">
        <f>SUM(K9:L9)</f>
        <v>80870</v>
      </c>
      <c r="N9" s="677">
        <f>IF(I9=0,"",M9/I9*100)</f>
        <v>113.64530635188308</v>
      </c>
    </row>
    <row r="10" spans="1:16" ht="12.95" customHeight="1">
      <c r="B10" s="10"/>
      <c r="C10" s="11"/>
      <c r="D10" s="11"/>
      <c r="E10" s="636">
        <v>611200</v>
      </c>
      <c r="F10" s="662"/>
      <c r="G10" s="11" t="s">
        <v>205</v>
      </c>
      <c r="H10" s="258">
        <f>10210+1000+7330</f>
        <v>18540</v>
      </c>
      <c r="I10" s="755">
        <v>11610</v>
      </c>
      <c r="J10" s="392">
        <v>7825</v>
      </c>
      <c r="K10" s="258">
        <f>10300+150+10*21*15</f>
        <v>13600</v>
      </c>
      <c r="L10" s="258">
        <v>0</v>
      </c>
      <c r="M10" s="1062">
        <f t="shared" ref="M10:M11" si="0">SUM(K10:L10)</f>
        <v>13600</v>
      </c>
      <c r="N10" s="677">
        <f t="shared" ref="N10:N35" si="1">IF(I10=0,"",M10/I10*100)</f>
        <v>117.14039621016366</v>
      </c>
    </row>
    <row r="11" spans="1:16" ht="12.95" customHeight="1">
      <c r="B11" s="10"/>
      <c r="C11" s="11"/>
      <c r="D11" s="11"/>
      <c r="E11" s="636">
        <v>611200</v>
      </c>
      <c r="F11" s="662"/>
      <c r="G11" s="229" t="s">
        <v>547</v>
      </c>
      <c r="H11" s="255">
        <v>0</v>
      </c>
      <c r="I11" s="753">
        <v>0</v>
      </c>
      <c r="J11" s="390">
        <v>0</v>
      </c>
      <c r="K11" s="255">
        <v>0</v>
      </c>
      <c r="L11" s="255">
        <v>0</v>
      </c>
      <c r="M11" s="1062">
        <f t="shared" si="0"/>
        <v>0</v>
      </c>
      <c r="N11" s="677" t="str">
        <f t="shared" si="1"/>
        <v/>
      </c>
      <c r="P11" s="63"/>
    </row>
    <row r="12" spans="1:16" ht="12.95" customHeight="1">
      <c r="B12" s="10"/>
      <c r="C12" s="11"/>
      <c r="D12" s="11"/>
      <c r="E12" s="636"/>
      <c r="F12" s="662"/>
      <c r="G12" s="20"/>
      <c r="H12" s="258"/>
      <c r="I12" s="755"/>
      <c r="J12" s="392"/>
      <c r="K12" s="258"/>
      <c r="L12" s="258"/>
      <c r="M12" s="1062"/>
      <c r="N12" s="677" t="str">
        <f t="shared" si="1"/>
        <v/>
      </c>
    </row>
    <row r="13" spans="1:16" s="1" customFormat="1" ht="12.95" customHeight="1">
      <c r="A13" s="608"/>
      <c r="B13" s="12"/>
      <c r="C13" s="8"/>
      <c r="D13" s="8"/>
      <c r="E13" s="635">
        <v>612000</v>
      </c>
      <c r="F13" s="661"/>
      <c r="G13" s="8" t="s">
        <v>162</v>
      </c>
      <c r="H13" s="256">
        <f>H14</f>
        <v>8850</v>
      </c>
      <c r="I13" s="754">
        <v>7390</v>
      </c>
      <c r="J13" s="391">
        <v>5215</v>
      </c>
      <c r="K13" s="256">
        <f>K14</f>
        <v>8720</v>
      </c>
      <c r="L13" s="256">
        <f>L14</f>
        <v>0</v>
      </c>
      <c r="M13" s="1061">
        <f>M14</f>
        <v>8720</v>
      </c>
      <c r="N13" s="676">
        <f t="shared" si="1"/>
        <v>117.99729364005414</v>
      </c>
    </row>
    <row r="14" spans="1:16" ht="12.95" customHeight="1">
      <c r="B14" s="10"/>
      <c r="C14" s="11"/>
      <c r="D14" s="11"/>
      <c r="E14" s="636">
        <v>612100</v>
      </c>
      <c r="F14" s="662"/>
      <c r="G14" s="13" t="s">
        <v>83</v>
      </c>
      <c r="H14" s="258">
        <f>6890+300+210+1450</f>
        <v>8850</v>
      </c>
      <c r="I14" s="755">
        <v>7390</v>
      </c>
      <c r="J14" s="392">
        <v>5215</v>
      </c>
      <c r="K14" s="258">
        <f>7380+40+1*10*130</f>
        <v>8720</v>
      </c>
      <c r="L14" s="258">
        <v>0</v>
      </c>
      <c r="M14" s="1062">
        <f>SUM(K14:L14)</f>
        <v>8720</v>
      </c>
      <c r="N14" s="677">
        <f t="shared" si="1"/>
        <v>117.99729364005414</v>
      </c>
    </row>
    <row r="15" spans="1:16" ht="12.95" customHeight="1">
      <c r="B15" s="10"/>
      <c r="C15" s="11"/>
      <c r="D15" s="11"/>
      <c r="E15" s="636"/>
      <c r="F15" s="662"/>
      <c r="G15" s="11"/>
      <c r="H15" s="31"/>
      <c r="I15" s="749"/>
      <c r="J15" s="386"/>
      <c r="K15" s="618"/>
      <c r="L15" s="618"/>
      <c r="M15" s="1063"/>
      <c r="N15" s="677" t="str">
        <f t="shared" si="1"/>
        <v/>
      </c>
    </row>
    <row r="16" spans="1:16" s="1" customFormat="1" ht="12.95" customHeight="1">
      <c r="A16" s="608"/>
      <c r="B16" s="12"/>
      <c r="C16" s="8"/>
      <c r="D16" s="8"/>
      <c r="E16" s="635">
        <v>613000</v>
      </c>
      <c r="F16" s="661"/>
      <c r="G16" s="8" t="s">
        <v>164</v>
      </c>
      <c r="H16" s="35">
        <f>SUM(H17:H26)</f>
        <v>80100</v>
      </c>
      <c r="I16" s="750">
        <v>79400</v>
      </c>
      <c r="J16" s="387">
        <v>60644</v>
      </c>
      <c r="K16" s="620">
        <f>SUM(K17:K26)</f>
        <v>79300</v>
      </c>
      <c r="L16" s="620">
        <f>SUM(L17:L26)</f>
        <v>0</v>
      </c>
      <c r="M16" s="1064">
        <f>SUM(M17:M26)</f>
        <v>79300</v>
      </c>
      <c r="N16" s="676">
        <f t="shared" si="1"/>
        <v>99.874055415617121</v>
      </c>
    </row>
    <row r="17" spans="1:14" ht="12.95" customHeight="1">
      <c r="B17" s="10"/>
      <c r="C17" s="11"/>
      <c r="D17" s="11"/>
      <c r="E17" s="636">
        <v>613100</v>
      </c>
      <c r="F17" s="662"/>
      <c r="G17" s="11" t="s">
        <v>84</v>
      </c>
      <c r="H17" s="57">
        <v>3500</v>
      </c>
      <c r="I17" s="751">
        <v>3750</v>
      </c>
      <c r="J17" s="388">
        <v>2989</v>
      </c>
      <c r="K17" s="595">
        <v>3500</v>
      </c>
      <c r="L17" s="595">
        <v>0</v>
      </c>
      <c r="M17" s="1062">
        <f t="shared" ref="M17:M26" si="2">SUM(K17:L17)</f>
        <v>3500</v>
      </c>
      <c r="N17" s="677">
        <f t="shared" si="1"/>
        <v>93.333333333333329</v>
      </c>
    </row>
    <row r="18" spans="1:14" ht="12.95" customHeight="1">
      <c r="B18" s="10"/>
      <c r="C18" s="11"/>
      <c r="D18" s="11"/>
      <c r="E18" s="636">
        <v>613200</v>
      </c>
      <c r="F18" s="662"/>
      <c r="G18" s="11" t="s">
        <v>85</v>
      </c>
      <c r="H18" s="57">
        <v>0</v>
      </c>
      <c r="I18" s="751">
        <v>0</v>
      </c>
      <c r="J18" s="388">
        <v>0</v>
      </c>
      <c r="K18" s="595">
        <v>0</v>
      </c>
      <c r="L18" s="595">
        <v>0</v>
      </c>
      <c r="M18" s="1062">
        <f t="shared" si="2"/>
        <v>0</v>
      </c>
      <c r="N18" s="677" t="str">
        <f t="shared" si="1"/>
        <v/>
      </c>
    </row>
    <row r="19" spans="1:14" ht="12.95" customHeight="1">
      <c r="B19" s="10"/>
      <c r="C19" s="11"/>
      <c r="D19" s="11"/>
      <c r="E19" s="636">
        <v>613300</v>
      </c>
      <c r="F19" s="662"/>
      <c r="G19" s="20" t="s">
        <v>206</v>
      </c>
      <c r="H19" s="57">
        <v>3000</v>
      </c>
      <c r="I19" s="751">
        <v>2750</v>
      </c>
      <c r="J19" s="388">
        <v>1774</v>
      </c>
      <c r="K19" s="595">
        <v>2800</v>
      </c>
      <c r="L19" s="595">
        <v>0</v>
      </c>
      <c r="M19" s="1062">
        <f t="shared" si="2"/>
        <v>2800</v>
      </c>
      <c r="N19" s="677">
        <f t="shared" si="1"/>
        <v>101.81818181818181</v>
      </c>
    </row>
    <row r="20" spans="1:14" ht="12.95" customHeight="1">
      <c r="B20" s="10"/>
      <c r="C20" s="11"/>
      <c r="D20" s="11"/>
      <c r="E20" s="636">
        <v>613400</v>
      </c>
      <c r="F20" s="662"/>
      <c r="G20" s="11" t="s">
        <v>165</v>
      </c>
      <c r="H20" s="57">
        <v>2200</v>
      </c>
      <c r="I20" s="751">
        <v>2000</v>
      </c>
      <c r="J20" s="388">
        <v>1412</v>
      </c>
      <c r="K20" s="595">
        <v>2000</v>
      </c>
      <c r="L20" s="595">
        <v>0</v>
      </c>
      <c r="M20" s="1062">
        <f t="shared" si="2"/>
        <v>2000</v>
      </c>
      <c r="N20" s="677">
        <f t="shared" si="1"/>
        <v>100</v>
      </c>
    </row>
    <row r="21" spans="1:14" ht="12.95" customHeight="1">
      <c r="B21" s="10"/>
      <c r="C21" s="11"/>
      <c r="D21" s="11"/>
      <c r="E21" s="636">
        <v>613500</v>
      </c>
      <c r="F21" s="662"/>
      <c r="G21" s="11" t="s">
        <v>86</v>
      </c>
      <c r="H21" s="57">
        <v>0</v>
      </c>
      <c r="I21" s="751">
        <v>0</v>
      </c>
      <c r="J21" s="388">
        <v>0</v>
      </c>
      <c r="K21" s="595">
        <v>0</v>
      </c>
      <c r="L21" s="595">
        <v>0</v>
      </c>
      <c r="M21" s="1062">
        <f t="shared" si="2"/>
        <v>0</v>
      </c>
      <c r="N21" s="677" t="str">
        <f t="shared" si="1"/>
        <v/>
      </c>
    </row>
    <row r="22" spans="1:14" ht="12.95" customHeight="1">
      <c r="B22" s="10"/>
      <c r="C22" s="11"/>
      <c r="D22" s="11"/>
      <c r="E22" s="636">
        <v>613600</v>
      </c>
      <c r="F22" s="662"/>
      <c r="G22" s="20" t="s">
        <v>207</v>
      </c>
      <c r="H22" s="57">
        <v>0</v>
      </c>
      <c r="I22" s="751">
        <v>0</v>
      </c>
      <c r="J22" s="388">
        <v>0</v>
      </c>
      <c r="K22" s="595">
        <v>0</v>
      </c>
      <c r="L22" s="595">
        <v>0</v>
      </c>
      <c r="M22" s="1062">
        <f t="shared" si="2"/>
        <v>0</v>
      </c>
      <c r="N22" s="677" t="str">
        <f t="shared" si="1"/>
        <v/>
      </c>
    </row>
    <row r="23" spans="1:14" ht="12.95" customHeight="1">
      <c r="B23" s="10"/>
      <c r="C23" s="11"/>
      <c r="D23" s="11"/>
      <c r="E23" s="636">
        <v>613700</v>
      </c>
      <c r="F23" s="662"/>
      <c r="G23" s="11" t="s">
        <v>87</v>
      </c>
      <c r="H23" s="57">
        <v>1400</v>
      </c>
      <c r="I23" s="751">
        <v>1400</v>
      </c>
      <c r="J23" s="388">
        <v>222</v>
      </c>
      <c r="K23" s="595">
        <v>1000</v>
      </c>
      <c r="L23" s="595">
        <v>0</v>
      </c>
      <c r="M23" s="1062">
        <f t="shared" si="2"/>
        <v>1000</v>
      </c>
      <c r="N23" s="677">
        <f t="shared" si="1"/>
        <v>71.428571428571431</v>
      </c>
    </row>
    <row r="24" spans="1:14" ht="12.95" customHeight="1">
      <c r="B24" s="10"/>
      <c r="C24" s="11"/>
      <c r="D24" s="11"/>
      <c r="E24" s="636">
        <v>613800</v>
      </c>
      <c r="F24" s="662"/>
      <c r="G24" s="11" t="s">
        <v>166</v>
      </c>
      <c r="H24" s="57">
        <v>0</v>
      </c>
      <c r="I24" s="751">
        <v>0</v>
      </c>
      <c r="J24" s="388">
        <v>0</v>
      </c>
      <c r="K24" s="595">
        <v>0</v>
      </c>
      <c r="L24" s="595">
        <v>0</v>
      </c>
      <c r="M24" s="1062">
        <f t="shared" si="2"/>
        <v>0</v>
      </c>
      <c r="N24" s="677" t="str">
        <f t="shared" si="1"/>
        <v/>
      </c>
    </row>
    <row r="25" spans="1:14" ht="12.95" customHeight="1">
      <c r="B25" s="10"/>
      <c r="C25" s="11"/>
      <c r="D25" s="11"/>
      <c r="E25" s="636">
        <v>613900</v>
      </c>
      <c r="F25" s="662"/>
      <c r="G25" s="11" t="s">
        <v>167</v>
      </c>
      <c r="H25" s="57">
        <v>70000</v>
      </c>
      <c r="I25" s="751">
        <v>69500</v>
      </c>
      <c r="J25" s="388">
        <v>54247</v>
      </c>
      <c r="K25" s="595">
        <v>70000</v>
      </c>
      <c r="L25" s="595">
        <v>0</v>
      </c>
      <c r="M25" s="1062">
        <f t="shared" si="2"/>
        <v>70000</v>
      </c>
      <c r="N25" s="677">
        <f t="shared" si="1"/>
        <v>100.71942446043165</v>
      </c>
    </row>
    <row r="26" spans="1:14" ht="12.95" customHeight="1">
      <c r="B26" s="10"/>
      <c r="C26" s="11"/>
      <c r="D26" s="11"/>
      <c r="E26" s="636">
        <v>613900</v>
      </c>
      <c r="F26" s="662"/>
      <c r="G26" s="229" t="s">
        <v>548</v>
      </c>
      <c r="H26" s="113">
        <v>0</v>
      </c>
      <c r="I26" s="752">
        <v>0</v>
      </c>
      <c r="J26" s="389">
        <v>0</v>
      </c>
      <c r="K26" s="113">
        <v>0</v>
      </c>
      <c r="L26" s="113">
        <v>0</v>
      </c>
      <c r="M26" s="1062">
        <f t="shared" si="2"/>
        <v>0</v>
      </c>
      <c r="N26" s="677" t="str">
        <f t="shared" si="1"/>
        <v/>
      </c>
    </row>
    <row r="27" spans="1:14" s="1" customFormat="1" ht="12.95" customHeight="1">
      <c r="A27" s="608"/>
      <c r="B27" s="12"/>
      <c r="C27" s="8"/>
      <c r="D27" s="8"/>
      <c r="E27" s="646"/>
      <c r="F27" s="673"/>
      <c r="G27" s="8"/>
      <c r="H27" s="31"/>
      <c r="I27" s="749"/>
      <c r="J27" s="386"/>
      <c r="K27" s="618"/>
      <c r="L27" s="618"/>
      <c r="M27" s="1063"/>
      <c r="N27" s="677" t="str">
        <f t="shared" si="1"/>
        <v/>
      </c>
    </row>
    <row r="28" spans="1:14" s="1" customFormat="1" ht="12.95" customHeight="1">
      <c r="A28" s="608"/>
      <c r="B28" s="12"/>
      <c r="C28" s="8"/>
      <c r="D28" s="8"/>
      <c r="E28" s="635">
        <v>821000</v>
      </c>
      <c r="F28" s="661"/>
      <c r="G28" s="8" t="s">
        <v>90</v>
      </c>
      <c r="H28" s="15">
        <f>SUM(H29:H30)</f>
        <v>1000</v>
      </c>
      <c r="I28" s="748">
        <v>990</v>
      </c>
      <c r="J28" s="385">
        <v>984</v>
      </c>
      <c r="K28" s="615">
        <f>SUM(K29:K30)</f>
        <v>0</v>
      </c>
      <c r="L28" s="615">
        <f>SUM(L29:L30)</f>
        <v>0</v>
      </c>
      <c r="M28" s="1064">
        <f>SUM(M29:M30)</f>
        <v>0</v>
      </c>
      <c r="N28" s="676">
        <f t="shared" si="1"/>
        <v>0</v>
      </c>
    </row>
    <row r="29" spans="1:14" ht="12.95" customHeight="1">
      <c r="B29" s="10"/>
      <c r="C29" s="11"/>
      <c r="D29" s="11"/>
      <c r="E29" s="636">
        <v>821200</v>
      </c>
      <c r="F29" s="662"/>
      <c r="G29" s="11" t="s">
        <v>91</v>
      </c>
      <c r="H29" s="31">
        <v>0</v>
      </c>
      <c r="I29" s="749">
        <v>0</v>
      </c>
      <c r="J29" s="386">
        <v>0</v>
      </c>
      <c r="K29" s="618">
        <v>0</v>
      </c>
      <c r="L29" s="618">
        <v>0</v>
      </c>
      <c r="M29" s="1062">
        <f t="shared" ref="M29:M30" si="3">SUM(K29:L29)</f>
        <v>0</v>
      </c>
      <c r="N29" s="677" t="str">
        <f t="shared" si="1"/>
        <v/>
      </c>
    </row>
    <row r="30" spans="1:14" ht="12.95" customHeight="1">
      <c r="B30" s="10"/>
      <c r="C30" s="11"/>
      <c r="D30" s="11"/>
      <c r="E30" s="636">
        <v>821300</v>
      </c>
      <c r="F30" s="662"/>
      <c r="G30" s="11" t="s">
        <v>92</v>
      </c>
      <c r="H30" s="31">
        <v>1000</v>
      </c>
      <c r="I30" s="749">
        <v>990</v>
      </c>
      <c r="J30" s="386">
        <v>984</v>
      </c>
      <c r="K30" s="618">
        <v>0</v>
      </c>
      <c r="L30" s="618">
        <v>0</v>
      </c>
      <c r="M30" s="1062">
        <f t="shared" si="3"/>
        <v>0</v>
      </c>
      <c r="N30" s="677">
        <f t="shared" si="1"/>
        <v>0</v>
      </c>
    </row>
    <row r="31" spans="1:14" ht="12.95" customHeight="1">
      <c r="B31" s="10"/>
      <c r="C31" s="11"/>
      <c r="D31" s="11"/>
      <c r="E31" s="636"/>
      <c r="F31" s="662"/>
      <c r="G31" s="11"/>
      <c r="H31" s="31"/>
      <c r="I31" s="749"/>
      <c r="J31" s="386"/>
      <c r="K31" s="618"/>
      <c r="L31" s="618"/>
      <c r="M31" s="1063"/>
      <c r="N31" s="677" t="str">
        <f t="shared" si="1"/>
        <v/>
      </c>
    </row>
    <row r="32" spans="1:14" s="1" customFormat="1" ht="12.95" customHeight="1">
      <c r="A32" s="608"/>
      <c r="B32" s="12"/>
      <c r="C32" s="8"/>
      <c r="D32" s="8"/>
      <c r="E32" s="635"/>
      <c r="F32" s="661"/>
      <c r="G32" s="8" t="s">
        <v>93</v>
      </c>
      <c r="H32" s="15">
        <v>4</v>
      </c>
      <c r="I32" s="748">
        <v>3</v>
      </c>
      <c r="J32" s="385">
        <v>3</v>
      </c>
      <c r="K32" s="615">
        <v>4</v>
      </c>
      <c r="L32" s="615"/>
      <c r="M32" s="1064">
        <v>4</v>
      </c>
      <c r="N32" s="677"/>
    </row>
    <row r="33" spans="1:14" s="1" customFormat="1" ht="12.95" customHeight="1">
      <c r="A33" s="608"/>
      <c r="B33" s="12"/>
      <c r="C33" s="8"/>
      <c r="D33" s="8"/>
      <c r="E33" s="635"/>
      <c r="F33" s="661"/>
      <c r="G33" s="8" t="s">
        <v>113</v>
      </c>
      <c r="H33" s="15">
        <f>H8+H13+H16+H28</f>
        <v>189370</v>
      </c>
      <c r="I33" s="15">
        <f>I8+I13+I16+I28</f>
        <v>170550</v>
      </c>
      <c r="J33" s="15">
        <f t="shared" ref="J33" si="4">J8+J13+J16+J28</f>
        <v>123733</v>
      </c>
      <c r="K33" s="615">
        <f>K8+K13+K16+K28</f>
        <v>182490</v>
      </c>
      <c r="L33" s="615">
        <f>L8+L13+L16+L28</f>
        <v>0</v>
      </c>
      <c r="M33" s="1064">
        <f>M8+M13+M16+M28</f>
        <v>182490</v>
      </c>
      <c r="N33" s="676">
        <f t="shared" si="1"/>
        <v>107.00087950747582</v>
      </c>
    </row>
    <row r="34" spans="1:14" s="1" customFormat="1" ht="12.95" customHeight="1">
      <c r="A34" s="608"/>
      <c r="B34" s="12"/>
      <c r="C34" s="8"/>
      <c r="D34" s="8"/>
      <c r="E34" s="635"/>
      <c r="F34" s="661"/>
      <c r="G34" s="8" t="s">
        <v>94</v>
      </c>
      <c r="H34" s="15"/>
      <c r="I34" s="15"/>
      <c r="J34" s="15"/>
      <c r="K34" s="615"/>
      <c r="L34" s="615"/>
      <c r="M34" s="1064"/>
      <c r="N34" s="677" t="str">
        <f>IF(I34=0,"",M34/I34*100)</f>
        <v/>
      </c>
    </row>
    <row r="35" spans="1:14" s="1" customFormat="1" ht="12.95" customHeight="1">
      <c r="A35" s="608"/>
      <c r="B35" s="12"/>
      <c r="C35" s="8"/>
      <c r="D35" s="8"/>
      <c r="E35" s="635"/>
      <c r="F35" s="661"/>
      <c r="G35" s="8" t="s">
        <v>95</v>
      </c>
      <c r="H35" s="30"/>
      <c r="I35" s="30"/>
      <c r="J35" s="30"/>
      <c r="K35" s="593"/>
      <c r="L35" s="593"/>
      <c r="M35" s="1063"/>
      <c r="N35" s="677" t="str">
        <f t="shared" si="1"/>
        <v/>
      </c>
    </row>
    <row r="36" spans="1:14" ht="12.95" customHeight="1" thickBot="1">
      <c r="B36" s="16"/>
      <c r="C36" s="17"/>
      <c r="D36" s="17"/>
      <c r="E36" s="637"/>
      <c r="F36" s="663"/>
      <c r="G36" s="17"/>
      <c r="H36" s="32"/>
      <c r="I36" s="32"/>
      <c r="J36" s="32"/>
      <c r="K36" s="32"/>
      <c r="L36" s="32"/>
      <c r="M36" s="1067"/>
      <c r="N36" s="679"/>
    </row>
    <row r="37" spans="1:14" ht="12.95" customHeight="1">
      <c r="E37" s="638"/>
      <c r="F37" s="664"/>
      <c r="M37" s="1070"/>
    </row>
    <row r="38" spans="1:14" ht="12.95" customHeight="1">
      <c r="E38" s="638"/>
      <c r="F38" s="664"/>
      <c r="M38" s="1070"/>
    </row>
    <row r="39" spans="1:14" ht="12.95" customHeight="1">
      <c r="E39" s="638"/>
      <c r="F39" s="664"/>
      <c r="M39" s="1070"/>
    </row>
    <row r="40" spans="1:14" ht="12.95" customHeight="1">
      <c r="E40" s="638"/>
      <c r="F40" s="664"/>
      <c r="M40" s="1070"/>
    </row>
    <row r="41" spans="1:14" ht="12.95" customHeight="1">
      <c r="E41" s="638"/>
      <c r="F41" s="664"/>
      <c r="M41" s="1070"/>
    </row>
    <row r="42" spans="1:14" ht="12.95" customHeight="1">
      <c r="E42" s="638"/>
      <c r="F42" s="664"/>
      <c r="M42" s="1070"/>
    </row>
    <row r="43" spans="1:14" ht="12.95" customHeight="1">
      <c r="E43" s="638"/>
      <c r="F43" s="664"/>
      <c r="M43" s="1070"/>
    </row>
    <row r="44" spans="1:14" ht="12.95" customHeight="1">
      <c r="E44" s="638"/>
      <c r="F44" s="664"/>
      <c r="M44" s="1070"/>
    </row>
    <row r="45" spans="1:14" ht="12.95" customHeight="1">
      <c r="E45" s="638"/>
      <c r="F45" s="664"/>
      <c r="M45" s="1070"/>
    </row>
    <row r="46" spans="1:14" ht="12.95" customHeight="1">
      <c r="E46" s="638"/>
      <c r="F46" s="664"/>
      <c r="M46" s="1070"/>
    </row>
    <row r="47" spans="1:14" ht="12.95" customHeight="1">
      <c r="E47" s="638"/>
      <c r="F47" s="664"/>
      <c r="M47" s="1070"/>
    </row>
    <row r="48" spans="1:14" ht="12.95" customHeight="1">
      <c r="E48" s="638"/>
      <c r="F48" s="664"/>
      <c r="M48" s="1070"/>
    </row>
    <row r="49" spans="5:13" ht="12.95" customHeight="1">
      <c r="E49" s="638"/>
      <c r="F49" s="664"/>
      <c r="M49" s="1070"/>
    </row>
    <row r="50" spans="5:13" ht="12.95" customHeight="1">
      <c r="E50" s="638"/>
      <c r="F50" s="664"/>
      <c r="M50" s="1070"/>
    </row>
    <row r="51" spans="5:13" ht="12.95" customHeight="1">
      <c r="E51" s="638"/>
      <c r="F51" s="664"/>
      <c r="M51" s="1070"/>
    </row>
    <row r="52" spans="5:13" ht="12.95" customHeight="1">
      <c r="E52" s="638"/>
      <c r="F52" s="664"/>
      <c r="M52" s="1070"/>
    </row>
    <row r="53" spans="5:13" ht="12.95" customHeight="1">
      <c r="E53" s="638"/>
      <c r="F53" s="664"/>
      <c r="M53" s="1070"/>
    </row>
    <row r="54" spans="5:13" ht="12.95" customHeight="1">
      <c r="E54" s="638"/>
      <c r="F54" s="664"/>
      <c r="M54" s="1070"/>
    </row>
    <row r="55" spans="5:13" ht="12.95" customHeight="1">
      <c r="E55" s="638"/>
      <c r="F55" s="664"/>
      <c r="M55" s="1070"/>
    </row>
    <row r="56" spans="5:13" ht="12.95" customHeight="1">
      <c r="E56" s="638"/>
      <c r="F56" s="664"/>
      <c r="M56" s="1070"/>
    </row>
    <row r="57" spans="5:13" ht="12.95" customHeight="1">
      <c r="E57" s="638"/>
      <c r="F57" s="664"/>
      <c r="M57" s="1070"/>
    </row>
    <row r="58" spans="5:13" ht="12.95" customHeight="1">
      <c r="E58" s="638"/>
      <c r="F58" s="664"/>
      <c r="M58" s="1070"/>
    </row>
    <row r="59" spans="5:13" ht="12.95" customHeight="1">
      <c r="E59" s="638"/>
      <c r="F59" s="664"/>
      <c r="M59" s="1070"/>
    </row>
    <row r="60" spans="5:13" ht="17.100000000000001" customHeight="1">
      <c r="E60" s="638"/>
      <c r="F60" s="664"/>
      <c r="M60" s="1070"/>
    </row>
    <row r="61" spans="5:13" ht="14.25">
      <c r="E61" s="638"/>
      <c r="F61" s="664"/>
      <c r="M61" s="1070"/>
    </row>
    <row r="62" spans="5:13" ht="14.25">
      <c r="E62" s="638"/>
      <c r="F62" s="664"/>
      <c r="M62" s="1070"/>
    </row>
    <row r="63" spans="5:13" ht="14.25">
      <c r="E63" s="638"/>
      <c r="F63" s="664"/>
      <c r="M63" s="1070"/>
    </row>
    <row r="64" spans="5:13" ht="14.25">
      <c r="E64" s="638"/>
      <c r="F64" s="664"/>
      <c r="M64" s="1070"/>
    </row>
    <row r="65" spans="5:13" ht="14.25">
      <c r="E65" s="638"/>
      <c r="F65" s="664"/>
      <c r="M65" s="1070"/>
    </row>
    <row r="66" spans="5:13" ht="14.25">
      <c r="E66" s="638"/>
      <c r="F66" s="664"/>
      <c r="M66" s="1070"/>
    </row>
    <row r="67" spans="5:13" ht="14.25">
      <c r="E67" s="638"/>
      <c r="F67" s="664"/>
      <c r="M67" s="1070"/>
    </row>
    <row r="68" spans="5:13" ht="14.25">
      <c r="E68" s="638"/>
      <c r="F68" s="664"/>
      <c r="M68" s="1070"/>
    </row>
    <row r="69" spans="5:13" ht="14.25">
      <c r="E69" s="638"/>
      <c r="F69" s="664"/>
      <c r="M69" s="1070"/>
    </row>
    <row r="70" spans="5:13" ht="14.25">
      <c r="E70" s="638"/>
      <c r="F70" s="664"/>
      <c r="M70" s="1070"/>
    </row>
    <row r="71" spans="5:13" ht="14.25">
      <c r="E71" s="638"/>
      <c r="F71" s="664"/>
      <c r="M71" s="1070"/>
    </row>
    <row r="72" spans="5:13" ht="14.25">
      <c r="E72" s="638"/>
      <c r="F72" s="664"/>
      <c r="M72" s="1070"/>
    </row>
    <row r="73" spans="5:13" ht="14.25">
      <c r="E73" s="638"/>
      <c r="F73" s="664"/>
      <c r="M73" s="1070"/>
    </row>
    <row r="74" spans="5:13" ht="14.25">
      <c r="E74" s="638"/>
      <c r="F74" s="638"/>
      <c r="M74" s="1070"/>
    </row>
    <row r="75" spans="5:13" ht="14.25">
      <c r="E75" s="638"/>
      <c r="F75" s="638"/>
      <c r="M75" s="1070"/>
    </row>
    <row r="76" spans="5:13" ht="14.25">
      <c r="E76" s="638"/>
      <c r="F76" s="638"/>
      <c r="M76" s="1070"/>
    </row>
    <row r="77" spans="5:13" ht="14.25">
      <c r="E77" s="638"/>
      <c r="F77" s="638"/>
      <c r="M77" s="1070"/>
    </row>
    <row r="78" spans="5:13" ht="14.25">
      <c r="E78" s="638"/>
      <c r="F78" s="638"/>
      <c r="M78" s="1070"/>
    </row>
    <row r="79" spans="5:13" ht="14.25">
      <c r="E79" s="638"/>
      <c r="F79" s="638"/>
      <c r="M79" s="1070"/>
    </row>
    <row r="80" spans="5:13" ht="14.25">
      <c r="E80" s="638"/>
      <c r="F80" s="638"/>
      <c r="M80" s="1070"/>
    </row>
    <row r="81" spans="5:13" ht="14.25">
      <c r="E81" s="638"/>
      <c r="F81" s="638"/>
      <c r="M81" s="1070"/>
    </row>
    <row r="82" spans="5:13" ht="14.25">
      <c r="E82" s="638"/>
      <c r="F82" s="638"/>
      <c r="M82" s="1070"/>
    </row>
    <row r="83" spans="5:13" ht="14.25">
      <c r="E83" s="638"/>
      <c r="F83" s="638"/>
      <c r="M83" s="1070"/>
    </row>
    <row r="84" spans="5:13" ht="14.25">
      <c r="E84" s="638"/>
      <c r="F84" s="638"/>
      <c r="M84" s="1070"/>
    </row>
    <row r="85" spans="5:13" ht="14.25">
      <c r="E85" s="638"/>
      <c r="F85" s="638"/>
      <c r="M85" s="1070"/>
    </row>
    <row r="86" spans="5:13" ht="14.25">
      <c r="E86" s="638"/>
      <c r="F86" s="638"/>
      <c r="M86" s="1070"/>
    </row>
    <row r="87" spans="5:13" ht="14.25">
      <c r="E87" s="638"/>
      <c r="F87" s="638"/>
      <c r="M87" s="1070"/>
    </row>
    <row r="88" spans="5:13" ht="14.25">
      <c r="E88" s="638"/>
      <c r="F88" s="638"/>
      <c r="M88" s="1070"/>
    </row>
    <row r="89" spans="5:13" ht="14.25">
      <c r="E89" s="638"/>
      <c r="F89" s="638"/>
      <c r="M89" s="1070"/>
    </row>
    <row r="90" spans="5:13" ht="14.25">
      <c r="E90" s="638"/>
      <c r="F90" s="638"/>
      <c r="M90" s="1070"/>
    </row>
    <row r="91" spans="5:13">
      <c r="F91" s="638"/>
    </row>
    <row r="92" spans="5:13">
      <c r="F92" s="638"/>
    </row>
    <row r="93" spans="5:13">
      <c r="F93" s="638"/>
    </row>
    <row r="94" spans="5:13">
      <c r="F94" s="638"/>
    </row>
    <row r="95" spans="5:13">
      <c r="F95" s="638"/>
    </row>
    <row r="96" spans="5:13">
      <c r="F96" s="638"/>
    </row>
  </sheetData>
  <mergeCells count="13">
    <mergeCell ref="N4:N5"/>
    <mergeCell ref="G4:G5"/>
    <mergeCell ref="B2:H2"/>
    <mergeCell ref="G3:H3"/>
    <mergeCell ref="K4:M4"/>
    <mergeCell ref="B4:B5"/>
    <mergeCell ref="C4:C5"/>
    <mergeCell ref="D4:D5"/>
    <mergeCell ref="F4:F5"/>
    <mergeCell ref="E4:E5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R96"/>
  <sheetViews>
    <sheetView zoomScaleNormal="100" workbookViewId="0">
      <selection activeCell="Q14" sqref="Q14"/>
    </sheetView>
  </sheetViews>
  <sheetFormatPr defaultRowHeight="12.75"/>
  <cols>
    <col min="1" max="1" width="9.140625" style="611"/>
    <col min="2" max="2" width="4.7109375" style="9" customWidth="1"/>
    <col min="3" max="3" width="5.140625" style="9" customWidth="1"/>
    <col min="4" max="4" width="5" style="9" customWidth="1"/>
    <col min="5" max="5" width="8.7109375" style="18" customWidth="1"/>
    <col min="6" max="6" width="8.7109375" style="616" customWidth="1"/>
    <col min="7" max="7" width="50.7109375" style="9" customWidth="1"/>
    <col min="8" max="12" width="14.7109375" style="64" customWidth="1"/>
    <col min="13" max="13" width="15.7109375" style="64" customWidth="1"/>
    <col min="14" max="14" width="7.7109375" style="680" customWidth="1"/>
    <col min="15" max="16384" width="9.140625" style="9"/>
  </cols>
  <sheetData>
    <row r="1" spans="1:18" ht="13.5" thickBot="1"/>
    <row r="2" spans="1:18" s="1052" customFormat="1" ht="20.100000000000001" customHeight="1" thickTop="1" thickBot="1">
      <c r="B2" s="1261" t="s">
        <v>195</v>
      </c>
      <c r="C2" s="1262"/>
      <c r="D2" s="1262"/>
      <c r="E2" s="1262"/>
      <c r="F2" s="1262"/>
      <c r="G2" s="1262"/>
      <c r="H2" s="1262"/>
      <c r="I2" s="1053"/>
      <c r="J2" s="1053"/>
      <c r="K2" s="1054"/>
      <c r="L2" s="1054"/>
      <c r="M2" s="1054"/>
      <c r="N2" s="1057"/>
    </row>
    <row r="3" spans="1:18" s="1" customFormat="1" ht="8.1" customHeight="1" thickTop="1" thickBot="1">
      <c r="A3" s="608"/>
      <c r="E3" s="2"/>
      <c r="F3" s="609"/>
      <c r="G3" s="1264"/>
      <c r="H3" s="1264"/>
      <c r="I3" s="306"/>
      <c r="J3" s="306"/>
      <c r="K3" s="119"/>
      <c r="L3" s="119"/>
      <c r="M3" s="119"/>
      <c r="N3" s="674"/>
    </row>
    <row r="4" spans="1:18" s="1" customFormat="1" ht="39" customHeight="1">
      <c r="A4" s="608"/>
      <c r="B4" s="1268" t="s">
        <v>78</v>
      </c>
      <c r="C4" s="1280" t="s">
        <v>79</v>
      </c>
      <c r="D4" s="1281" t="s">
        <v>110</v>
      </c>
      <c r="E4" s="1282" t="s">
        <v>615</v>
      </c>
      <c r="F4" s="1273" t="s">
        <v>695</v>
      </c>
      <c r="G4" s="1274" t="s">
        <v>80</v>
      </c>
      <c r="H4" s="1283" t="s">
        <v>614</v>
      </c>
      <c r="I4" s="1284" t="s">
        <v>747</v>
      </c>
      <c r="J4" s="1283" t="s">
        <v>667</v>
      </c>
      <c r="K4" s="1265" t="s">
        <v>682</v>
      </c>
      <c r="L4" s="1266"/>
      <c r="M4" s="1267"/>
      <c r="N4" s="1278" t="s">
        <v>756</v>
      </c>
    </row>
    <row r="5" spans="1:18" s="608" customFormat="1" ht="27" customHeight="1">
      <c r="B5" s="1269"/>
      <c r="C5" s="1271"/>
      <c r="D5" s="1271"/>
      <c r="E5" s="1275"/>
      <c r="F5" s="1271"/>
      <c r="G5" s="1275"/>
      <c r="H5" s="1275"/>
      <c r="I5" s="1275"/>
      <c r="J5" s="1275"/>
      <c r="K5" s="1048" t="s">
        <v>753</v>
      </c>
      <c r="L5" s="1048" t="s">
        <v>754</v>
      </c>
      <c r="M5" s="1059" t="s">
        <v>426</v>
      </c>
      <c r="N5" s="1279"/>
    </row>
    <row r="6" spans="1:18" s="2" customFormat="1" ht="12.95" customHeight="1">
      <c r="A6" s="609"/>
      <c r="B6" s="1181">
        <v>1</v>
      </c>
      <c r="C6" s="661">
        <v>2</v>
      </c>
      <c r="D6" s="661">
        <v>3</v>
      </c>
      <c r="E6" s="661">
        <v>4</v>
      </c>
      <c r="F6" s="661">
        <v>5</v>
      </c>
      <c r="G6" s="661">
        <v>6</v>
      </c>
      <c r="H6" s="661">
        <v>7</v>
      </c>
      <c r="I6" s="661">
        <v>8</v>
      </c>
      <c r="J6" s="661">
        <v>9</v>
      </c>
      <c r="K6" s="661">
        <v>10</v>
      </c>
      <c r="L6" s="661">
        <v>11</v>
      </c>
      <c r="M6" s="1201" t="s">
        <v>755</v>
      </c>
      <c r="N6" s="1183">
        <v>13</v>
      </c>
    </row>
    <row r="7" spans="1:18" s="2" customFormat="1" ht="12.95" customHeight="1">
      <c r="A7" s="609"/>
      <c r="B7" s="6" t="s">
        <v>131</v>
      </c>
      <c r="C7" s="7" t="s">
        <v>132</v>
      </c>
      <c r="D7" s="7" t="s">
        <v>124</v>
      </c>
      <c r="E7" s="5"/>
      <c r="F7" s="610"/>
      <c r="G7" s="5"/>
      <c r="H7" s="110"/>
      <c r="I7" s="110"/>
      <c r="J7" s="110"/>
      <c r="K7" s="110"/>
      <c r="L7" s="110"/>
      <c r="M7" s="1069"/>
      <c r="N7" s="675"/>
    </row>
    <row r="8" spans="1:18" s="1" customFormat="1" ht="12.95" customHeight="1">
      <c r="A8" s="608"/>
      <c r="B8" s="12"/>
      <c r="C8" s="8"/>
      <c r="D8" s="8"/>
      <c r="E8" s="635">
        <v>611000</v>
      </c>
      <c r="F8" s="661"/>
      <c r="G8" s="8" t="s">
        <v>163</v>
      </c>
      <c r="H8" s="272">
        <f>SUM(H9:H12)</f>
        <v>1132260</v>
      </c>
      <c r="I8" s="761">
        <v>1150280</v>
      </c>
      <c r="J8" s="398">
        <v>844075</v>
      </c>
      <c r="K8" s="272">
        <f>SUM(K9:K12)</f>
        <v>1148430</v>
      </c>
      <c r="L8" s="272">
        <f>SUM(L9:L12)</f>
        <v>0</v>
      </c>
      <c r="M8" s="1061">
        <f>SUM(M9:M12)</f>
        <v>1148430</v>
      </c>
      <c r="N8" s="676">
        <f>IF(I8=0,"",M8/I8*100)</f>
        <v>99.839169593490283</v>
      </c>
    </row>
    <row r="9" spans="1:18" ht="12.95" customHeight="1">
      <c r="B9" s="10"/>
      <c r="C9" s="11"/>
      <c r="D9" s="11"/>
      <c r="E9" s="636">
        <v>611100</v>
      </c>
      <c r="F9" s="662"/>
      <c r="G9" s="20" t="s">
        <v>204</v>
      </c>
      <c r="H9" s="274">
        <f>912320+6000+11000+17500+330</f>
        <v>947150</v>
      </c>
      <c r="I9" s="763">
        <v>958910</v>
      </c>
      <c r="J9" s="400">
        <v>709664</v>
      </c>
      <c r="K9" s="274">
        <f>965330+2800+6*500</f>
        <v>971130</v>
      </c>
      <c r="L9" s="274">
        <v>0</v>
      </c>
      <c r="M9" s="1062">
        <f>SUM(K9:L9)</f>
        <v>971130</v>
      </c>
      <c r="N9" s="677">
        <f>IF(I9=0,"",M9/I9*100)</f>
        <v>101.27436360033788</v>
      </c>
    </row>
    <row r="10" spans="1:18" ht="12.95" customHeight="1">
      <c r="B10" s="10"/>
      <c r="C10" s="11"/>
      <c r="D10" s="11"/>
      <c r="E10" s="636">
        <v>611200</v>
      </c>
      <c r="F10" s="662"/>
      <c r="G10" s="11" t="s">
        <v>205</v>
      </c>
      <c r="H10" s="274">
        <f>170090+3000+6*1470+3200</f>
        <v>185110</v>
      </c>
      <c r="I10" s="763">
        <v>191370</v>
      </c>
      <c r="J10" s="400">
        <v>134411</v>
      </c>
      <c r="K10" s="274">
        <f>170200+1700+6*900</f>
        <v>177300</v>
      </c>
      <c r="L10" s="274">
        <v>0</v>
      </c>
      <c r="M10" s="1062">
        <f t="shared" ref="M10:M11" si="0">SUM(K10:L10)</f>
        <v>177300</v>
      </c>
      <c r="N10" s="677">
        <f t="shared" ref="N10:N35" si="1">IF(I10=0,"",M10/I10*100)</f>
        <v>92.647750431102054</v>
      </c>
    </row>
    <row r="11" spans="1:18" ht="12.95" customHeight="1">
      <c r="B11" s="10"/>
      <c r="C11" s="11"/>
      <c r="D11" s="11"/>
      <c r="E11" s="636">
        <v>611200</v>
      </c>
      <c r="F11" s="662"/>
      <c r="G11" s="229" t="s">
        <v>547</v>
      </c>
      <c r="H11" s="273">
        <v>0</v>
      </c>
      <c r="I11" s="762">
        <v>0</v>
      </c>
      <c r="J11" s="399">
        <v>0</v>
      </c>
      <c r="K11" s="273">
        <v>0</v>
      </c>
      <c r="L11" s="273">
        <v>0</v>
      </c>
      <c r="M11" s="1062">
        <f t="shared" si="0"/>
        <v>0</v>
      </c>
      <c r="N11" s="677" t="str">
        <f t="shared" si="1"/>
        <v/>
      </c>
      <c r="P11" s="63"/>
    </row>
    <row r="12" spans="1:18" ht="12.95" customHeight="1">
      <c r="B12" s="10"/>
      <c r="C12" s="11"/>
      <c r="D12" s="11"/>
      <c r="E12" s="636"/>
      <c r="F12" s="662"/>
      <c r="G12" s="20"/>
      <c r="H12" s="274"/>
      <c r="I12" s="763"/>
      <c r="J12" s="400"/>
      <c r="K12" s="274"/>
      <c r="L12" s="274"/>
      <c r="M12" s="1062"/>
      <c r="N12" s="677" t="str">
        <f t="shared" si="1"/>
        <v/>
      </c>
    </row>
    <row r="13" spans="1:18" s="1" customFormat="1" ht="12.95" customHeight="1">
      <c r="A13" s="608"/>
      <c r="B13" s="12"/>
      <c r="C13" s="8"/>
      <c r="D13" s="8"/>
      <c r="E13" s="635">
        <v>612000</v>
      </c>
      <c r="F13" s="661"/>
      <c r="G13" s="8" t="s">
        <v>162</v>
      </c>
      <c r="H13" s="272">
        <f>H14</f>
        <v>100830</v>
      </c>
      <c r="I13" s="761">
        <v>103920</v>
      </c>
      <c r="J13" s="398">
        <v>76548</v>
      </c>
      <c r="K13" s="272">
        <f>K14</f>
        <v>105400</v>
      </c>
      <c r="L13" s="272">
        <f>L14</f>
        <v>0</v>
      </c>
      <c r="M13" s="1061">
        <f>M14</f>
        <v>105400</v>
      </c>
      <c r="N13" s="676">
        <f t="shared" si="1"/>
        <v>101.42417244033872</v>
      </c>
    </row>
    <row r="14" spans="1:18" ht="12.95" customHeight="1">
      <c r="B14" s="10"/>
      <c r="C14" s="11"/>
      <c r="D14" s="11"/>
      <c r="E14" s="636">
        <v>612100</v>
      </c>
      <c r="F14" s="662"/>
      <c r="G14" s="13" t="s">
        <v>83</v>
      </c>
      <c r="H14" s="274">
        <f>97000+700+1200+1880+50</f>
        <v>100830</v>
      </c>
      <c r="I14" s="763">
        <v>103920</v>
      </c>
      <c r="J14" s="400">
        <v>76548</v>
      </c>
      <c r="K14" s="274">
        <f>104480+500+6*70</f>
        <v>105400</v>
      </c>
      <c r="L14" s="274">
        <v>0</v>
      </c>
      <c r="M14" s="1062">
        <f>SUM(K14:L14)</f>
        <v>105400</v>
      </c>
      <c r="N14" s="677">
        <f t="shared" si="1"/>
        <v>101.42417244033872</v>
      </c>
    </row>
    <row r="15" spans="1:18" ht="12.95" customHeight="1">
      <c r="B15" s="10"/>
      <c r="C15" s="11"/>
      <c r="D15" s="11"/>
      <c r="E15" s="636"/>
      <c r="F15" s="662"/>
      <c r="G15" s="11"/>
      <c r="H15" s="31"/>
      <c r="I15" s="756"/>
      <c r="J15" s="393"/>
      <c r="K15" s="618"/>
      <c r="L15" s="618"/>
      <c r="M15" s="1063"/>
      <c r="N15" s="677" t="str">
        <f t="shared" si="1"/>
        <v/>
      </c>
      <c r="R15" s="64"/>
    </row>
    <row r="16" spans="1:18" s="1" customFormat="1" ht="12.95" customHeight="1">
      <c r="A16" s="608"/>
      <c r="B16" s="12"/>
      <c r="C16" s="8"/>
      <c r="D16" s="8"/>
      <c r="E16" s="635">
        <v>613000</v>
      </c>
      <c r="F16" s="661"/>
      <c r="G16" s="8" t="s">
        <v>164</v>
      </c>
      <c r="H16" s="35">
        <f>SUM(H17:H26)</f>
        <v>324500</v>
      </c>
      <c r="I16" s="757">
        <v>315900</v>
      </c>
      <c r="J16" s="394">
        <v>222916</v>
      </c>
      <c r="K16" s="620">
        <f>SUM(K17:K26)</f>
        <v>323300</v>
      </c>
      <c r="L16" s="620">
        <f>SUM(L17:L26)</f>
        <v>0</v>
      </c>
      <c r="M16" s="1064">
        <f>SUM(M17:M26)</f>
        <v>323300</v>
      </c>
      <c r="N16" s="676">
        <f t="shared" si="1"/>
        <v>102.34251345362458</v>
      </c>
    </row>
    <row r="17" spans="1:15" ht="12.95" customHeight="1">
      <c r="B17" s="10"/>
      <c r="C17" s="11"/>
      <c r="D17" s="11"/>
      <c r="E17" s="636">
        <v>613100</v>
      </c>
      <c r="F17" s="662"/>
      <c r="G17" s="11" t="s">
        <v>84</v>
      </c>
      <c r="H17" s="31">
        <v>6500</v>
      </c>
      <c r="I17" s="756">
        <v>6100</v>
      </c>
      <c r="J17" s="393">
        <v>4068</v>
      </c>
      <c r="K17" s="978">
        <v>6500</v>
      </c>
      <c r="L17" s="978">
        <v>0</v>
      </c>
      <c r="M17" s="1062">
        <f t="shared" ref="M17:M26" si="2">SUM(K17:L17)</f>
        <v>6500</v>
      </c>
      <c r="N17" s="677">
        <f t="shared" si="1"/>
        <v>106.55737704918033</v>
      </c>
    </row>
    <row r="18" spans="1:15" ht="12.95" customHeight="1">
      <c r="B18" s="10"/>
      <c r="C18" s="11"/>
      <c r="D18" s="11"/>
      <c r="E18" s="636">
        <v>613200</v>
      </c>
      <c r="F18" s="662"/>
      <c r="G18" s="11" t="s">
        <v>85</v>
      </c>
      <c r="H18" s="31">
        <v>17000</v>
      </c>
      <c r="I18" s="756">
        <v>16000</v>
      </c>
      <c r="J18" s="393">
        <v>11115</v>
      </c>
      <c r="K18" s="978">
        <v>18000</v>
      </c>
      <c r="L18" s="978">
        <v>0</v>
      </c>
      <c r="M18" s="1062">
        <f t="shared" si="2"/>
        <v>18000</v>
      </c>
      <c r="N18" s="677">
        <f t="shared" si="1"/>
        <v>112.5</v>
      </c>
    </row>
    <row r="19" spans="1:15" ht="12.95" customHeight="1">
      <c r="B19" s="10"/>
      <c r="C19" s="11"/>
      <c r="D19" s="11"/>
      <c r="E19" s="636">
        <v>613300</v>
      </c>
      <c r="F19" s="662"/>
      <c r="G19" s="20" t="s">
        <v>206</v>
      </c>
      <c r="H19" s="31">
        <v>120000</v>
      </c>
      <c r="I19" s="756">
        <v>117000</v>
      </c>
      <c r="J19" s="393">
        <v>80699</v>
      </c>
      <c r="K19" s="978">
        <v>125000</v>
      </c>
      <c r="L19" s="978">
        <v>0</v>
      </c>
      <c r="M19" s="1062">
        <f t="shared" si="2"/>
        <v>125000</v>
      </c>
      <c r="N19" s="677">
        <f t="shared" si="1"/>
        <v>106.83760683760684</v>
      </c>
    </row>
    <row r="20" spans="1:15" ht="12.95" customHeight="1">
      <c r="B20" s="10"/>
      <c r="C20" s="11"/>
      <c r="D20" s="11"/>
      <c r="E20" s="636">
        <v>613400</v>
      </c>
      <c r="F20" s="662"/>
      <c r="G20" s="11" t="s">
        <v>165</v>
      </c>
      <c r="H20" s="88">
        <v>35000</v>
      </c>
      <c r="I20" s="759">
        <v>35000</v>
      </c>
      <c r="J20" s="396">
        <v>24731</v>
      </c>
      <c r="K20" s="984">
        <v>35000</v>
      </c>
      <c r="L20" s="984">
        <v>0</v>
      </c>
      <c r="M20" s="1062">
        <f t="shared" si="2"/>
        <v>35000</v>
      </c>
      <c r="N20" s="677">
        <f t="shared" si="1"/>
        <v>100</v>
      </c>
      <c r="O20" s="56"/>
    </row>
    <row r="21" spans="1:15" ht="12.95" customHeight="1">
      <c r="B21" s="10"/>
      <c r="C21" s="11"/>
      <c r="D21" s="11"/>
      <c r="E21" s="636">
        <v>613500</v>
      </c>
      <c r="F21" s="662"/>
      <c r="G21" s="11" t="s">
        <v>86</v>
      </c>
      <c r="H21" s="31">
        <v>12000</v>
      </c>
      <c r="I21" s="756">
        <v>12000</v>
      </c>
      <c r="J21" s="393">
        <v>8698</v>
      </c>
      <c r="K21" s="978">
        <v>15000</v>
      </c>
      <c r="L21" s="978">
        <v>0</v>
      </c>
      <c r="M21" s="1062">
        <f t="shared" si="2"/>
        <v>15000</v>
      </c>
      <c r="N21" s="677">
        <f t="shared" si="1"/>
        <v>125</v>
      </c>
    </row>
    <row r="22" spans="1:15" ht="12.95" customHeight="1">
      <c r="B22" s="10"/>
      <c r="C22" s="11"/>
      <c r="D22" s="11"/>
      <c r="E22" s="636">
        <v>613600</v>
      </c>
      <c r="F22" s="662"/>
      <c r="G22" s="20" t="s">
        <v>207</v>
      </c>
      <c r="H22" s="88">
        <v>0</v>
      </c>
      <c r="I22" s="759">
        <v>0</v>
      </c>
      <c r="J22" s="396">
        <v>0</v>
      </c>
      <c r="K22" s="984">
        <v>0</v>
      </c>
      <c r="L22" s="984">
        <v>0</v>
      </c>
      <c r="M22" s="1062">
        <f t="shared" si="2"/>
        <v>0</v>
      </c>
      <c r="N22" s="677" t="str">
        <f t="shared" si="1"/>
        <v/>
      </c>
    </row>
    <row r="23" spans="1:15" ht="12.95" customHeight="1">
      <c r="B23" s="10"/>
      <c r="C23" s="11"/>
      <c r="D23" s="11"/>
      <c r="E23" s="636">
        <v>613700</v>
      </c>
      <c r="F23" s="662"/>
      <c r="G23" s="11" t="s">
        <v>87</v>
      </c>
      <c r="H23" s="88">
        <v>12000</v>
      </c>
      <c r="I23" s="759">
        <v>10800</v>
      </c>
      <c r="J23" s="396">
        <v>7518</v>
      </c>
      <c r="K23" s="984">
        <v>10800</v>
      </c>
      <c r="L23" s="984">
        <v>0</v>
      </c>
      <c r="M23" s="1062">
        <f t="shared" si="2"/>
        <v>10800</v>
      </c>
      <c r="N23" s="677">
        <f t="shared" si="1"/>
        <v>100</v>
      </c>
    </row>
    <row r="24" spans="1:15" ht="12.95" customHeight="1">
      <c r="B24" s="10"/>
      <c r="C24" s="11"/>
      <c r="D24" s="11"/>
      <c r="E24" s="636">
        <v>613800</v>
      </c>
      <c r="F24" s="662"/>
      <c r="G24" s="11" t="s">
        <v>166</v>
      </c>
      <c r="H24" s="88">
        <v>4000</v>
      </c>
      <c r="I24" s="759">
        <v>3000</v>
      </c>
      <c r="J24" s="396">
        <v>1214</v>
      </c>
      <c r="K24" s="984">
        <v>3000</v>
      </c>
      <c r="L24" s="984">
        <v>0</v>
      </c>
      <c r="M24" s="1062">
        <f t="shared" si="2"/>
        <v>3000</v>
      </c>
      <c r="N24" s="677">
        <f t="shared" si="1"/>
        <v>100</v>
      </c>
    </row>
    <row r="25" spans="1:15" ht="12.95" customHeight="1">
      <c r="B25" s="10"/>
      <c r="C25" s="11"/>
      <c r="D25" s="11"/>
      <c r="E25" s="636">
        <v>613900</v>
      </c>
      <c r="F25" s="662"/>
      <c r="G25" s="11" t="s">
        <v>167</v>
      </c>
      <c r="H25" s="88">
        <v>118000</v>
      </c>
      <c r="I25" s="759">
        <v>116000</v>
      </c>
      <c r="J25" s="396">
        <v>84873</v>
      </c>
      <c r="K25" s="984">
        <v>110000</v>
      </c>
      <c r="L25" s="984">
        <v>0</v>
      </c>
      <c r="M25" s="1062">
        <f t="shared" si="2"/>
        <v>110000</v>
      </c>
      <c r="N25" s="677">
        <f t="shared" si="1"/>
        <v>94.827586206896555</v>
      </c>
      <c r="O25" s="78"/>
    </row>
    <row r="26" spans="1:15" ht="12.95" customHeight="1">
      <c r="B26" s="10"/>
      <c r="C26" s="11"/>
      <c r="D26" s="11"/>
      <c r="E26" s="636">
        <v>613900</v>
      </c>
      <c r="F26" s="662"/>
      <c r="G26" s="229" t="s">
        <v>548</v>
      </c>
      <c r="H26" s="88">
        <v>0</v>
      </c>
      <c r="I26" s="759">
        <v>0</v>
      </c>
      <c r="J26" s="396">
        <v>0</v>
      </c>
      <c r="K26" s="984">
        <v>0</v>
      </c>
      <c r="L26" s="984">
        <v>0</v>
      </c>
      <c r="M26" s="1062">
        <f t="shared" si="2"/>
        <v>0</v>
      </c>
      <c r="N26" s="677" t="str">
        <f t="shared" si="1"/>
        <v/>
      </c>
    </row>
    <row r="27" spans="1:15" s="1" customFormat="1" ht="12.95" customHeight="1">
      <c r="A27" s="608"/>
      <c r="B27" s="12"/>
      <c r="C27" s="8"/>
      <c r="D27" s="8"/>
      <c r="E27" s="646"/>
      <c r="F27" s="673"/>
      <c r="G27" s="8"/>
      <c r="H27" s="88"/>
      <c r="I27" s="759"/>
      <c r="J27" s="396"/>
      <c r="K27" s="623"/>
      <c r="L27" s="623"/>
      <c r="M27" s="1063"/>
      <c r="N27" s="677" t="str">
        <f t="shared" si="1"/>
        <v/>
      </c>
    </row>
    <row r="28" spans="1:15" ht="12.95" customHeight="1">
      <c r="B28" s="10"/>
      <c r="C28" s="11"/>
      <c r="D28" s="11"/>
      <c r="E28" s="636"/>
      <c r="F28" s="662"/>
      <c r="G28" s="11"/>
      <c r="H28" s="79"/>
      <c r="I28" s="758"/>
      <c r="J28" s="395"/>
      <c r="K28" s="622"/>
      <c r="L28" s="622"/>
      <c r="M28" s="1064"/>
      <c r="N28" s="677" t="str">
        <f t="shared" si="1"/>
        <v/>
      </c>
    </row>
    <row r="29" spans="1:15" s="1" customFormat="1" ht="12.95" customHeight="1">
      <c r="A29" s="608"/>
      <c r="B29" s="12"/>
      <c r="C29" s="8"/>
      <c r="D29" s="8"/>
      <c r="E29" s="635">
        <v>821000</v>
      </c>
      <c r="F29" s="661"/>
      <c r="G29" s="8" t="s">
        <v>90</v>
      </c>
      <c r="H29" s="79">
        <f>H30+H31</f>
        <v>16000</v>
      </c>
      <c r="I29" s="758">
        <v>8000</v>
      </c>
      <c r="J29" s="395">
        <v>4548</v>
      </c>
      <c r="K29" s="622">
        <f>K30+K31</f>
        <v>25000</v>
      </c>
      <c r="L29" s="622">
        <f>L30+L31</f>
        <v>0</v>
      </c>
      <c r="M29" s="1064">
        <f>M30+M31</f>
        <v>25000</v>
      </c>
      <c r="N29" s="676">
        <f t="shared" si="1"/>
        <v>312.5</v>
      </c>
    </row>
    <row r="30" spans="1:15" ht="12.95" customHeight="1">
      <c r="B30" s="10"/>
      <c r="C30" s="11"/>
      <c r="D30" s="11"/>
      <c r="E30" s="636">
        <v>821200</v>
      </c>
      <c r="F30" s="662"/>
      <c r="G30" s="11" t="s">
        <v>91</v>
      </c>
      <c r="H30" s="88">
        <v>1000</v>
      </c>
      <c r="I30" s="759">
        <v>0</v>
      </c>
      <c r="J30" s="396">
        <v>0</v>
      </c>
      <c r="K30" s="623">
        <v>0</v>
      </c>
      <c r="L30" s="623">
        <v>0</v>
      </c>
      <c r="M30" s="1062">
        <f t="shared" ref="M30:M31" si="3">SUM(K30:L30)</f>
        <v>0</v>
      </c>
      <c r="N30" s="677" t="str">
        <f t="shared" si="1"/>
        <v/>
      </c>
    </row>
    <row r="31" spans="1:15" ht="12.95" customHeight="1">
      <c r="B31" s="10"/>
      <c r="C31" s="11"/>
      <c r="D31" s="11"/>
      <c r="E31" s="636">
        <v>821300</v>
      </c>
      <c r="F31" s="662"/>
      <c r="G31" s="11" t="s">
        <v>92</v>
      </c>
      <c r="H31" s="88">
        <v>15000</v>
      </c>
      <c r="I31" s="759">
        <v>8000</v>
      </c>
      <c r="J31" s="396">
        <v>4548</v>
      </c>
      <c r="K31" s="623">
        <v>25000</v>
      </c>
      <c r="L31" s="623">
        <v>0</v>
      </c>
      <c r="M31" s="1062">
        <f t="shared" si="3"/>
        <v>25000</v>
      </c>
      <c r="N31" s="677">
        <f t="shared" si="1"/>
        <v>312.5</v>
      </c>
    </row>
    <row r="32" spans="1:15" ht="12.95" customHeight="1">
      <c r="B32" s="10"/>
      <c r="C32" s="11"/>
      <c r="D32" s="11"/>
      <c r="E32" s="636"/>
      <c r="F32" s="662"/>
      <c r="G32" s="11"/>
      <c r="H32" s="31"/>
      <c r="I32" s="756"/>
      <c r="J32" s="393"/>
      <c r="K32" s="618"/>
      <c r="L32" s="618"/>
      <c r="M32" s="1063"/>
      <c r="N32" s="677" t="str">
        <f t="shared" si="1"/>
        <v/>
      </c>
    </row>
    <row r="33" spans="1:14" s="1" customFormat="1" ht="12.95" customHeight="1">
      <c r="A33" s="608"/>
      <c r="B33" s="12"/>
      <c r="C33" s="8"/>
      <c r="D33" s="8"/>
      <c r="E33" s="635"/>
      <c r="F33" s="661"/>
      <c r="G33" s="8" t="s">
        <v>93</v>
      </c>
      <c r="H33" s="92">
        <v>44</v>
      </c>
      <c r="I33" s="760">
        <v>43</v>
      </c>
      <c r="J33" s="397">
        <v>43</v>
      </c>
      <c r="K33" s="624">
        <v>44</v>
      </c>
      <c r="L33" s="624"/>
      <c r="M33" s="1066">
        <v>44</v>
      </c>
      <c r="N33" s="677"/>
    </row>
    <row r="34" spans="1:14" s="1" customFormat="1" ht="12.95" customHeight="1">
      <c r="A34" s="608"/>
      <c r="B34" s="12"/>
      <c r="C34" s="8"/>
      <c r="D34" s="8"/>
      <c r="E34" s="635"/>
      <c r="F34" s="661"/>
      <c r="G34" s="8" t="s">
        <v>113</v>
      </c>
      <c r="H34" s="15">
        <f>H8+H13+H16+H29</f>
        <v>1573590</v>
      </c>
      <c r="I34" s="15">
        <f>I8+I13+I16+I29</f>
        <v>1578100</v>
      </c>
      <c r="J34" s="15">
        <f t="shared" ref="J34" si="4">J8+J13+J16+J29</f>
        <v>1148087</v>
      </c>
      <c r="K34" s="615">
        <f>K8+K13+K16+K29</f>
        <v>1602130</v>
      </c>
      <c r="L34" s="615">
        <f>L8+L13+L16+L29</f>
        <v>0</v>
      </c>
      <c r="M34" s="1064">
        <f>M8+M13+M16+M29</f>
        <v>1602130</v>
      </c>
      <c r="N34" s="676">
        <f>IF(I34=0,"",M34/I34*100)</f>
        <v>101.52271719155948</v>
      </c>
    </row>
    <row r="35" spans="1:14" s="1" customFormat="1" ht="12.95" customHeight="1">
      <c r="A35" s="608"/>
      <c r="B35" s="12"/>
      <c r="C35" s="8"/>
      <c r="D35" s="8"/>
      <c r="E35" s="635"/>
      <c r="F35" s="661"/>
      <c r="G35" s="8" t="s">
        <v>94</v>
      </c>
      <c r="H35" s="15">
        <f>H34</f>
        <v>1573590</v>
      </c>
      <c r="I35" s="15">
        <f>I34</f>
        <v>1578100</v>
      </c>
      <c r="J35" s="15">
        <f t="shared" ref="J35" si="5">J34</f>
        <v>1148087</v>
      </c>
      <c r="K35" s="615">
        <f>K34</f>
        <v>1602130</v>
      </c>
      <c r="L35" s="615">
        <f>L34</f>
        <v>0</v>
      </c>
      <c r="M35" s="1064">
        <f>M34</f>
        <v>1602130</v>
      </c>
      <c r="N35" s="676">
        <f t="shared" si="1"/>
        <v>101.52271719155948</v>
      </c>
    </row>
    <row r="36" spans="1:14" s="1" customFormat="1" ht="12.95" customHeight="1">
      <c r="A36" s="608"/>
      <c r="B36" s="12"/>
      <c r="C36" s="8"/>
      <c r="D36" s="8"/>
      <c r="E36" s="635"/>
      <c r="F36" s="661"/>
      <c r="G36" s="8" t="s">
        <v>95</v>
      </c>
      <c r="H36" s="30"/>
      <c r="I36" s="30"/>
      <c r="J36" s="30"/>
      <c r="K36" s="593"/>
      <c r="L36" s="593"/>
      <c r="M36" s="1063"/>
      <c r="N36" s="678"/>
    </row>
    <row r="37" spans="1:14" ht="12.95" customHeight="1" thickBot="1">
      <c r="B37" s="16"/>
      <c r="C37" s="17"/>
      <c r="D37" s="17"/>
      <c r="E37" s="637"/>
      <c r="F37" s="663"/>
      <c r="G37" s="17"/>
      <c r="H37" s="32"/>
      <c r="I37" s="32"/>
      <c r="J37" s="32"/>
      <c r="K37" s="32"/>
      <c r="L37" s="32"/>
      <c r="M37" s="1067"/>
      <c r="N37" s="679"/>
    </row>
    <row r="38" spans="1:14" ht="12.95" customHeight="1">
      <c r="E38" s="638"/>
      <c r="F38" s="664"/>
      <c r="M38" s="1070"/>
    </row>
    <row r="39" spans="1:14" ht="12.95" customHeight="1">
      <c r="B39" s="56"/>
      <c r="E39" s="638"/>
      <c r="F39" s="664"/>
      <c r="M39" s="1070"/>
    </row>
    <row r="40" spans="1:14" ht="12.95" customHeight="1">
      <c r="B40" s="56"/>
      <c r="E40" s="638"/>
      <c r="F40" s="664"/>
      <c r="M40" s="1070"/>
    </row>
    <row r="41" spans="1:14" ht="12.95" customHeight="1">
      <c r="B41" s="56"/>
      <c r="E41" s="638"/>
      <c r="F41" s="664"/>
      <c r="M41" s="1070"/>
    </row>
    <row r="42" spans="1:14" ht="12.95" customHeight="1">
      <c r="B42" s="56"/>
      <c r="E42" s="638"/>
      <c r="F42" s="664"/>
      <c r="M42" s="1070"/>
    </row>
    <row r="43" spans="1:14" ht="12.95" customHeight="1">
      <c r="B43" s="56"/>
      <c r="E43" s="638"/>
      <c r="F43" s="664"/>
      <c r="M43" s="1070"/>
    </row>
    <row r="44" spans="1:14" ht="12.95" customHeight="1">
      <c r="B44" s="56"/>
      <c r="E44" s="638"/>
      <c r="F44" s="664"/>
      <c r="M44" s="1070"/>
    </row>
    <row r="45" spans="1:14" ht="12.95" customHeight="1">
      <c r="B45" s="56"/>
      <c r="E45" s="638"/>
      <c r="F45" s="664"/>
      <c r="M45" s="1070"/>
    </row>
    <row r="46" spans="1:14" ht="12.95" customHeight="1">
      <c r="E46" s="638"/>
      <c r="F46" s="664"/>
      <c r="M46" s="1070"/>
    </row>
    <row r="47" spans="1:14" ht="12.95" customHeight="1">
      <c r="E47" s="638"/>
      <c r="F47" s="664"/>
      <c r="M47" s="1070"/>
    </row>
    <row r="48" spans="1:14" ht="12.95" customHeight="1">
      <c r="E48" s="638"/>
      <c r="F48" s="664"/>
      <c r="M48" s="1070"/>
    </row>
    <row r="49" spans="5:13" ht="12.95" customHeight="1">
      <c r="E49" s="638"/>
      <c r="F49" s="664"/>
      <c r="M49" s="1070"/>
    </row>
    <row r="50" spans="5:13" ht="12.95" customHeight="1">
      <c r="E50" s="638"/>
      <c r="F50" s="664"/>
      <c r="M50" s="1070"/>
    </row>
    <row r="51" spans="5:13" ht="12.95" customHeight="1">
      <c r="E51" s="638"/>
      <c r="F51" s="664"/>
      <c r="M51" s="1070"/>
    </row>
    <row r="52" spans="5:13" ht="12.95" customHeight="1">
      <c r="E52" s="638"/>
      <c r="F52" s="664"/>
      <c r="M52" s="1070"/>
    </row>
    <row r="53" spans="5:13" ht="12.95" customHeight="1">
      <c r="E53" s="638"/>
      <c r="F53" s="664"/>
      <c r="M53" s="1070"/>
    </row>
    <row r="54" spans="5:13" ht="12.95" customHeight="1">
      <c r="E54" s="638"/>
      <c r="F54" s="664"/>
      <c r="M54" s="1070"/>
    </row>
    <row r="55" spans="5:13" ht="12.95" customHeight="1">
      <c r="E55" s="638"/>
      <c r="F55" s="664"/>
      <c r="M55" s="1070"/>
    </row>
    <row r="56" spans="5:13" ht="12.95" customHeight="1">
      <c r="E56" s="638"/>
      <c r="F56" s="664"/>
      <c r="M56" s="1070"/>
    </row>
    <row r="57" spans="5:13" ht="12.95" customHeight="1">
      <c r="E57" s="638"/>
      <c r="F57" s="664"/>
      <c r="M57" s="1070"/>
    </row>
    <row r="58" spans="5:13" ht="12.95" customHeight="1">
      <c r="E58" s="638"/>
      <c r="F58" s="664"/>
      <c r="M58" s="1070"/>
    </row>
    <row r="59" spans="5:13" ht="12.95" customHeight="1">
      <c r="E59" s="638"/>
      <c r="F59" s="664"/>
      <c r="M59" s="1070"/>
    </row>
    <row r="60" spans="5:13" ht="17.100000000000001" customHeight="1">
      <c r="E60" s="638"/>
      <c r="F60" s="664"/>
      <c r="M60" s="1070"/>
    </row>
    <row r="61" spans="5:13" ht="14.25">
      <c r="E61" s="638"/>
      <c r="F61" s="664"/>
      <c r="M61" s="1070"/>
    </row>
    <row r="62" spans="5:13" ht="14.25">
      <c r="E62" s="638"/>
      <c r="F62" s="664"/>
      <c r="M62" s="1070"/>
    </row>
    <row r="63" spans="5:13" ht="14.25">
      <c r="E63" s="638"/>
      <c r="F63" s="664"/>
      <c r="M63" s="1070"/>
    </row>
    <row r="64" spans="5:13" ht="14.25">
      <c r="E64" s="638"/>
      <c r="F64" s="664"/>
      <c r="M64" s="1070"/>
    </row>
    <row r="65" spans="5:13" ht="14.25">
      <c r="E65" s="638"/>
      <c r="F65" s="664"/>
      <c r="M65" s="1070"/>
    </row>
    <row r="66" spans="5:13" ht="14.25">
      <c r="E66" s="638"/>
      <c r="F66" s="664"/>
      <c r="M66" s="1070"/>
    </row>
    <row r="67" spans="5:13" ht="14.25">
      <c r="E67" s="638"/>
      <c r="F67" s="664"/>
      <c r="M67" s="1070"/>
    </row>
    <row r="68" spans="5:13" ht="14.25">
      <c r="E68" s="638"/>
      <c r="F68" s="664"/>
      <c r="M68" s="1070"/>
    </row>
    <row r="69" spans="5:13" ht="14.25">
      <c r="E69" s="638"/>
      <c r="F69" s="664"/>
      <c r="M69" s="1070"/>
    </row>
    <row r="70" spans="5:13" ht="14.25">
      <c r="E70" s="638"/>
      <c r="F70" s="664"/>
      <c r="M70" s="1070"/>
    </row>
    <row r="71" spans="5:13" ht="14.25">
      <c r="E71" s="638"/>
      <c r="F71" s="664"/>
      <c r="M71" s="1070"/>
    </row>
    <row r="72" spans="5:13" ht="14.25">
      <c r="E72" s="638"/>
      <c r="F72" s="664"/>
      <c r="M72" s="1070"/>
    </row>
    <row r="73" spans="5:13" ht="14.25">
      <c r="E73" s="638"/>
      <c r="F73" s="664"/>
      <c r="M73" s="1070"/>
    </row>
    <row r="74" spans="5:13" ht="14.25">
      <c r="E74" s="638"/>
      <c r="F74" s="638"/>
      <c r="M74" s="1070"/>
    </row>
    <row r="75" spans="5:13" ht="14.25">
      <c r="E75" s="638"/>
      <c r="F75" s="638"/>
      <c r="M75" s="1070"/>
    </row>
    <row r="76" spans="5:13" ht="14.25">
      <c r="E76" s="638"/>
      <c r="F76" s="638"/>
      <c r="M76" s="1070"/>
    </row>
    <row r="77" spans="5:13" ht="14.25">
      <c r="E77" s="638"/>
      <c r="F77" s="638"/>
      <c r="M77" s="1070"/>
    </row>
    <row r="78" spans="5:13" ht="14.25">
      <c r="E78" s="638"/>
      <c r="F78" s="638"/>
      <c r="M78" s="1070"/>
    </row>
    <row r="79" spans="5:13" ht="14.25">
      <c r="E79" s="638"/>
      <c r="F79" s="638"/>
      <c r="M79" s="1070"/>
    </row>
    <row r="80" spans="5:13" ht="14.25">
      <c r="E80" s="638"/>
      <c r="F80" s="638"/>
      <c r="M80" s="1070"/>
    </row>
    <row r="81" spans="5:13" ht="14.25">
      <c r="E81" s="638"/>
      <c r="F81" s="638"/>
      <c r="M81" s="1070"/>
    </row>
    <row r="82" spans="5:13" ht="14.25">
      <c r="E82" s="638"/>
      <c r="F82" s="638"/>
      <c r="M82" s="1070"/>
    </row>
    <row r="83" spans="5:13" ht="14.25">
      <c r="E83" s="638"/>
      <c r="F83" s="638"/>
      <c r="M83" s="1070"/>
    </row>
    <row r="84" spans="5:13" ht="14.25">
      <c r="E84" s="638"/>
      <c r="F84" s="638"/>
      <c r="M84" s="1070"/>
    </row>
    <row r="85" spans="5:13" ht="14.25">
      <c r="E85" s="638"/>
      <c r="F85" s="638"/>
      <c r="M85" s="1070"/>
    </row>
    <row r="86" spans="5:13" ht="14.25">
      <c r="E86" s="638"/>
      <c r="F86" s="638"/>
      <c r="M86" s="1070"/>
    </row>
    <row r="87" spans="5:13" ht="14.25">
      <c r="E87" s="638"/>
      <c r="F87" s="638"/>
      <c r="M87" s="1070"/>
    </row>
    <row r="88" spans="5:13" ht="14.25">
      <c r="E88" s="638"/>
      <c r="F88" s="638"/>
      <c r="M88" s="1070"/>
    </row>
    <row r="89" spans="5:13" ht="14.25">
      <c r="E89" s="638"/>
      <c r="F89" s="638"/>
      <c r="M89" s="1070"/>
    </row>
    <row r="90" spans="5:13" ht="14.25">
      <c r="E90" s="638"/>
      <c r="F90" s="638"/>
      <c r="M90" s="1070"/>
    </row>
    <row r="91" spans="5:13">
      <c r="F91" s="638"/>
    </row>
    <row r="92" spans="5:13">
      <c r="F92" s="638"/>
    </row>
    <row r="93" spans="5:13">
      <c r="F93" s="638"/>
    </row>
    <row r="94" spans="5:13">
      <c r="F94" s="638"/>
    </row>
    <row r="95" spans="5:13">
      <c r="F95" s="638"/>
    </row>
    <row r="96" spans="5:13">
      <c r="F96" s="638"/>
    </row>
  </sheetData>
  <mergeCells count="13">
    <mergeCell ref="N4:N5"/>
    <mergeCell ref="G4:G5"/>
    <mergeCell ref="B2:H2"/>
    <mergeCell ref="G3:H3"/>
    <mergeCell ref="K4:M4"/>
    <mergeCell ref="B4:B5"/>
    <mergeCell ref="C4:C5"/>
    <mergeCell ref="D4:D5"/>
    <mergeCell ref="F4:F5"/>
    <mergeCell ref="E4:E5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P96"/>
  <sheetViews>
    <sheetView zoomScaleNormal="100" workbookViewId="0">
      <selection activeCell="Q14" sqref="Q14"/>
    </sheetView>
  </sheetViews>
  <sheetFormatPr defaultRowHeight="12.75"/>
  <cols>
    <col min="1" max="1" width="9.140625" style="611"/>
    <col min="2" max="2" width="4.7109375" style="9" customWidth="1"/>
    <col min="3" max="3" width="5.140625" style="9" customWidth="1"/>
    <col min="4" max="4" width="5" style="9" customWidth="1"/>
    <col min="5" max="5" width="8.7109375" style="18" customWidth="1"/>
    <col min="6" max="6" width="8.7109375" style="616" customWidth="1"/>
    <col min="7" max="7" width="50.7109375" style="9" customWidth="1"/>
    <col min="8" max="12" width="14.7109375" style="64" customWidth="1"/>
    <col min="13" max="13" width="15.7109375" style="64" customWidth="1"/>
    <col min="14" max="14" width="7.7109375" style="680" customWidth="1"/>
    <col min="15" max="16384" width="9.140625" style="9"/>
  </cols>
  <sheetData>
    <row r="1" spans="1:16" ht="13.5" thickBot="1"/>
    <row r="2" spans="1:16" s="1052" customFormat="1" ht="20.100000000000001" customHeight="1" thickTop="1" thickBot="1">
      <c r="B2" s="1261" t="s">
        <v>226</v>
      </c>
      <c r="C2" s="1262"/>
      <c r="D2" s="1262"/>
      <c r="E2" s="1262"/>
      <c r="F2" s="1262"/>
      <c r="G2" s="1262"/>
      <c r="H2" s="1262"/>
      <c r="I2" s="1053"/>
      <c r="J2" s="1053"/>
      <c r="K2" s="1054"/>
      <c r="L2" s="1054"/>
      <c r="M2" s="1054"/>
      <c r="N2" s="1057"/>
    </row>
    <row r="3" spans="1:16" s="1" customFormat="1" ht="8.1" customHeight="1" thickTop="1" thickBot="1">
      <c r="A3" s="608"/>
      <c r="E3" s="2"/>
      <c r="F3" s="609"/>
      <c r="G3" s="1264"/>
      <c r="H3" s="1264"/>
      <c r="I3" s="306"/>
      <c r="J3" s="306"/>
      <c r="K3" s="119"/>
      <c r="L3" s="119"/>
      <c r="M3" s="119"/>
      <c r="N3" s="674"/>
    </row>
    <row r="4" spans="1:16" s="1" customFormat="1" ht="39" customHeight="1">
      <c r="A4" s="608"/>
      <c r="B4" s="1268" t="s">
        <v>78</v>
      </c>
      <c r="C4" s="1280" t="s">
        <v>79</v>
      </c>
      <c r="D4" s="1281" t="s">
        <v>110</v>
      </c>
      <c r="E4" s="1282" t="s">
        <v>615</v>
      </c>
      <c r="F4" s="1273" t="s">
        <v>695</v>
      </c>
      <c r="G4" s="1274" t="s">
        <v>80</v>
      </c>
      <c r="H4" s="1283" t="s">
        <v>614</v>
      </c>
      <c r="I4" s="1284" t="s">
        <v>747</v>
      </c>
      <c r="J4" s="1283" t="s">
        <v>667</v>
      </c>
      <c r="K4" s="1265" t="s">
        <v>682</v>
      </c>
      <c r="L4" s="1266"/>
      <c r="M4" s="1267"/>
      <c r="N4" s="1278" t="s">
        <v>756</v>
      </c>
    </row>
    <row r="5" spans="1:16" s="608" customFormat="1" ht="27" customHeight="1">
      <c r="B5" s="1269"/>
      <c r="C5" s="1271"/>
      <c r="D5" s="1271"/>
      <c r="E5" s="1275"/>
      <c r="F5" s="1271"/>
      <c r="G5" s="1275"/>
      <c r="H5" s="1275"/>
      <c r="I5" s="1275"/>
      <c r="J5" s="1275"/>
      <c r="K5" s="1048" t="s">
        <v>753</v>
      </c>
      <c r="L5" s="1048" t="s">
        <v>754</v>
      </c>
      <c r="M5" s="1059" t="s">
        <v>426</v>
      </c>
      <c r="N5" s="1279"/>
    </row>
    <row r="6" spans="1:16" s="2" customFormat="1" ht="12.95" customHeight="1">
      <c r="A6" s="609"/>
      <c r="B6" s="1181">
        <v>1</v>
      </c>
      <c r="C6" s="661">
        <v>2</v>
      </c>
      <c r="D6" s="661">
        <v>3</v>
      </c>
      <c r="E6" s="661">
        <v>4</v>
      </c>
      <c r="F6" s="661">
        <v>5</v>
      </c>
      <c r="G6" s="661">
        <v>6</v>
      </c>
      <c r="H6" s="661">
        <v>7</v>
      </c>
      <c r="I6" s="661">
        <v>8</v>
      </c>
      <c r="J6" s="661">
        <v>9</v>
      </c>
      <c r="K6" s="661">
        <v>10</v>
      </c>
      <c r="L6" s="661">
        <v>11</v>
      </c>
      <c r="M6" s="1201" t="s">
        <v>755</v>
      </c>
      <c r="N6" s="1183">
        <v>13</v>
      </c>
    </row>
    <row r="7" spans="1:16" s="2" customFormat="1" ht="12.95" customHeight="1">
      <c r="A7" s="609"/>
      <c r="B7" s="6" t="s">
        <v>131</v>
      </c>
      <c r="C7" s="7" t="s">
        <v>133</v>
      </c>
      <c r="D7" s="7" t="s">
        <v>82</v>
      </c>
      <c r="E7" s="5"/>
      <c r="F7" s="610"/>
      <c r="G7" s="5"/>
      <c r="H7" s="110"/>
      <c r="I7" s="110"/>
      <c r="J7" s="110"/>
      <c r="K7" s="110"/>
      <c r="L7" s="110"/>
      <c r="M7" s="1069"/>
      <c r="N7" s="675"/>
    </row>
    <row r="8" spans="1:16" s="1" customFormat="1" ht="12.95" customHeight="1">
      <c r="A8" s="608"/>
      <c r="B8" s="12"/>
      <c r="C8" s="8"/>
      <c r="D8" s="8"/>
      <c r="E8" s="635">
        <v>611000</v>
      </c>
      <c r="F8" s="661"/>
      <c r="G8" s="8" t="s">
        <v>163</v>
      </c>
      <c r="H8" s="256">
        <f>SUM(H9:H12)</f>
        <v>44960</v>
      </c>
      <c r="I8" s="769">
        <v>34010</v>
      </c>
      <c r="J8" s="405">
        <v>25267</v>
      </c>
      <c r="K8" s="256">
        <f>SUM(K9:K12)</f>
        <v>43660</v>
      </c>
      <c r="L8" s="256">
        <f>SUM(L9:L12)</f>
        <v>0</v>
      </c>
      <c r="M8" s="1061">
        <f>SUM(M9:M12)</f>
        <v>43660</v>
      </c>
      <c r="N8" s="676">
        <f>IF(I8=0,"",M8/I8*100)</f>
        <v>128.37400764481035</v>
      </c>
    </row>
    <row r="9" spans="1:16" ht="12.95" customHeight="1">
      <c r="B9" s="10"/>
      <c r="C9" s="11"/>
      <c r="D9" s="11"/>
      <c r="E9" s="636">
        <v>611100</v>
      </c>
      <c r="F9" s="662"/>
      <c r="G9" s="20" t="s">
        <v>204</v>
      </c>
      <c r="H9" s="258">
        <f>27670+300+8200+830+250</f>
        <v>37250</v>
      </c>
      <c r="I9" s="770">
        <v>28540</v>
      </c>
      <c r="J9" s="406">
        <v>21049</v>
      </c>
      <c r="K9" s="258">
        <f>28970+100+1*9*950</f>
        <v>37620</v>
      </c>
      <c r="L9" s="258">
        <v>0</v>
      </c>
      <c r="M9" s="1062">
        <f>SUM(K9:L9)</f>
        <v>37620</v>
      </c>
      <c r="N9" s="677">
        <f>IF(I9=0,"",M9/I9*100)</f>
        <v>131.81499649614577</v>
      </c>
    </row>
    <row r="10" spans="1:16" ht="12.95" customHeight="1">
      <c r="B10" s="10"/>
      <c r="C10" s="11"/>
      <c r="D10" s="11"/>
      <c r="E10" s="636">
        <v>611200</v>
      </c>
      <c r="F10" s="662"/>
      <c r="G10" s="11" t="s">
        <v>205</v>
      </c>
      <c r="H10" s="258">
        <f>3640+100+1470+2500</f>
        <v>7710</v>
      </c>
      <c r="I10" s="770">
        <v>5470</v>
      </c>
      <c r="J10" s="406">
        <v>4218</v>
      </c>
      <c r="K10" s="258">
        <f>3670+80+9*21*10+400</f>
        <v>6040</v>
      </c>
      <c r="L10" s="258">
        <v>0</v>
      </c>
      <c r="M10" s="1062">
        <f t="shared" ref="M10:M11" si="0">SUM(K10:L10)</f>
        <v>6040</v>
      </c>
      <c r="N10" s="677">
        <f t="shared" ref="N10:N35" si="1">IF(I10=0,"",M10/I10*100)</f>
        <v>110.42047531992687</v>
      </c>
    </row>
    <row r="11" spans="1:16" ht="12.95" customHeight="1">
      <c r="B11" s="10"/>
      <c r="C11" s="11"/>
      <c r="D11" s="11"/>
      <c r="E11" s="636">
        <v>611200</v>
      </c>
      <c r="F11" s="662"/>
      <c r="G11" s="229" t="s">
        <v>547</v>
      </c>
      <c r="H11" s="255">
        <v>0</v>
      </c>
      <c r="I11" s="768">
        <v>0</v>
      </c>
      <c r="J11" s="404">
        <v>0</v>
      </c>
      <c r="K11" s="255">
        <v>0</v>
      </c>
      <c r="L11" s="255">
        <v>0</v>
      </c>
      <c r="M11" s="1062">
        <f t="shared" si="0"/>
        <v>0</v>
      </c>
      <c r="N11" s="677" t="str">
        <f t="shared" si="1"/>
        <v/>
      </c>
      <c r="P11" s="63"/>
    </row>
    <row r="12" spans="1:16" ht="12.95" customHeight="1">
      <c r="B12" s="10"/>
      <c r="C12" s="11"/>
      <c r="D12" s="11"/>
      <c r="E12" s="636"/>
      <c r="F12" s="662"/>
      <c r="G12" s="20"/>
      <c r="H12" s="258"/>
      <c r="I12" s="770"/>
      <c r="J12" s="406"/>
      <c r="K12" s="258"/>
      <c r="L12" s="258"/>
      <c r="M12" s="1062"/>
      <c r="N12" s="677" t="str">
        <f t="shared" si="1"/>
        <v/>
      </c>
    </row>
    <row r="13" spans="1:16" s="1" customFormat="1" ht="12.95" customHeight="1">
      <c r="A13" s="608"/>
      <c r="B13" s="12"/>
      <c r="C13" s="8"/>
      <c r="D13" s="8"/>
      <c r="E13" s="635">
        <v>612000</v>
      </c>
      <c r="F13" s="661"/>
      <c r="G13" s="8" t="s">
        <v>162</v>
      </c>
      <c r="H13" s="256">
        <f>H14</f>
        <v>4060</v>
      </c>
      <c r="I13" s="769">
        <v>3120</v>
      </c>
      <c r="J13" s="405">
        <v>2231</v>
      </c>
      <c r="K13" s="256">
        <f>K14</f>
        <v>4130</v>
      </c>
      <c r="L13" s="256">
        <f>L14</f>
        <v>0</v>
      </c>
      <c r="M13" s="1061">
        <f>M14</f>
        <v>4130</v>
      </c>
      <c r="N13" s="676">
        <f t="shared" si="1"/>
        <v>132.37179487179486</v>
      </c>
    </row>
    <row r="14" spans="1:16" ht="12.95" customHeight="1">
      <c r="B14" s="10"/>
      <c r="C14" s="11"/>
      <c r="D14" s="11"/>
      <c r="E14" s="636">
        <v>612100</v>
      </c>
      <c r="F14" s="662"/>
      <c r="G14" s="13" t="s">
        <v>83</v>
      </c>
      <c r="H14" s="258">
        <f>2940+100+900+90+30</f>
        <v>4060</v>
      </c>
      <c r="I14" s="770">
        <v>3120</v>
      </c>
      <c r="J14" s="406">
        <v>2231</v>
      </c>
      <c r="K14" s="258">
        <f>3100+40+1*9*110</f>
        <v>4130</v>
      </c>
      <c r="L14" s="258">
        <v>0</v>
      </c>
      <c r="M14" s="1062">
        <f>SUM(K14:L14)</f>
        <v>4130</v>
      </c>
      <c r="N14" s="677">
        <f t="shared" si="1"/>
        <v>132.37179487179486</v>
      </c>
    </row>
    <row r="15" spans="1:16" ht="12.95" customHeight="1">
      <c r="B15" s="10"/>
      <c r="C15" s="11"/>
      <c r="D15" s="11"/>
      <c r="E15" s="636"/>
      <c r="F15" s="662"/>
      <c r="G15" s="11"/>
      <c r="H15" s="31"/>
      <c r="I15" s="764"/>
      <c r="J15" s="401"/>
      <c r="K15" s="618"/>
      <c r="L15" s="618"/>
      <c r="M15" s="1063"/>
      <c r="N15" s="677" t="str">
        <f t="shared" si="1"/>
        <v/>
      </c>
    </row>
    <row r="16" spans="1:16" s="1" customFormat="1" ht="12.95" customHeight="1">
      <c r="A16" s="608"/>
      <c r="B16" s="12"/>
      <c r="C16" s="8"/>
      <c r="D16" s="8"/>
      <c r="E16" s="635">
        <v>613000</v>
      </c>
      <c r="F16" s="661"/>
      <c r="G16" s="8" t="s">
        <v>164</v>
      </c>
      <c r="H16" s="35">
        <f>SUM(H17:H26)</f>
        <v>4200</v>
      </c>
      <c r="I16" s="765">
        <v>3800</v>
      </c>
      <c r="J16" s="402">
        <v>1763</v>
      </c>
      <c r="K16" s="620">
        <f>SUM(K17:K26)</f>
        <v>4200</v>
      </c>
      <c r="L16" s="620">
        <f>SUM(L17:L26)</f>
        <v>0</v>
      </c>
      <c r="M16" s="1064">
        <f>SUM(M17:M26)</f>
        <v>4200</v>
      </c>
      <c r="N16" s="677">
        <f t="shared" si="1"/>
        <v>110.5263157894737</v>
      </c>
    </row>
    <row r="17" spans="1:14" ht="12.95" customHeight="1">
      <c r="B17" s="10"/>
      <c r="C17" s="11"/>
      <c r="D17" s="11"/>
      <c r="E17" s="636">
        <v>613100</v>
      </c>
      <c r="F17" s="662"/>
      <c r="G17" s="11" t="s">
        <v>84</v>
      </c>
      <c r="H17" s="31">
        <v>500</v>
      </c>
      <c r="I17" s="764">
        <v>250</v>
      </c>
      <c r="J17" s="401">
        <v>0</v>
      </c>
      <c r="K17" s="978">
        <v>500</v>
      </c>
      <c r="L17" s="978">
        <v>0</v>
      </c>
      <c r="M17" s="1062">
        <f t="shared" ref="M17:M26" si="2">SUM(K17:L17)</f>
        <v>500</v>
      </c>
      <c r="N17" s="677">
        <f t="shared" si="1"/>
        <v>200</v>
      </c>
    </row>
    <row r="18" spans="1:14" ht="12.95" customHeight="1">
      <c r="B18" s="10"/>
      <c r="C18" s="11"/>
      <c r="D18" s="11"/>
      <c r="E18" s="636">
        <v>613200</v>
      </c>
      <c r="F18" s="662"/>
      <c r="G18" s="11" t="s">
        <v>85</v>
      </c>
      <c r="H18" s="31">
        <v>0</v>
      </c>
      <c r="I18" s="764">
        <v>0</v>
      </c>
      <c r="J18" s="401">
        <v>0</v>
      </c>
      <c r="K18" s="978">
        <v>0</v>
      </c>
      <c r="L18" s="978">
        <v>0</v>
      </c>
      <c r="M18" s="1062">
        <f t="shared" si="2"/>
        <v>0</v>
      </c>
      <c r="N18" s="677" t="str">
        <f t="shared" si="1"/>
        <v/>
      </c>
    </row>
    <row r="19" spans="1:14" ht="12.95" customHeight="1">
      <c r="B19" s="10"/>
      <c r="C19" s="11"/>
      <c r="D19" s="11"/>
      <c r="E19" s="636">
        <v>613300</v>
      </c>
      <c r="F19" s="662"/>
      <c r="G19" s="20" t="s">
        <v>206</v>
      </c>
      <c r="H19" s="31">
        <v>1000</v>
      </c>
      <c r="I19" s="764">
        <v>850</v>
      </c>
      <c r="J19" s="401">
        <v>410</v>
      </c>
      <c r="K19" s="978">
        <v>1000</v>
      </c>
      <c r="L19" s="978">
        <v>0</v>
      </c>
      <c r="M19" s="1062">
        <f t="shared" si="2"/>
        <v>1000</v>
      </c>
      <c r="N19" s="677">
        <f t="shared" si="1"/>
        <v>117.64705882352942</v>
      </c>
    </row>
    <row r="20" spans="1:14" ht="12.95" customHeight="1">
      <c r="B20" s="10"/>
      <c r="C20" s="11"/>
      <c r="D20" s="11"/>
      <c r="E20" s="636">
        <v>613400</v>
      </c>
      <c r="F20" s="662"/>
      <c r="G20" s="11" t="s">
        <v>165</v>
      </c>
      <c r="H20" s="31">
        <v>1000</v>
      </c>
      <c r="I20" s="764">
        <v>1000</v>
      </c>
      <c r="J20" s="401">
        <v>516</v>
      </c>
      <c r="K20" s="978">
        <v>1000</v>
      </c>
      <c r="L20" s="978">
        <v>0</v>
      </c>
      <c r="M20" s="1062">
        <f t="shared" si="2"/>
        <v>1000</v>
      </c>
      <c r="N20" s="677">
        <f t="shared" si="1"/>
        <v>100</v>
      </c>
    </row>
    <row r="21" spans="1:14" ht="12.95" customHeight="1">
      <c r="B21" s="10"/>
      <c r="C21" s="11"/>
      <c r="D21" s="11"/>
      <c r="E21" s="636">
        <v>613500</v>
      </c>
      <c r="F21" s="662"/>
      <c r="G21" s="11" t="s">
        <v>86</v>
      </c>
      <c r="H21" s="31">
        <v>0</v>
      </c>
      <c r="I21" s="764">
        <v>0</v>
      </c>
      <c r="J21" s="401">
        <v>0</v>
      </c>
      <c r="K21" s="978">
        <v>0</v>
      </c>
      <c r="L21" s="978">
        <v>0</v>
      </c>
      <c r="M21" s="1062">
        <f t="shared" si="2"/>
        <v>0</v>
      </c>
      <c r="N21" s="677" t="str">
        <f t="shared" si="1"/>
        <v/>
      </c>
    </row>
    <row r="22" spans="1:14" ht="12.95" customHeight="1">
      <c r="B22" s="10"/>
      <c r="C22" s="11"/>
      <c r="D22" s="11"/>
      <c r="E22" s="636">
        <v>613600</v>
      </c>
      <c r="F22" s="662"/>
      <c r="G22" s="20" t="s">
        <v>207</v>
      </c>
      <c r="H22" s="31">
        <v>0</v>
      </c>
      <c r="I22" s="764">
        <v>0</v>
      </c>
      <c r="J22" s="401">
        <v>0</v>
      </c>
      <c r="K22" s="978">
        <v>0</v>
      </c>
      <c r="L22" s="978">
        <v>0</v>
      </c>
      <c r="M22" s="1062">
        <f t="shared" si="2"/>
        <v>0</v>
      </c>
      <c r="N22" s="677" t="str">
        <f t="shared" si="1"/>
        <v/>
      </c>
    </row>
    <row r="23" spans="1:14" ht="12.95" customHeight="1">
      <c r="B23" s="10"/>
      <c r="C23" s="11"/>
      <c r="D23" s="11"/>
      <c r="E23" s="636">
        <v>613700</v>
      </c>
      <c r="F23" s="662"/>
      <c r="G23" s="11" t="s">
        <v>87</v>
      </c>
      <c r="H23" s="31">
        <v>0</v>
      </c>
      <c r="I23" s="764">
        <v>0</v>
      </c>
      <c r="J23" s="401">
        <v>0</v>
      </c>
      <c r="K23" s="978">
        <v>0</v>
      </c>
      <c r="L23" s="978">
        <v>0</v>
      </c>
      <c r="M23" s="1062">
        <f t="shared" si="2"/>
        <v>0</v>
      </c>
      <c r="N23" s="677" t="str">
        <f t="shared" si="1"/>
        <v/>
      </c>
    </row>
    <row r="24" spans="1:14" ht="12.95" customHeight="1">
      <c r="B24" s="10"/>
      <c r="C24" s="11"/>
      <c r="D24" s="11"/>
      <c r="E24" s="636">
        <v>613800</v>
      </c>
      <c r="F24" s="662"/>
      <c r="G24" s="11" t="s">
        <v>166</v>
      </c>
      <c r="H24" s="31">
        <v>0</v>
      </c>
      <c r="I24" s="764">
        <v>0</v>
      </c>
      <c r="J24" s="401">
        <v>0</v>
      </c>
      <c r="K24" s="978">
        <v>0</v>
      </c>
      <c r="L24" s="978">
        <v>0</v>
      </c>
      <c r="M24" s="1062">
        <f t="shared" si="2"/>
        <v>0</v>
      </c>
      <c r="N24" s="677" t="str">
        <f t="shared" si="1"/>
        <v/>
      </c>
    </row>
    <row r="25" spans="1:14" ht="12.95" customHeight="1">
      <c r="B25" s="10"/>
      <c r="C25" s="11"/>
      <c r="D25" s="11"/>
      <c r="E25" s="636">
        <v>613900</v>
      </c>
      <c r="F25" s="662"/>
      <c r="G25" s="11" t="s">
        <v>167</v>
      </c>
      <c r="H25" s="31">
        <v>1700</v>
      </c>
      <c r="I25" s="764">
        <v>1700</v>
      </c>
      <c r="J25" s="401">
        <v>837</v>
      </c>
      <c r="K25" s="978">
        <v>1700</v>
      </c>
      <c r="L25" s="978">
        <v>0</v>
      </c>
      <c r="M25" s="1062">
        <f t="shared" si="2"/>
        <v>1700</v>
      </c>
      <c r="N25" s="677">
        <f t="shared" si="1"/>
        <v>100</v>
      </c>
    </row>
    <row r="26" spans="1:14" ht="12.95" customHeight="1">
      <c r="B26" s="10"/>
      <c r="C26" s="11"/>
      <c r="D26" s="11"/>
      <c r="E26" s="636">
        <v>613900</v>
      </c>
      <c r="F26" s="662"/>
      <c r="G26" s="229" t="s">
        <v>548</v>
      </c>
      <c r="H26" s="31">
        <v>0</v>
      </c>
      <c r="I26" s="764">
        <v>0</v>
      </c>
      <c r="J26" s="401">
        <v>0</v>
      </c>
      <c r="K26" s="978">
        <v>0</v>
      </c>
      <c r="L26" s="978">
        <v>0</v>
      </c>
      <c r="M26" s="1062">
        <f t="shared" si="2"/>
        <v>0</v>
      </c>
      <c r="N26" s="677" t="str">
        <f t="shared" si="1"/>
        <v/>
      </c>
    </row>
    <row r="27" spans="1:14" s="1" customFormat="1" ht="12.95" customHeight="1">
      <c r="A27" s="608"/>
      <c r="B27" s="12"/>
      <c r="C27" s="8"/>
      <c r="D27" s="8"/>
      <c r="E27" s="646"/>
      <c r="F27" s="673"/>
      <c r="G27" s="8"/>
      <c r="H27" s="31"/>
      <c r="I27" s="764"/>
      <c r="J27" s="401"/>
      <c r="K27" s="978"/>
      <c r="L27" s="978"/>
      <c r="M27" s="1065"/>
      <c r="N27" s="677" t="str">
        <f t="shared" si="1"/>
        <v/>
      </c>
    </row>
    <row r="28" spans="1:14" s="1" customFormat="1" ht="12.95" customHeight="1">
      <c r="A28" s="608"/>
      <c r="B28" s="12"/>
      <c r="C28" s="8"/>
      <c r="D28" s="8"/>
      <c r="E28" s="635">
        <v>821000</v>
      </c>
      <c r="F28" s="661"/>
      <c r="G28" s="8" t="s">
        <v>90</v>
      </c>
      <c r="H28" s="15">
        <f>SUM(H29:H30)</f>
        <v>3000</v>
      </c>
      <c r="I28" s="615">
        <f t="shared" ref="I28:L28" si="3">SUM(I29:I30)</f>
        <v>0</v>
      </c>
      <c r="J28" s="615">
        <f t="shared" si="3"/>
        <v>0</v>
      </c>
      <c r="K28" s="615">
        <f t="shared" si="3"/>
        <v>3000</v>
      </c>
      <c r="L28" s="615">
        <f t="shared" si="3"/>
        <v>0</v>
      </c>
      <c r="M28" s="1075">
        <f>SUM(M29:M30)</f>
        <v>3000</v>
      </c>
      <c r="N28" s="676" t="str">
        <f t="shared" si="1"/>
        <v/>
      </c>
    </row>
    <row r="29" spans="1:14" ht="12.95" customHeight="1">
      <c r="B29" s="10"/>
      <c r="C29" s="11"/>
      <c r="D29" s="11"/>
      <c r="E29" s="636">
        <v>821200</v>
      </c>
      <c r="F29" s="662"/>
      <c r="G29" s="11" t="s">
        <v>91</v>
      </c>
      <c r="H29" s="31">
        <v>0</v>
      </c>
      <c r="I29" s="764">
        <v>0</v>
      </c>
      <c r="J29" s="401">
        <v>0</v>
      </c>
      <c r="K29" s="978">
        <v>0</v>
      </c>
      <c r="L29" s="978">
        <v>0</v>
      </c>
      <c r="M29" s="1062">
        <f t="shared" ref="M29:M30" si="4">SUM(K29:L29)</f>
        <v>0</v>
      </c>
      <c r="N29" s="677" t="str">
        <f t="shared" si="1"/>
        <v/>
      </c>
    </row>
    <row r="30" spans="1:14" ht="12.95" customHeight="1">
      <c r="B30" s="10"/>
      <c r="C30" s="11"/>
      <c r="D30" s="11"/>
      <c r="E30" s="636">
        <v>821300</v>
      </c>
      <c r="F30" s="662"/>
      <c r="G30" s="11" t="s">
        <v>92</v>
      </c>
      <c r="H30" s="31">
        <v>3000</v>
      </c>
      <c r="I30" s="767">
        <v>0</v>
      </c>
      <c r="J30" s="401">
        <v>0</v>
      </c>
      <c r="K30" s="984">
        <v>3000</v>
      </c>
      <c r="L30" s="984">
        <v>0</v>
      </c>
      <c r="M30" s="1062">
        <f t="shared" si="4"/>
        <v>3000</v>
      </c>
      <c r="N30" s="677" t="str">
        <f t="shared" si="1"/>
        <v/>
      </c>
    </row>
    <row r="31" spans="1:14" ht="12.95" customHeight="1">
      <c r="B31" s="10"/>
      <c r="C31" s="11"/>
      <c r="D31" s="11"/>
      <c r="E31" s="636"/>
      <c r="F31" s="662"/>
      <c r="G31" s="11"/>
      <c r="H31" s="31"/>
      <c r="I31" s="764"/>
      <c r="J31" s="401"/>
      <c r="K31" s="618"/>
      <c r="L31" s="618"/>
      <c r="M31" s="1063"/>
      <c r="N31" s="677" t="str">
        <f t="shared" si="1"/>
        <v/>
      </c>
    </row>
    <row r="32" spans="1:14" s="1" customFormat="1" ht="12.95" customHeight="1">
      <c r="A32" s="608"/>
      <c r="B32" s="12"/>
      <c r="C32" s="8"/>
      <c r="D32" s="8"/>
      <c r="E32" s="635"/>
      <c r="F32" s="661"/>
      <c r="G32" s="8" t="s">
        <v>93</v>
      </c>
      <c r="H32" s="79">
        <v>2</v>
      </c>
      <c r="I32" s="766">
        <v>1</v>
      </c>
      <c r="J32" s="403">
        <v>1</v>
      </c>
      <c r="K32" s="622">
        <v>2</v>
      </c>
      <c r="L32" s="622"/>
      <c r="M32" s="1064">
        <v>2</v>
      </c>
      <c r="N32" s="677"/>
    </row>
    <row r="33" spans="1:14" s="1" customFormat="1" ht="12.95" customHeight="1">
      <c r="A33" s="608"/>
      <c r="B33" s="12"/>
      <c r="C33" s="8"/>
      <c r="D33" s="8"/>
      <c r="E33" s="635"/>
      <c r="F33" s="661"/>
      <c r="G33" s="8" t="s">
        <v>113</v>
      </c>
      <c r="H33" s="15">
        <f>H8+H13+H16+H28</f>
        <v>56220</v>
      </c>
      <c r="I33" s="15">
        <f>I8+I13+I16+I28</f>
        <v>40930</v>
      </c>
      <c r="J33" s="15">
        <f t="shared" ref="J33" si="5">J8+J13+J16+J28</f>
        <v>29261</v>
      </c>
      <c r="K33" s="615">
        <f>K8+K13+K16+K28</f>
        <v>54990</v>
      </c>
      <c r="L33" s="615">
        <f>L8+L13+L16+L28</f>
        <v>0</v>
      </c>
      <c r="M33" s="1064">
        <f>M8+M13+M16+M28</f>
        <v>54990</v>
      </c>
      <c r="N33" s="676">
        <f t="shared" si="1"/>
        <v>134.35133154165649</v>
      </c>
    </row>
    <row r="34" spans="1:14" s="1" customFormat="1" ht="12.95" customHeight="1">
      <c r="A34" s="608"/>
      <c r="B34" s="12"/>
      <c r="C34" s="8"/>
      <c r="D34" s="8"/>
      <c r="E34" s="635"/>
      <c r="F34" s="661"/>
      <c r="G34" s="8" t="s">
        <v>94</v>
      </c>
      <c r="H34" s="15"/>
      <c r="I34" s="15"/>
      <c r="J34" s="15"/>
      <c r="K34" s="615"/>
      <c r="L34" s="615"/>
      <c r="M34" s="1064"/>
      <c r="N34" s="676"/>
    </row>
    <row r="35" spans="1:14" s="1" customFormat="1" ht="12.95" customHeight="1">
      <c r="A35" s="608"/>
      <c r="B35" s="12"/>
      <c r="C35" s="8"/>
      <c r="D35" s="8"/>
      <c r="E35" s="635"/>
      <c r="F35" s="661"/>
      <c r="G35" s="8" t="s">
        <v>95</v>
      </c>
      <c r="H35" s="30"/>
      <c r="I35" s="30"/>
      <c r="J35" s="30"/>
      <c r="K35" s="593"/>
      <c r="L35" s="593"/>
      <c r="M35" s="1063"/>
      <c r="N35" s="677" t="str">
        <f t="shared" si="1"/>
        <v/>
      </c>
    </row>
    <row r="36" spans="1:14" ht="12.95" customHeight="1" thickBot="1">
      <c r="B36" s="16"/>
      <c r="C36" s="17"/>
      <c r="D36" s="17"/>
      <c r="E36" s="637"/>
      <c r="F36" s="663"/>
      <c r="G36" s="17"/>
      <c r="H36" s="32"/>
      <c r="I36" s="32"/>
      <c r="J36" s="32"/>
      <c r="K36" s="32"/>
      <c r="L36" s="32"/>
      <c r="M36" s="1067"/>
      <c r="N36" s="679"/>
    </row>
    <row r="37" spans="1:14" ht="12.95" customHeight="1">
      <c r="E37" s="638"/>
      <c r="F37" s="664"/>
      <c r="M37" s="1070"/>
    </row>
    <row r="38" spans="1:14" ht="12.95" customHeight="1">
      <c r="B38" s="56"/>
      <c r="E38" s="638"/>
      <c r="F38" s="664"/>
      <c r="M38" s="1070"/>
    </row>
    <row r="39" spans="1:14" ht="12.95" customHeight="1">
      <c r="B39" s="56"/>
      <c r="E39" s="638"/>
      <c r="F39" s="664"/>
      <c r="M39" s="1070"/>
    </row>
    <row r="40" spans="1:14" ht="12.95" customHeight="1">
      <c r="E40" s="638"/>
      <c r="F40" s="664"/>
      <c r="M40" s="1070"/>
    </row>
    <row r="41" spans="1:14" ht="12.95" customHeight="1">
      <c r="E41" s="638"/>
      <c r="F41" s="664"/>
      <c r="M41" s="1070"/>
    </row>
    <row r="42" spans="1:14" ht="12.95" customHeight="1">
      <c r="E42" s="638"/>
      <c r="F42" s="664"/>
      <c r="M42" s="1070"/>
    </row>
    <row r="43" spans="1:14" ht="12.95" customHeight="1">
      <c r="E43" s="638"/>
      <c r="F43" s="664"/>
      <c r="M43" s="1070"/>
    </row>
    <row r="44" spans="1:14" ht="12.95" customHeight="1">
      <c r="E44" s="638"/>
      <c r="F44" s="664"/>
      <c r="M44" s="1070"/>
    </row>
    <row r="45" spans="1:14" ht="12.95" customHeight="1">
      <c r="E45" s="638"/>
      <c r="F45" s="664"/>
      <c r="M45" s="1070"/>
    </row>
    <row r="46" spans="1:14" ht="12.95" customHeight="1">
      <c r="E46" s="638"/>
      <c r="F46" s="664"/>
      <c r="M46" s="1070"/>
    </row>
    <row r="47" spans="1:14" ht="12.95" customHeight="1">
      <c r="E47" s="638"/>
      <c r="F47" s="664"/>
      <c r="M47" s="1070"/>
    </row>
    <row r="48" spans="1:14" ht="12.95" customHeight="1">
      <c r="E48" s="638"/>
      <c r="F48" s="664"/>
      <c r="M48" s="1070"/>
    </row>
    <row r="49" spans="5:13" ht="12.95" customHeight="1">
      <c r="E49" s="638"/>
      <c r="F49" s="664"/>
      <c r="M49" s="1070"/>
    </row>
    <row r="50" spans="5:13" ht="12.95" customHeight="1">
      <c r="E50" s="638"/>
      <c r="F50" s="664"/>
      <c r="M50" s="1070"/>
    </row>
    <row r="51" spans="5:13" ht="12.95" customHeight="1">
      <c r="E51" s="638"/>
      <c r="F51" s="664"/>
      <c r="M51" s="1070"/>
    </row>
    <row r="52" spans="5:13" ht="12.95" customHeight="1">
      <c r="E52" s="638"/>
      <c r="F52" s="664"/>
      <c r="M52" s="1070"/>
    </row>
    <row r="53" spans="5:13" ht="12.95" customHeight="1">
      <c r="E53" s="638"/>
      <c r="F53" s="664"/>
      <c r="M53" s="1070"/>
    </row>
    <row r="54" spans="5:13" ht="12.95" customHeight="1">
      <c r="E54" s="638"/>
      <c r="F54" s="664"/>
      <c r="M54" s="1070"/>
    </row>
    <row r="55" spans="5:13" ht="12.95" customHeight="1">
      <c r="E55" s="638"/>
      <c r="F55" s="664"/>
      <c r="M55" s="1070"/>
    </row>
    <row r="56" spans="5:13" ht="12.95" customHeight="1">
      <c r="E56" s="638"/>
      <c r="F56" s="664"/>
      <c r="M56" s="1070"/>
    </row>
    <row r="57" spans="5:13" ht="12.95" customHeight="1">
      <c r="E57" s="638"/>
      <c r="F57" s="664"/>
      <c r="M57" s="1070"/>
    </row>
    <row r="58" spans="5:13" ht="12.95" customHeight="1">
      <c r="E58" s="638"/>
      <c r="F58" s="664"/>
      <c r="M58" s="1070"/>
    </row>
    <row r="59" spans="5:13" ht="12.95" customHeight="1">
      <c r="E59" s="638"/>
      <c r="F59" s="664"/>
      <c r="M59" s="1070"/>
    </row>
    <row r="60" spans="5:13" ht="17.100000000000001" customHeight="1">
      <c r="E60" s="638"/>
      <c r="F60" s="664"/>
      <c r="M60" s="1070"/>
    </row>
    <row r="61" spans="5:13" ht="14.25">
      <c r="E61" s="638"/>
      <c r="F61" s="664"/>
      <c r="M61" s="1070"/>
    </row>
    <row r="62" spans="5:13" ht="14.25">
      <c r="E62" s="638"/>
      <c r="F62" s="664"/>
      <c r="M62" s="1070"/>
    </row>
    <row r="63" spans="5:13" ht="14.25">
      <c r="E63" s="638"/>
      <c r="F63" s="664"/>
      <c r="M63" s="1070"/>
    </row>
    <row r="64" spans="5:13" ht="14.25">
      <c r="E64" s="638"/>
      <c r="F64" s="664"/>
      <c r="M64" s="1070"/>
    </row>
    <row r="65" spans="5:13" ht="14.25">
      <c r="E65" s="638"/>
      <c r="F65" s="664"/>
      <c r="M65" s="1070"/>
    </row>
    <row r="66" spans="5:13" ht="14.25">
      <c r="E66" s="638"/>
      <c r="F66" s="664"/>
      <c r="M66" s="1070"/>
    </row>
    <row r="67" spans="5:13" ht="14.25">
      <c r="E67" s="638"/>
      <c r="F67" s="664"/>
      <c r="M67" s="1070"/>
    </row>
    <row r="68" spans="5:13" ht="14.25">
      <c r="E68" s="638"/>
      <c r="F68" s="664"/>
      <c r="M68" s="1070"/>
    </row>
    <row r="69" spans="5:13" ht="14.25">
      <c r="E69" s="638"/>
      <c r="F69" s="664"/>
      <c r="M69" s="1070"/>
    </row>
    <row r="70" spans="5:13" ht="14.25">
      <c r="E70" s="638"/>
      <c r="F70" s="664"/>
      <c r="M70" s="1070"/>
    </row>
    <row r="71" spans="5:13" ht="14.25">
      <c r="E71" s="638"/>
      <c r="F71" s="664"/>
      <c r="M71" s="1070"/>
    </row>
    <row r="72" spans="5:13" ht="14.25">
      <c r="E72" s="638"/>
      <c r="F72" s="664"/>
      <c r="M72" s="1070"/>
    </row>
    <row r="73" spans="5:13" ht="14.25">
      <c r="E73" s="638"/>
      <c r="F73" s="664"/>
      <c r="M73" s="1070"/>
    </row>
    <row r="74" spans="5:13" ht="14.25">
      <c r="E74" s="638"/>
      <c r="F74" s="638"/>
      <c r="M74" s="1070"/>
    </row>
    <row r="75" spans="5:13" ht="14.25">
      <c r="E75" s="638"/>
      <c r="F75" s="638"/>
      <c r="M75" s="1070"/>
    </row>
    <row r="76" spans="5:13" ht="14.25">
      <c r="E76" s="638"/>
      <c r="F76" s="638"/>
      <c r="M76" s="1070"/>
    </row>
    <row r="77" spans="5:13" ht="14.25">
      <c r="E77" s="638"/>
      <c r="F77" s="638"/>
      <c r="M77" s="1070"/>
    </row>
    <row r="78" spans="5:13" ht="14.25">
      <c r="E78" s="638"/>
      <c r="F78" s="638"/>
      <c r="M78" s="1070"/>
    </row>
    <row r="79" spans="5:13" ht="14.25">
      <c r="E79" s="638"/>
      <c r="F79" s="638"/>
      <c r="M79" s="1070"/>
    </row>
    <row r="80" spans="5:13" ht="14.25">
      <c r="E80" s="638"/>
      <c r="F80" s="638"/>
      <c r="M80" s="1070"/>
    </row>
    <row r="81" spans="5:13" ht="14.25">
      <c r="E81" s="638"/>
      <c r="F81" s="638"/>
      <c r="M81" s="1070"/>
    </row>
    <row r="82" spans="5:13" ht="14.25">
      <c r="E82" s="638"/>
      <c r="F82" s="638"/>
      <c r="M82" s="1070"/>
    </row>
    <row r="83" spans="5:13" ht="14.25">
      <c r="E83" s="638"/>
      <c r="F83" s="638"/>
      <c r="M83" s="1070"/>
    </row>
    <row r="84" spans="5:13" ht="14.25">
      <c r="E84" s="638"/>
      <c r="F84" s="638"/>
      <c r="M84" s="1070"/>
    </row>
    <row r="85" spans="5:13" ht="14.25">
      <c r="E85" s="638"/>
      <c r="F85" s="638"/>
      <c r="M85" s="1070"/>
    </row>
    <row r="86" spans="5:13" ht="14.25">
      <c r="E86" s="638"/>
      <c r="F86" s="638"/>
      <c r="M86" s="1070"/>
    </row>
    <row r="87" spans="5:13" ht="14.25">
      <c r="E87" s="638"/>
      <c r="F87" s="638"/>
      <c r="M87" s="1070"/>
    </row>
    <row r="88" spans="5:13" ht="14.25">
      <c r="E88" s="638"/>
      <c r="F88" s="638"/>
      <c r="M88" s="1070"/>
    </row>
    <row r="89" spans="5:13" ht="14.25">
      <c r="E89" s="638"/>
      <c r="F89" s="638"/>
      <c r="M89" s="1070"/>
    </row>
    <row r="90" spans="5:13" ht="14.25">
      <c r="E90" s="638"/>
      <c r="F90" s="638"/>
      <c r="M90" s="1070"/>
    </row>
    <row r="91" spans="5:13">
      <c r="F91" s="638"/>
    </row>
    <row r="92" spans="5:13">
      <c r="F92" s="638"/>
    </row>
    <row r="93" spans="5:13">
      <c r="F93" s="638"/>
    </row>
    <row r="94" spans="5:13">
      <c r="F94" s="638"/>
    </row>
    <row r="95" spans="5:13">
      <c r="F95" s="638"/>
    </row>
    <row r="96" spans="5:13">
      <c r="F96" s="638"/>
    </row>
  </sheetData>
  <mergeCells count="13">
    <mergeCell ref="N4:N5"/>
    <mergeCell ref="G4:G5"/>
    <mergeCell ref="B2:H2"/>
    <mergeCell ref="G3:H3"/>
    <mergeCell ref="K4:M4"/>
    <mergeCell ref="B4:B5"/>
    <mergeCell ref="C4:C5"/>
    <mergeCell ref="D4:D5"/>
    <mergeCell ref="F4:F5"/>
    <mergeCell ref="E4:E5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3"/>
  <dimension ref="A1:P96"/>
  <sheetViews>
    <sheetView zoomScaleNormal="100" workbookViewId="0">
      <selection activeCell="Q14" sqref="Q14"/>
    </sheetView>
  </sheetViews>
  <sheetFormatPr defaultRowHeight="12.75"/>
  <cols>
    <col min="1" max="1" width="9.140625" style="611"/>
    <col min="2" max="2" width="4.7109375" style="9" customWidth="1"/>
    <col min="3" max="3" width="5.140625" style="9" customWidth="1"/>
    <col min="4" max="4" width="5" style="9" customWidth="1"/>
    <col min="5" max="5" width="8.7109375" style="18" customWidth="1"/>
    <col min="6" max="6" width="8.7109375" style="616" customWidth="1"/>
    <col min="7" max="7" width="50.7109375" style="9" customWidth="1"/>
    <col min="8" max="12" width="14.7109375" style="64" customWidth="1"/>
    <col min="13" max="13" width="15.7109375" style="64" customWidth="1"/>
    <col min="14" max="14" width="7.7109375" style="680" customWidth="1"/>
    <col min="15" max="16384" width="9.140625" style="9"/>
  </cols>
  <sheetData>
    <row r="1" spans="1:16" ht="13.5" thickBot="1"/>
    <row r="2" spans="1:16" s="126" customFormat="1" ht="20.100000000000001" customHeight="1" thickTop="1" thickBot="1">
      <c r="A2" s="1052"/>
      <c r="B2" s="1261" t="s">
        <v>225</v>
      </c>
      <c r="C2" s="1262"/>
      <c r="D2" s="1262"/>
      <c r="E2" s="1262"/>
      <c r="F2" s="1262"/>
      <c r="G2" s="1262"/>
      <c r="H2" s="1262"/>
      <c r="I2" s="1053"/>
      <c r="J2" s="1053"/>
      <c r="K2" s="1054"/>
      <c r="L2" s="1054"/>
      <c r="M2" s="1054"/>
      <c r="N2" s="1057"/>
    </row>
    <row r="3" spans="1:16" s="1" customFormat="1" ht="8.1" customHeight="1" thickTop="1" thickBot="1">
      <c r="A3" s="608"/>
      <c r="E3" s="2"/>
      <c r="F3" s="609"/>
      <c r="G3" s="1264"/>
      <c r="H3" s="1264"/>
      <c r="I3" s="306"/>
      <c r="J3" s="306"/>
      <c r="K3" s="119"/>
      <c r="L3" s="119"/>
      <c r="M3" s="119"/>
      <c r="N3" s="674"/>
    </row>
    <row r="4" spans="1:16" s="1" customFormat="1" ht="39" customHeight="1">
      <c r="A4" s="608"/>
      <c r="B4" s="1268" t="s">
        <v>78</v>
      </c>
      <c r="C4" s="1280" t="s">
        <v>79</v>
      </c>
      <c r="D4" s="1281" t="s">
        <v>110</v>
      </c>
      <c r="E4" s="1282" t="s">
        <v>615</v>
      </c>
      <c r="F4" s="1273" t="s">
        <v>695</v>
      </c>
      <c r="G4" s="1274" t="s">
        <v>80</v>
      </c>
      <c r="H4" s="1283" t="s">
        <v>614</v>
      </c>
      <c r="I4" s="1284" t="s">
        <v>747</v>
      </c>
      <c r="J4" s="1283" t="s">
        <v>667</v>
      </c>
      <c r="K4" s="1265" t="s">
        <v>682</v>
      </c>
      <c r="L4" s="1266"/>
      <c r="M4" s="1267"/>
      <c r="N4" s="1278" t="s">
        <v>756</v>
      </c>
    </row>
    <row r="5" spans="1:16" s="608" customFormat="1" ht="27" customHeight="1">
      <c r="B5" s="1269"/>
      <c r="C5" s="1271"/>
      <c r="D5" s="1271"/>
      <c r="E5" s="1275"/>
      <c r="F5" s="1271"/>
      <c r="G5" s="1275"/>
      <c r="H5" s="1275"/>
      <c r="I5" s="1275"/>
      <c r="J5" s="1275"/>
      <c r="K5" s="1048" t="s">
        <v>753</v>
      </c>
      <c r="L5" s="1048" t="s">
        <v>754</v>
      </c>
      <c r="M5" s="1059" t="s">
        <v>426</v>
      </c>
      <c r="N5" s="1279"/>
    </row>
    <row r="6" spans="1:16" s="2" customFormat="1" ht="12.95" customHeight="1">
      <c r="A6" s="609"/>
      <c r="B6" s="1181">
        <v>1</v>
      </c>
      <c r="C6" s="661">
        <v>2</v>
      </c>
      <c r="D6" s="661">
        <v>3</v>
      </c>
      <c r="E6" s="661">
        <v>4</v>
      </c>
      <c r="F6" s="661">
        <v>5</v>
      </c>
      <c r="G6" s="661">
        <v>6</v>
      </c>
      <c r="H6" s="661">
        <v>7</v>
      </c>
      <c r="I6" s="661">
        <v>8</v>
      </c>
      <c r="J6" s="661">
        <v>9</v>
      </c>
      <c r="K6" s="661">
        <v>10</v>
      </c>
      <c r="L6" s="661">
        <v>11</v>
      </c>
      <c r="M6" s="1201" t="s">
        <v>755</v>
      </c>
      <c r="N6" s="1183">
        <v>13</v>
      </c>
    </row>
    <row r="7" spans="1:16" s="2" customFormat="1" ht="12.95" customHeight="1">
      <c r="A7" s="609"/>
      <c r="B7" s="6" t="s">
        <v>131</v>
      </c>
      <c r="C7" s="7" t="s">
        <v>133</v>
      </c>
      <c r="D7" s="7" t="s">
        <v>117</v>
      </c>
      <c r="E7" s="5"/>
      <c r="F7" s="610"/>
      <c r="G7" s="5"/>
      <c r="H7" s="110"/>
      <c r="I7" s="110"/>
      <c r="J7" s="110"/>
      <c r="K7" s="110"/>
      <c r="L7" s="110"/>
      <c r="M7" s="1069"/>
      <c r="N7" s="675"/>
    </row>
    <row r="8" spans="1:16" s="1" customFormat="1" ht="12.95" customHeight="1">
      <c r="A8" s="608"/>
      <c r="B8" s="12"/>
      <c r="C8" s="8"/>
      <c r="D8" s="8"/>
      <c r="E8" s="635">
        <v>611000</v>
      </c>
      <c r="F8" s="661"/>
      <c r="G8" s="8" t="s">
        <v>163</v>
      </c>
      <c r="H8" s="256">
        <f>SUM(H9:H12)</f>
        <v>38280</v>
      </c>
      <c r="I8" s="777">
        <v>24130</v>
      </c>
      <c r="J8" s="413">
        <v>13688</v>
      </c>
      <c r="K8" s="256">
        <f>SUM(K9:K12)</f>
        <v>38560</v>
      </c>
      <c r="L8" s="256">
        <f>SUM(L9:L12)</f>
        <v>0</v>
      </c>
      <c r="M8" s="1061">
        <f>SUM(M9:M12)</f>
        <v>38560</v>
      </c>
      <c r="N8" s="676">
        <f>IF(I8=0,"",M8/I8*100)</f>
        <v>159.80107749689182</v>
      </c>
    </row>
    <row r="9" spans="1:16" ht="12.95" customHeight="1">
      <c r="B9" s="10"/>
      <c r="C9" s="11"/>
      <c r="D9" s="11"/>
      <c r="E9" s="636">
        <v>611100</v>
      </c>
      <c r="F9" s="662"/>
      <c r="G9" s="20" t="s">
        <v>204</v>
      </c>
      <c r="H9" s="258">
        <f>12480+300+17800+380+540</f>
        <v>31500</v>
      </c>
      <c r="I9" s="778">
        <v>18330</v>
      </c>
      <c r="J9" s="414">
        <v>10167</v>
      </c>
      <c r="K9" s="258">
        <f>31290+250</f>
        <v>31540</v>
      </c>
      <c r="L9" s="258">
        <v>0</v>
      </c>
      <c r="M9" s="1062">
        <f>SUM(K9:L9)</f>
        <v>31540</v>
      </c>
      <c r="N9" s="677">
        <f>IF(I9=0,"",M9/I9*100)</f>
        <v>172.06764866339336</v>
      </c>
    </row>
    <row r="10" spans="1:16" ht="12.95" customHeight="1">
      <c r="B10" s="10"/>
      <c r="C10" s="11"/>
      <c r="D10" s="11"/>
      <c r="E10" s="636">
        <v>611200</v>
      </c>
      <c r="F10" s="662"/>
      <c r="G10" s="11" t="s">
        <v>205</v>
      </c>
      <c r="H10" s="258">
        <f>2710+100+1470+2500</f>
        <v>6780</v>
      </c>
      <c r="I10" s="778">
        <v>5800</v>
      </c>
      <c r="J10" s="414">
        <v>3521</v>
      </c>
      <c r="K10" s="258">
        <f>6850+170</f>
        <v>7020</v>
      </c>
      <c r="L10" s="258">
        <v>0</v>
      </c>
      <c r="M10" s="1062">
        <f t="shared" ref="M10:M11" si="0">SUM(K10:L10)</f>
        <v>7020</v>
      </c>
      <c r="N10" s="677">
        <f t="shared" ref="N10:N33" si="1">IF(I10=0,"",M10/I10*100)</f>
        <v>121.0344827586207</v>
      </c>
    </row>
    <row r="11" spans="1:16" ht="12.95" customHeight="1">
      <c r="B11" s="10"/>
      <c r="C11" s="11"/>
      <c r="D11" s="11"/>
      <c r="E11" s="636">
        <v>611200</v>
      </c>
      <c r="F11" s="662"/>
      <c r="G11" s="686" t="s">
        <v>547</v>
      </c>
      <c r="H11" s="255">
        <v>0</v>
      </c>
      <c r="I11" s="776">
        <v>0</v>
      </c>
      <c r="J11" s="412">
        <v>0</v>
      </c>
      <c r="K11" s="255">
        <v>0</v>
      </c>
      <c r="L11" s="255">
        <v>0</v>
      </c>
      <c r="M11" s="1062">
        <f t="shared" si="0"/>
        <v>0</v>
      </c>
      <c r="N11" s="677" t="str">
        <f t="shared" si="1"/>
        <v/>
      </c>
      <c r="P11" s="63"/>
    </row>
    <row r="12" spans="1:16" ht="12.95" customHeight="1">
      <c r="B12" s="10"/>
      <c r="C12" s="11"/>
      <c r="D12" s="11"/>
      <c r="E12" s="636"/>
      <c r="F12" s="662"/>
      <c r="G12" s="20"/>
      <c r="H12" s="258"/>
      <c r="I12" s="778"/>
      <c r="J12" s="414"/>
      <c r="K12" s="258"/>
      <c r="L12" s="258"/>
      <c r="M12" s="1062"/>
      <c r="N12" s="677" t="str">
        <f t="shared" si="1"/>
        <v/>
      </c>
    </row>
    <row r="13" spans="1:16" s="1" customFormat="1" ht="12.95" customHeight="1">
      <c r="A13" s="608"/>
      <c r="B13" s="12"/>
      <c r="C13" s="8"/>
      <c r="D13" s="8"/>
      <c r="E13" s="635">
        <v>612000</v>
      </c>
      <c r="F13" s="661"/>
      <c r="G13" s="8" t="s">
        <v>162</v>
      </c>
      <c r="H13" s="256">
        <f>H14</f>
        <v>3500</v>
      </c>
      <c r="I13" s="777">
        <v>2220</v>
      </c>
      <c r="J13" s="413">
        <v>1244</v>
      </c>
      <c r="K13" s="256">
        <f>K14</f>
        <v>3430</v>
      </c>
      <c r="L13" s="256">
        <f>L14</f>
        <v>0</v>
      </c>
      <c r="M13" s="1061">
        <f>M14</f>
        <v>3430</v>
      </c>
      <c r="N13" s="676">
        <f t="shared" si="1"/>
        <v>154.5045045045045</v>
      </c>
    </row>
    <row r="14" spans="1:16" ht="12.95" customHeight="1">
      <c r="B14" s="10"/>
      <c r="C14" s="11"/>
      <c r="D14" s="11"/>
      <c r="E14" s="636">
        <v>612100</v>
      </c>
      <c r="F14" s="662"/>
      <c r="G14" s="13" t="s">
        <v>83</v>
      </c>
      <c r="H14" s="258">
        <f>1350+100+1950+40+60</f>
        <v>3500</v>
      </c>
      <c r="I14" s="778">
        <v>2220</v>
      </c>
      <c r="J14" s="414">
        <v>1244</v>
      </c>
      <c r="K14" s="258">
        <f>3380+50</f>
        <v>3430</v>
      </c>
      <c r="L14" s="258">
        <v>0</v>
      </c>
      <c r="M14" s="1062">
        <f>SUM(K14:L14)</f>
        <v>3430</v>
      </c>
      <c r="N14" s="677">
        <f t="shared" si="1"/>
        <v>154.5045045045045</v>
      </c>
    </row>
    <row r="15" spans="1:16" ht="12.95" customHeight="1">
      <c r="B15" s="10"/>
      <c r="C15" s="11"/>
      <c r="D15" s="11"/>
      <c r="E15" s="636"/>
      <c r="F15" s="662"/>
      <c r="G15" s="11"/>
      <c r="H15" s="31"/>
      <c r="I15" s="772"/>
      <c r="J15" s="408"/>
      <c r="K15" s="618"/>
      <c r="L15" s="618"/>
      <c r="M15" s="1063"/>
      <c r="N15" s="677" t="str">
        <f t="shared" si="1"/>
        <v/>
      </c>
    </row>
    <row r="16" spans="1:16" s="1" customFormat="1" ht="12.95" customHeight="1">
      <c r="A16" s="608"/>
      <c r="B16" s="12"/>
      <c r="C16" s="8"/>
      <c r="D16" s="8"/>
      <c r="E16" s="635">
        <v>613000</v>
      </c>
      <c r="F16" s="661"/>
      <c r="G16" s="8" t="s">
        <v>164</v>
      </c>
      <c r="H16" s="35">
        <f>SUM(H17:H26)</f>
        <v>2450</v>
      </c>
      <c r="I16" s="773">
        <v>2000</v>
      </c>
      <c r="J16" s="409">
        <v>693</v>
      </c>
      <c r="K16" s="620">
        <f>SUM(K17:K26)</f>
        <v>3050</v>
      </c>
      <c r="L16" s="620">
        <f>SUM(L17:L26)</f>
        <v>0</v>
      </c>
      <c r="M16" s="1064">
        <f>SUM(M17:M26)</f>
        <v>3050</v>
      </c>
      <c r="N16" s="676">
        <f t="shared" si="1"/>
        <v>152.5</v>
      </c>
    </row>
    <row r="17" spans="1:14" ht="12.95" customHeight="1">
      <c r="B17" s="10"/>
      <c r="C17" s="11"/>
      <c r="D17" s="11"/>
      <c r="E17" s="636">
        <v>613100</v>
      </c>
      <c r="F17" s="662"/>
      <c r="G17" s="11" t="s">
        <v>84</v>
      </c>
      <c r="H17" s="31">
        <v>500</v>
      </c>
      <c r="I17" s="772">
        <v>250</v>
      </c>
      <c r="J17" s="408">
        <v>38</v>
      </c>
      <c r="K17" s="978">
        <v>1000</v>
      </c>
      <c r="L17" s="978">
        <v>0</v>
      </c>
      <c r="M17" s="1062">
        <f t="shared" ref="M17:M26" si="2">SUM(K17:L17)</f>
        <v>1000</v>
      </c>
      <c r="N17" s="677">
        <f t="shared" si="1"/>
        <v>400</v>
      </c>
    </row>
    <row r="18" spans="1:14" ht="12.95" customHeight="1">
      <c r="B18" s="10"/>
      <c r="C18" s="11"/>
      <c r="D18" s="11"/>
      <c r="E18" s="636">
        <v>613200</v>
      </c>
      <c r="F18" s="662"/>
      <c r="G18" s="11" t="s">
        <v>85</v>
      </c>
      <c r="H18" s="31">
        <v>0</v>
      </c>
      <c r="I18" s="772">
        <v>0</v>
      </c>
      <c r="J18" s="408">
        <v>0</v>
      </c>
      <c r="K18" s="978">
        <v>0</v>
      </c>
      <c r="L18" s="978">
        <v>0</v>
      </c>
      <c r="M18" s="1062">
        <f t="shared" si="2"/>
        <v>0</v>
      </c>
      <c r="N18" s="677" t="str">
        <f t="shared" si="1"/>
        <v/>
      </c>
    </row>
    <row r="19" spans="1:14" ht="12.95" customHeight="1">
      <c r="B19" s="10"/>
      <c r="C19" s="11"/>
      <c r="D19" s="11"/>
      <c r="E19" s="636">
        <v>613300</v>
      </c>
      <c r="F19" s="662"/>
      <c r="G19" s="20" t="s">
        <v>206</v>
      </c>
      <c r="H19" s="31">
        <v>950</v>
      </c>
      <c r="I19" s="772">
        <v>750</v>
      </c>
      <c r="J19" s="408">
        <v>394</v>
      </c>
      <c r="K19" s="978">
        <v>750</v>
      </c>
      <c r="L19" s="978">
        <v>0</v>
      </c>
      <c r="M19" s="1062">
        <f t="shared" si="2"/>
        <v>750</v>
      </c>
      <c r="N19" s="677">
        <f t="shared" si="1"/>
        <v>100</v>
      </c>
    </row>
    <row r="20" spans="1:14" ht="12.95" customHeight="1">
      <c r="B20" s="10"/>
      <c r="C20" s="11"/>
      <c r="D20" s="11"/>
      <c r="E20" s="636">
        <v>613400</v>
      </c>
      <c r="F20" s="662"/>
      <c r="G20" s="11" t="s">
        <v>165</v>
      </c>
      <c r="H20" s="31">
        <v>500</v>
      </c>
      <c r="I20" s="772">
        <v>500</v>
      </c>
      <c r="J20" s="408">
        <v>223</v>
      </c>
      <c r="K20" s="978">
        <v>500</v>
      </c>
      <c r="L20" s="978">
        <v>0</v>
      </c>
      <c r="M20" s="1062">
        <f t="shared" si="2"/>
        <v>500</v>
      </c>
      <c r="N20" s="677">
        <f t="shared" si="1"/>
        <v>100</v>
      </c>
    </row>
    <row r="21" spans="1:14" ht="12.95" customHeight="1">
      <c r="B21" s="10"/>
      <c r="C21" s="11"/>
      <c r="D21" s="11"/>
      <c r="E21" s="636">
        <v>613500</v>
      </c>
      <c r="F21" s="662"/>
      <c r="G21" s="11" t="s">
        <v>86</v>
      </c>
      <c r="H21" s="31">
        <v>0</v>
      </c>
      <c r="I21" s="772">
        <v>0</v>
      </c>
      <c r="J21" s="408">
        <v>0</v>
      </c>
      <c r="K21" s="978">
        <v>0</v>
      </c>
      <c r="L21" s="978">
        <v>0</v>
      </c>
      <c r="M21" s="1062">
        <f t="shared" si="2"/>
        <v>0</v>
      </c>
      <c r="N21" s="677" t="str">
        <f t="shared" si="1"/>
        <v/>
      </c>
    </row>
    <row r="22" spans="1:14" ht="12.95" customHeight="1">
      <c r="B22" s="10"/>
      <c r="C22" s="11"/>
      <c r="D22" s="11"/>
      <c r="E22" s="636">
        <v>613600</v>
      </c>
      <c r="F22" s="662"/>
      <c r="G22" s="20" t="s">
        <v>207</v>
      </c>
      <c r="H22" s="31">
        <v>0</v>
      </c>
      <c r="I22" s="772">
        <v>0</v>
      </c>
      <c r="J22" s="408">
        <v>0</v>
      </c>
      <c r="K22" s="978">
        <v>0</v>
      </c>
      <c r="L22" s="978">
        <v>0</v>
      </c>
      <c r="M22" s="1062">
        <f t="shared" si="2"/>
        <v>0</v>
      </c>
      <c r="N22" s="677" t="str">
        <f t="shared" si="1"/>
        <v/>
      </c>
    </row>
    <row r="23" spans="1:14" ht="12.95" customHeight="1">
      <c r="B23" s="10"/>
      <c r="C23" s="11"/>
      <c r="D23" s="11"/>
      <c r="E23" s="636">
        <v>613700</v>
      </c>
      <c r="F23" s="662"/>
      <c r="G23" s="11" t="s">
        <v>87</v>
      </c>
      <c r="H23" s="31">
        <v>0</v>
      </c>
      <c r="I23" s="772">
        <v>0</v>
      </c>
      <c r="J23" s="408">
        <v>0</v>
      </c>
      <c r="K23" s="978">
        <v>300</v>
      </c>
      <c r="L23" s="978">
        <v>0</v>
      </c>
      <c r="M23" s="1062">
        <f t="shared" si="2"/>
        <v>300</v>
      </c>
      <c r="N23" s="677" t="str">
        <f t="shared" si="1"/>
        <v/>
      </c>
    </row>
    <row r="24" spans="1:14" ht="12.95" customHeight="1">
      <c r="B24" s="10"/>
      <c r="C24" s="11"/>
      <c r="D24" s="11"/>
      <c r="E24" s="636">
        <v>613800</v>
      </c>
      <c r="F24" s="662"/>
      <c r="G24" s="11" t="s">
        <v>166</v>
      </c>
      <c r="H24" s="31">
        <v>0</v>
      </c>
      <c r="I24" s="772">
        <v>0</v>
      </c>
      <c r="J24" s="408">
        <v>0</v>
      </c>
      <c r="K24" s="978">
        <v>0</v>
      </c>
      <c r="L24" s="978">
        <v>0</v>
      </c>
      <c r="M24" s="1062">
        <f t="shared" si="2"/>
        <v>0</v>
      </c>
      <c r="N24" s="677" t="str">
        <f t="shared" si="1"/>
        <v/>
      </c>
    </row>
    <row r="25" spans="1:14" ht="12.95" customHeight="1">
      <c r="B25" s="10"/>
      <c r="C25" s="11"/>
      <c r="D25" s="11"/>
      <c r="E25" s="636">
        <v>613900</v>
      </c>
      <c r="F25" s="662"/>
      <c r="G25" s="11" t="s">
        <v>167</v>
      </c>
      <c r="H25" s="88">
        <v>500</v>
      </c>
      <c r="I25" s="775">
        <v>500</v>
      </c>
      <c r="J25" s="411">
        <v>38</v>
      </c>
      <c r="K25" s="984">
        <v>500</v>
      </c>
      <c r="L25" s="984">
        <v>0</v>
      </c>
      <c r="M25" s="1062">
        <f t="shared" si="2"/>
        <v>500</v>
      </c>
      <c r="N25" s="677">
        <f t="shared" si="1"/>
        <v>100</v>
      </c>
    </row>
    <row r="26" spans="1:14" ht="12.95" customHeight="1">
      <c r="B26" s="10"/>
      <c r="C26" s="11"/>
      <c r="D26" s="11"/>
      <c r="E26" s="636">
        <v>613900</v>
      </c>
      <c r="F26" s="662"/>
      <c r="G26" s="20" t="s">
        <v>634</v>
      </c>
      <c r="H26" s="31">
        <v>0</v>
      </c>
      <c r="I26" s="772">
        <v>0</v>
      </c>
      <c r="J26" s="408">
        <v>0</v>
      </c>
      <c r="K26" s="978">
        <v>0</v>
      </c>
      <c r="L26" s="978">
        <v>0</v>
      </c>
      <c r="M26" s="1062">
        <f t="shared" si="2"/>
        <v>0</v>
      </c>
      <c r="N26" s="677" t="str">
        <f t="shared" si="1"/>
        <v/>
      </c>
    </row>
    <row r="27" spans="1:14" s="1" customFormat="1" ht="12.95" customHeight="1">
      <c r="A27" s="608"/>
      <c r="B27" s="12"/>
      <c r="C27" s="8"/>
      <c r="D27" s="8"/>
      <c r="E27" s="646"/>
      <c r="F27" s="673"/>
      <c r="G27" s="8"/>
      <c r="H27" s="31"/>
      <c r="I27" s="772"/>
      <c r="J27" s="408"/>
      <c r="K27" s="618"/>
      <c r="L27" s="618"/>
      <c r="M27" s="1063"/>
      <c r="N27" s="677" t="str">
        <f t="shared" si="1"/>
        <v/>
      </c>
    </row>
    <row r="28" spans="1:14" s="1" customFormat="1" ht="12.95" customHeight="1">
      <c r="A28" s="608"/>
      <c r="B28" s="12"/>
      <c r="C28" s="8"/>
      <c r="D28" s="8"/>
      <c r="E28" s="635">
        <v>821000</v>
      </c>
      <c r="F28" s="661"/>
      <c r="G28" s="8" t="s">
        <v>90</v>
      </c>
      <c r="H28" s="15">
        <f>SUM(H29:H30)</f>
        <v>1000</v>
      </c>
      <c r="I28" s="771">
        <v>1000</v>
      </c>
      <c r="J28" s="407">
        <v>0</v>
      </c>
      <c r="K28" s="615">
        <f>SUM(K29:K30)</f>
        <v>1000</v>
      </c>
      <c r="L28" s="615">
        <f>SUM(L29:L30)</f>
        <v>0</v>
      </c>
      <c r="M28" s="1064">
        <f>SUM(M29:M30)</f>
        <v>1000</v>
      </c>
      <c r="N28" s="676">
        <f t="shared" si="1"/>
        <v>100</v>
      </c>
    </row>
    <row r="29" spans="1:14" ht="12.95" customHeight="1">
      <c r="B29" s="10"/>
      <c r="C29" s="11"/>
      <c r="D29" s="11"/>
      <c r="E29" s="636">
        <v>821200</v>
      </c>
      <c r="F29" s="662"/>
      <c r="G29" s="11" t="s">
        <v>91</v>
      </c>
      <c r="H29" s="31">
        <v>0</v>
      </c>
      <c r="I29" s="772">
        <v>0</v>
      </c>
      <c r="J29" s="408">
        <v>0</v>
      </c>
      <c r="K29" s="618">
        <v>0</v>
      </c>
      <c r="L29" s="618">
        <v>0</v>
      </c>
      <c r="M29" s="1062">
        <f t="shared" ref="M29:M30" si="3">SUM(K29:L29)</f>
        <v>0</v>
      </c>
      <c r="N29" s="677" t="str">
        <f t="shared" si="1"/>
        <v/>
      </c>
    </row>
    <row r="30" spans="1:14" ht="12.95" customHeight="1">
      <c r="B30" s="10"/>
      <c r="C30" s="11"/>
      <c r="D30" s="11"/>
      <c r="E30" s="636">
        <v>821300</v>
      </c>
      <c r="F30" s="662"/>
      <c r="G30" s="11" t="s">
        <v>92</v>
      </c>
      <c r="H30" s="31">
        <v>1000</v>
      </c>
      <c r="I30" s="772">
        <v>1000</v>
      </c>
      <c r="J30" s="408">
        <v>0</v>
      </c>
      <c r="K30" s="618">
        <v>1000</v>
      </c>
      <c r="L30" s="618">
        <v>0</v>
      </c>
      <c r="M30" s="1062">
        <f t="shared" si="3"/>
        <v>1000</v>
      </c>
      <c r="N30" s="677">
        <f t="shared" si="1"/>
        <v>100</v>
      </c>
    </row>
    <row r="31" spans="1:14" ht="12.95" customHeight="1">
      <c r="B31" s="10"/>
      <c r="C31" s="11"/>
      <c r="D31" s="11"/>
      <c r="E31" s="636"/>
      <c r="F31" s="662"/>
      <c r="G31" s="11"/>
      <c r="H31" s="31"/>
      <c r="I31" s="772"/>
      <c r="J31" s="408"/>
      <c r="K31" s="618"/>
      <c r="L31" s="618"/>
      <c r="M31" s="1063"/>
      <c r="N31" s="677" t="str">
        <f t="shared" si="1"/>
        <v/>
      </c>
    </row>
    <row r="32" spans="1:14" s="1" customFormat="1" ht="12.95" customHeight="1">
      <c r="A32" s="608"/>
      <c r="B32" s="12"/>
      <c r="C32" s="8"/>
      <c r="D32" s="8"/>
      <c r="E32" s="635"/>
      <c r="F32" s="661"/>
      <c r="G32" s="8" t="s">
        <v>93</v>
      </c>
      <c r="H32" s="79">
        <v>2</v>
      </c>
      <c r="I32" s="774">
        <v>2</v>
      </c>
      <c r="J32" s="410">
        <v>1</v>
      </c>
      <c r="K32" s="622">
        <v>2</v>
      </c>
      <c r="L32" s="622"/>
      <c r="M32" s="1064">
        <v>2</v>
      </c>
      <c r="N32" s="677"/>
    </row>
    <row r="33" spans="1:14" s="1" customFormat="1" ht="12.95" customHeight="1">
      <c r="A33" s="608"/>
      <c r="B33" s="12"/>
      <c r="C33" s="8"/>
      <c r="D33" s="8"/>
      <c r="E33" s="635"/>
      <c r="F33" s="661"/>
      <c r="G33" s="8" t="s">
        <v>113</v>
      </c>
      <c r="H33" s="15">
        <f>H8+H13+H16+H28</f>
        <v>45230</v>
      </c>
      <c r="I33" s="15">
        <f>I8+I13+I16+I28</f>
        <v>29350</v>
      </c>
      <c r="J33" s="15">
        <f t="shared" ref="J33" si="4">J8+J13+J16+J28</f>
        <v>15625</v>
      </c>
      <c r="K33" s="615">
        <f>K8+K13+K16+K28</f>
        <v>46040</v>
      </c>
      <c r="L33" s="615">
        <f>L8+L13+L16+L28</f>
        <v>0</v>
      </c>
      <c r="M33" s="1064">
        <f>M8+M13+M16+M28</f>
        <v>46040</v>
      </c>
      <c r="N33" s="676">
        <f t="shared" si="1"/>
        <v>156.86541737649063</v>
      </c>
    </row>
    <row r="34" spans="1:14" s="1" customFormat="1" ht="12.95" customHeight="1">
      <c r="A34" s="608"/>
      <c r="B34" s="12"/>
      <c r="C34" s="8"/>
      <c r="D34" s="8"/>
      <c r="E34" s="635"/>
      <c r="F34" s="661"/>
      <c r="G34" s="8" t="s">
        <v>94</v>
      </c>
      <c r="H34" s="15">
        <f>H33+'12'!H33</f>
        <v>101450</v>
      </c>
      <c r="I34" s="615">
        <f>I33+'12'!I33</f>
        <v>70280</v>
      </c>
      <c r="J34" s="615">
        <f>J33+'12'!J33</f>
        <v>44886</v>
      </c>
      <c r="K34" s="615">
        <f>K33+'12'!K33</f>
        <v>101030</v>
      </c>
      <c r="L34" s="615">
        <f>L33+'12'!L33</f>
        <v>0</v>
      </c>
      <c r="M34" s="1064">
        <f>M33+'12'!M33</f>
        <v>101030</v>
      </c>
      <c r="N34" s="676">
        <f>IF(I34=0,"",M34/I34*100)</f>
        <v>143.75355719977233</v>
      </c>
    </row>
    <row r="35" spans="1:14" s="1" customFormat="1" ht="12.95" customHeight="1">
      <c r="A35" s="608"/>
      <c r="B35" s="12"/>
      <c r="C35" s="8"/>
      <c r="D35" s="8"/>
      <c r="E35" s="635"/>
      <c r="F35" s="661"/>
      <c r="G35" s="8" t="s">
        <v>95</v>
      </c>
      <c r="H35" s="15"/>
      <c r="I35" s="15"/>
      <c r="J35" s="15"/>
      <c r="K35" s="615"/>
      <c r="L35" s="615"/>
      <c r="M35" s="1064"/>
      <c r="N35" s="676"/>
    </row>
    <row r="36" spans="1:14" ht="12.95" customHeight="1" thickBot="1">
      <c r="B36" s="16"/>
      <c r="C36" s="17"/>
      <c r="D36" s="17"/>
      <c r="E36" s="637"/>
      <c r="F36" s="663"/>
      <c r="G36" s="17"/>
      <c r="H36" s="32"/>
      <c r="I36" s="32"/>
      <c r="J36" s="32"/>
      <c r="K36" s="32"/>
      <c r="L36" s="32"/>
      <c r="M36" s="1067"/>
      <c r="N36" s="679"/>
    </row>
    <row r="37" spans="1:14" ht="12.95" customHeight="1">
      <c r="E37" s="638"/>
      <c r="F37" s="664"/>
      <c r="M37" s="1070"/>
    </row>
    <row r="38" spans="1:14" ht="12.95" customHeight="1">
      <c r="B38" s="56"/>
      <c r="E38" s="638"/>
      <c r="F38" s="664"/>
      <c r="M38" s="1070"/>
    </row>
    <row r="39" spans="1:14" ht="12.95" customHeight="1">
      <c r="E39" s="638"/>
      <c r="F39" s="664"/>
      <c r="M39" s="1070"/>
    </row>
    <row r="40" spans="1:14" ht="12.95" customHeight="1">
      <c r="E40" s="638"/>
      <c r="F40" s="664"/>
      <c r="M40" s="1070"/>
    </row>
    <row r="41" spans="1:14" ht="12.95" customHeight="1">
      <c r="E41" s="638"/>
      <c r="F41" s="664"/>
      <c r="M41" s="1070"/>
    </row>
    <row r="42" spans="1:14" ht="12.95" customHeight="1">
      <c r="E42" s="638"/>
      <c r="F42" s="664"/>
      <c r="M42" s="1070"/>
    </row>
    <row r="43" spans="1:14" ht="12.95" customHeight="1">
      <c r="E43" s="638"/>
      <c r="F43" s="664"/>
      <c r="M43" s="1070"/>
    </row>
    <row r="44" spans="1:14" ht="12.95" customHeight="1">
      <c r="E44" s="638"/>
      <c r="F44" s="664"/>
      <c r="M44" s="1070"/>
    </row>
    <row r="45" spans="1:14" ht="12.95" customHeight="1">
      <c r="E45" s="638"/>
      <c r="F45" s="664"/>
      <c r="M45" s="1070"/>
    </row>
    <row r="46" spans="1:14" ht="12.95" customHeight="1">
      <c r="E46" s="638"/>
      <c r="F46" s="664"/>
      <c r="M46" s="1070"/>
    </row>
    <row r="47" spans="1:14" ht="12.95" customHeight="1">
      <c r="E47" s="638"/>
      <c r="F47" s="664"/>
      <c r="M47" s="1070"/>
    </row>
    <row r="48" spans="1:14" ht="12.95" customHeight="1">
      <c r="E48" s="638"/>
      <c r="F48" s="664"/>
      <c r="M48" s="1070"/>
    </row>
    <row r="49" spans="5:13" ht="12.95" customHeight="1">
      <c r="E49" s="638"/>
      <c r="F49" s="664"/>
      <c r="M49" s="1070"/>
    </row>
    <row r="50" spans="5:13" ht="12.95" customHeight="1">
      <c r="E50" s="638"/>
      <c r="F50" s="664"/>
      <c r="M50" s="1070"/>
    </row>
    <row r="51" spans="5:13" ht="12.95" customHeight="1">
      <c r="E51" s="638"/>
      <c r="F51" s="664"/>
      <c r="M51" s="1070"/>
    </row>
    <row r="52" spans="5:13" ht="12.95" customHeight="1">
      <c r="E52" s="638"/>
      <c r="F52" s="664"/>
      <c r="M52" s="1070"/>
    </row>
    <row r="53" spans="5:13" ht="12.95" customHeight="1">
      <c r="E53" s="638"/>
      <c r="F53" s="664"/>
      <c r="M53" s="1070"/>
    </row>
    <row r="54" spans="5:13" ht="12.95" customHeight="1">
      <c r="E54" s="638"/>
      <c r="F54" s="664"/>
      <c r="M54" s="1070"/>
    </row>
    <row r="55" spans="5:13" ht="12.95" customHeight="1">
      <c r="E55" s="638"/>
      <c r="F55" s="664"/>
      <c r="M55" s="1070"/>
    </row>
    <row r="56" spans="5:13" ht="12.95" customHeight="1">
      <c r="E56" s="638"/>
      <c r="F56" s="664"/>
      <c r="M56" s="1070"/>
    </row>
    <row r="57" spans="5:13" ht="12.95" customHeight="1">
      <c r="E57" s="638"/>
      <c r="F57" s="664"/>
      <c r="M57" s="1070"/>
    </row>
    <row r="58" spans="5:13" ht="12.95" customHeight="1">
      <c r="E58" s="638"/>
      <c r="F58" s="664"/>
      <c r="M58" s="1070"/>
    </row>
    <row r="59" spans="5:13" ht="12.95" customHeight="1">
      <c r="E59" s="638"/>
      <c r="F59" s="664"/>
      <c r="M59" s="1070"/>
    </row>
    <row r="60" spans="5:13" ht="17.100000000000001" customHeight="1">
      <c r="E60" s="638"/>
      <c r="F60" s="664"/>
      <c r="M60" s="1070"/>
    </row>
    <row r="61" spans="5:13" ht="14.25">
      <c r="E61" s="638"/>
      <c r="F61" s="664"/>
      <c r="M61" s="1070"/>
    </row>
    <row r="62" spans="5:13" ht="14.25">
      <c r="E62" s="638"/>
      <c r="F62" s="664"/>
      <c r="M62" s="1070"/>
    </row>
    <row r="63" spans="5:13" ht="14.25">
      <c r="E63" s="638"/>
      <c r="F63" s="664"/>
      <c r="M63" s="1070"/>
    </row>
    <row r="64" spans="5:13" ht="14.25">
      <c r="E64" s="638"/>
      <c r="F64" s="664"/>
      <c r="M64" s="1070"/>
    </row>
    <row r="65" spans="5:13" ht="14.25">
      <c r="E65" s="638"/>
      <c r="F65" s="664"/>
      <c r="M65" s="1070"/>
    </row>
    <row r="66" spans="5:13" ht="14.25">
      <c r="E66" s="638"/>
      <c r="F66" s="664"/>
      <c r="M66" s="1070"/>
    </row>
    <row r="67" spans="5:13" ht="14.25">
      <c r="E67" s="638"/>
      <c r="F67" s="664"/>
      <c r="M67" s="1070"/>
    </row>
    <row r="68" spans="5:13" ht="14.25">
      <c r="E68" s="638"/>
      <c r="F68" s="664"/>
      <c r="M68" s="1070"/>
    </row>
    <row r="69" spans="5:13" ht="14.25">
      <c r="E69" s="638"/>
      <c r="F69" s="664"/>
      <c r="M69" s="1070"/>
    </row>
    <row r="70" spans="5:13" ht="14.25">
      <c r="E70" s="638"/>
      <c r="F70" s="664"/>
      <c r="M70" s="1070"/>
    </row>
    <row r="71" spans="5:13" ht="14.25">
      <c r="E71" s="638"/>
      <c r="F71" s="664"/>
      <c r="M71" s="1070"/>
    </row>
    <row r="72" spans="5:13" ht="14.25">
      <c r="E72" s="638"/>
      <c r="F72" s="664"/>
      <c r="M72" s="1070"/>
    </row>
    <row r="73" spans="5:13" ht="14.25">
      <c r="E73" s="638"/>
      <c r="F73" s="664"/>
      <c r="M73" s="1070"/>
    </row>
    <row r="74" spans="5:13" ht="14.25">
      <c r="E74" s="638"/>
      <c r="F74" s="638"/>
      <c r="M74" s="1070"/>
    </row>
    <row r="75" spans="5:13" ht="14.25">
      <c r="E75" s="638"/>
      <c r="F75" s="638"/>
      <c r="M75" s="1070"/>
    </row>
    <row r="76" spans="5:13" ht="14.25">
      <c r="E76" s="638"/>
      <c r="F76" s="638"/>
      <c r="M76" s="1070"/>
    </row>
    <row r="77" spans="5:13" ht="14.25">
      <c r="E77" s="638"/>
      <c r="F77" s="638"/>
      <c r="M77" s="1070"/>
    </row>
    <row r="78" spans="5:13" ht="14.25">
      <c r="E78" s="638"/>
      <c r="F78" s="638"/>
      <c r="M78" s="1070"/>
    </row>
    <row r="79" spans="5:13" ht="14.25">
      <c r="E79" s="638"/>
      <c r="F79" s="638"/>
      <c r="M79" s="1070"/>
    </row>
    <row r="80" spans="5:13" ht="14.25">
      <c r="E80" s="638"/>
      <c r="F80" s="638"/>
      <c r="M80" s="1070"/>
    </row>
    <row r="81" spans="5:13" ht="14.25">
      <c r="E81" s="638"/>
      <c r="F81" s="638"/>
      <c r="M81" s="1070"/>
    </row>
    <row r="82" spans="5:13" ht="14.25">
      <c r="E82" s="638"/>
      <c r="F82" s="638"/>
      <c r="M82" s="1070"/>
    </row>
    <row r="83" spans="5:13" ht="14.25">
      <c r="E83" s="638"/>
      <c r="F83" s="638"/>
      <c r="M83" s="1070"/>
    </row>
    <row r="84" spans="5:13" ht="14.25">
      <c r="E84" s="638"/>
      <c r="F84" s="638"/>
      <c r="M84" s="1070"/>
    </row>
    <row r="85" spans="5:13" ht="14.25">
      <c r="E85" s="638"/>
      <c r="F85" s="638"/>
      <c r="M85" s="1070"/>
    </row>
    <row r="86" spans="5:13" ht="14.25">
      <c r="E86" s="638"/>
      <c r="F86" s="638"/>
      <c r="M86" s="1070"/>
    </row>
    <row r="87" spans="5:13" ht="14.25">
      <c r="E87" s="638"/>
      <c r="F87" s="638"/>
      <c r="M87" s="1070"/>
    </row>
    <row r="88" spans="5:13" ht="14.25">
      <c r="E88" s="638"/>
      <c r="F88" s="638"/>
      <c r="M88" s="1070"/>
    </row>
    <row r="89" spans="5:13" ht="14.25">
      <c r="E89" s="638"/>
      <c r="F89" s="638"/>
      <c r="M89" s="1070"/>
    </row>
    <row r="90" spans="5:13" ht="14.25">
      <c r="E90" s="638"/>
      <c r="F90" s="638"/>
      <c r="M90" s="1070"/>
    </row>
    <row r="91" spans="5:13">
      <c r="F91" s="638"/>
    </row>
    <row r="92" spans="5:13">
      <c r="F92" s="638"/>
    </row>
    <row r="93" spans="5:13">
      <c r="F93" s="638"/>
    </row>
    <row r="94" spans="5:13">
      <c r="F94" s="638"/>
    </row>
    <row r="95" spans="5:13">
      <c r="F95" s="638"/>
    </row>
    <row r="96" spans="5:13">
      <c r="F96" s="638"/>
    </row>
  </sheetData>
  <mergeCells count="13">
    <mergeCell ref="N4:N5"/>
    <mergeCell ref="G4:G5"/>
    <mergeCell ref="B2:H2"/>
    <mergeCell ref="G3:H3"/>
    <mergeCell ref="K4:M4"/>
    <mergeCell ref="B4:B5"/>
    <mergeCell ref="C4:C5"/>
    <mergeCell ref="D4:D5"/>
    <mergeCell ref="F4:F5"/>
    <mergeCell ref="E4:E5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5"/>
  <dimension ref="A1:P96"/>
  <sheetViews>
    <sheetView zoomScaleNormal="100" workbookViewId="0">
      <selection activeCell="Q14" sqref="Q14"/>
    </sheetView>
  </sheetViews>
  <sheetFormatPr defaultRowHeight="12.75"/>
  <cols>
    <col min="1" max="1" width="9.140625" style="611"/>
    <col min="2" max="2" width="4.7109375" style="9" customWidth="1"/>
    <col min="3" max="3" width="5.140625" style="9" customWidth="1"/>
    <col min="4" max="4" width="5" style="9" customWidth="1"/>
    <col min="5" max="5" width="8.7109375" style="18" customWidth="1"/>
    <col min="6" max="6" width="8.7109375" style="616" customWidth="1"/>
    <col min="7" max="7" width="50.7109375" style="9" customWidth="1"/>
    <col min="8" max="12" width="14.7109375" style="64" customWidth="1"/>
    <col min="13" max="13" width="15.7109375" style="64" customWidth="1"/>
    <col min="14" max="14" width="7.7109375" style="680" customWidth="1"/>
    <col min="15" max="16384" width="9.140625" style="9"/>
  </cols>
  <sheetData>
    <row r="1" spans="1:16" ht="13.5" thickBot="1"/>
    <row r="2" spans="1:16" s="126" customFormat="1" ht="20.100000000000001" customHeight="1" thickTop="1" thickBot="1">
      <c r="A2" s="1052"/>
      <c r="B2" s="1261" t="s">
        <v>196</v>
      </c>
      <c r="C2" s="1262"/>
      <c r="D2" s="1262"/>
      <c r="E2" s="1262"/>
      <c r="F2" s="1262"/>
      <c r="G2" s="1262"/>
      <c r="H2" s="1262"/>
      <c r="I2" s="1053"/>
      <c r="J2" s="1053"/>
      <c r="K2" s="1054"/>
      <c r="L2" s="1054"/>
      <c r="M2" s="1054"/>
      <c r="N2" s="1057"/>
    </row>
    <row r="3" spans="1:16" s="1" customFormat="1" ht="8.1" customHeight="1" thickTop="1" thickBot="1">
      <c r="A3" s="608"/>
      <c r="E3" s="2"/>
      <c r="F3" s="609"/>
      <c r="G3" s="1264"/>
      <c r="H3" s="1264"/>
      <c r="I3" s="306"/>
      <c r="J3" s="306"/>
      <c r="K3" s="119"/>
      <c r="L3" s="119"/>
      <c r="M3" s="119"/>
      <c r="N3" s="674"/>
    </row>
    <row r="4" spans="1:16" s="1" customFormat="1" ht="39" customHeight="1">
      <c r="A4" s="608"/>
      <c r="B4" s="1268" t="s">
        <v>78</v>
      </c>
      <c r="C4" s="1280" t="s">
        <v>79</v>
      </c>
      <c r="D4" s="1281" t="s">
        <v>110</v>
      </c>
      <c r="E4" s="1282" t="s">
        <v>615</v>
      </c>
      <c r="F4" s="1273" t="s">
        <v>695</v>
      </c>
      <c r="G4" s="1274" t="s">
        <v>80</v>
      </c>
      <c r="H4" s="1283" t="s">
        <v>614</v>
      </c>
      <c r="I4" s="1284" t="s">
        <v>747</v>
      </c>
      <c r="J4" s="1283" t="s">
        <v>667</v>
      </c>
      <c r="K4" s="1265" t="s">
        <v>682</v>
      </c>
      <c r="L4" s="1266"/>
      <c r="M4" s="1267"/>
      <c r="N4" s="1278" t="s">
        <v>756</v>
      </c>
    </row>
    <row r="5" spans="1:16" s="608" customFormat="1" ht="27" customHeight="1">
      <c r="B5" s="1269"/>
      <c r="C5" s="1271"/>
      <c r="D5" s="1271"/>
      <c r="E5" s="1275"/>
      <c r="F5" s="1271"/>
      <c r="G5" s="1275"/>
      <c r="H5" s="1275"/>
      <c r="I5" s="1275"/>
      <c r="J5" s="1275"/>
      <c r="K5" s="1048" t="s">
        <v>753</v>
      </c>
      <c r="L5" s="1048" t="s">
        <v>754</v>
      </c>
      <c r="M5" s="1059" t="s">
        <v>426</v>
      </c>
      <c r="N5" s="1279"/>
    </row>
    <row r="6" spans="1:16" s="2" customFormat="1" ht="12.95" customHeight="1">
      <c r="A6" s="609"/>
      <c r="B6" s="1181">
        <v>1</v>
      </c>
      <c r="C6" s="661">
        <v>2</v>
      </c>
      <c r="D6" s="661">
        <v>3</v>
      </c>
      <c r="E6" s="661">
        <v>4</v>
      </c>
      <c r="F6" s="661">
        <v>5</v>
      </c>
      <c r="G6" s="661">
        <v>6</v>
      </c>
      <c r="H6" s="661">
        <v>7</v>
      </c>
      <c r="I6" s="661">
        <v>8</v>
      </c>
      <c r="J6" s="661">
        <v>9</v>
      </c>
      <c r="K6" s="661">
        <v>10</v>
      </c>
      <c r="L6" s="661">
        <v>11</v>
      </c>
      <c r="M6" s="1201" t="s">
        <v>755</v>
      </c>
      <c r="N6" s="1183">
        <v>13</v>
      </c>
    </row>
    <row r="7" spans="1:16" s="2" customFormat="1" ht="12.95" customHeight="1">
      <c r="A7" s="609"/>
      <c r="B7" s="6" t="s">
        <v>131</v>
      </c>
      <c r="C7" s="7" t="s">
        <v>197</v>
      </c>
      <c r="D7" s="7" t="s">
        <v>82</v>
      </c>
      <c r="E7" s="5"/>
      <c r="F7" s="610"/>
      <c r="G7" s="5"/>
      <c r="H7" s="110"/>
      <c r="I7" s="110"/>
      <c r="J7" s="110"/>
      <c r="K7" s="110"/>
      <c r="L7" s="110"/>
      <c r="M7" s="1069"/>
      <c r="N7" s="675"/>
    </row>
    <row r="8" spans="1:16" s="1" customFormat="1" ht="12.95" customHeight="1">
      <c r="A8" s="608"/>
      <c r="B8" s="12"/>
      <c r="C8" s="8"/>
      <c r="D8" s="8"/>
      <c r="E8" s="635">
        <v>611000</v>
      </c>
      <c r="F8" s="661"/>
      <c r="G8" s="8" t="s">
        <v>163</v>
      </c>
      <c r="H8" s="256">
        <f>SUM(H9:H12)</f>
        <v>70480</v>
      </c>
      <c r="I8" s="784">
        <v>70450</v>
      </c>
      <c r="J8" s="420">
        <v>49293</v>
      </c>
      <c r="K8" s="256">
        <f>SUM(K9:K12)</f>
        <v>78910</v>
      </c>
      <c r="L8" s="256">
        <f>SUM(L9:L12)</f>
        <v>0</v>
      </c>
      <c r="M8" s="1061">
        <f>SUM(M9:M12)</f>
        <v>78910</v>
      </c>
      <c r="N8" s="676">
        <f>IF(I8=0,"",M8/I8*100)</f>
        <v>112.00851667849538</v>
      </c>
    </row>
    <row r="9" spans="1:16" ht="12.95" customHeight="1">
      <c r="B9" s="10"/>
      <c r="C9" s="11"/>
      <c r="D9" s="11"/>
      <c r="E9" s="636">
        <v>611100</v>
      </c>
      <c r="F9" s="662"/>
      <c r="G9" s="20" t="s">
        <v>204</v>
      </c>
      <c r="H9" s="258">
        <f>51760+500+1560+7800</f>
        <v>61620</v>
      </c>
      <c r="I9" s="785">
        <v>61800</v>
      </c>
      <c r="J9" s="421">
        <v>44259</v>
      </c>
      <c r="K9" s="258">
        <f>66820+250+2*500</f>
        <v>68070</v>
      </c>
      <c r="L9" s="258">
        <v>0</v>
      </c>
      <c r="M9" s="1062">
        <f>SUM(K9:L9)</f>
        <v>68070</v>
      </c>
      <c r="N9" s="677">
        <f>IF(I9=0,"",M9/I9*100)</f>
        <v>110.14563106796116</v>
      </c>
    </row>
    <row r="10" spans="1:16" ht="12.95" customHeight="1">
      <c r="B10" s="10"/>
      <c r="C10" s="11"/>
      <c r="D10" s="11"/>
      <c r="E10" s="636">
        <v>611200</v>
      </c>
      <c r="F10" s="662"/>
      <c r="G10" s="11" t="s">
        <v>205</v>
      </c>
      <c r="H10" s="258">
        <f>5420+200+3240</f>
        <v>8860</v>
      </c>
      <c r="I10" s="785">
        <v>8650</v>
      </c>
      <c r="J10" s="421">
        <v>5034</v>
      </c>
      <c r="K10" s="258">
        <f>8870+170+2*900</f>
        <v>10840</v>
      </c>
      <c r="L10" s="258">
        <v>0</v>
      </c>
      <c r="M10" s="1062">
        <f t="shared" ref="M10:M11" si="0">SUM(K10:L10)</f>
        <v>10840</v>
      </c>
      <c r="N10" s="677">
        <f t="shared" ref="N10:N35" si="1">IF(I10=0,"",M10/I10*100)</f>
        <v>125.31791907514452</v>
      </c>
    </row>
    <row r="11" spans="1:16" ht="12.95" customHeight="1">
      <c r="B11" s="10"/>
      <c r="C11" s="11"/>
      <c r="D11" s="11"/>
      <c r="E11" s="636">
        <v>611200</v>
      </c>
      <c r="F11" s="662"/>
      <c r="G11" s="229" t="s">
        <v>547</v>
      </c>
      <c r="H11" s="255">
        <v>0</v>
      </c>
      <c r="I11" s="783">
        <v>0</v>
      </c>
      <c r="J11" s="419">
        <v>0</v>
      </c>
      <c r="K11" s="255">
        <v>0</v>
      </c>
      <c r="L11" s="255">
        <v>0</v>
      </c>
      <c r="M11" s="1062">
        <f t="shared" si="0"/>
        <v>0</v>
      </c>
      <c r="N11" s="677" t="str">
        <f t="shared" si="1"/>
        <v/>
      </c>
      <c r="P11" s="63"/>
    </row>
    <row r="12" spans="1:16" ht="12.95" customHeight="1">
      <c r="B12" s="10"/>
      <c r="C12" s="11"/>
      <c r="D12" s="11"/>
      <c r="E12" s="636"/>
      <c r="F12" s="662"/>
      <c r="G12" s="20"/>
      <c r="H12" s="258"/>
      <c r="I12" s="785"/>
      <c r="J12" s="421"/>
      <c r="K12" s="258"/>
      <c r="L12" s="258"/>
      <c r="M12" s="1062"/>
      <c r="N12" s="677" t="str">
        <f t="shared" si="1"/>
        <v/>
      </c>
    </row>
    <row r="13" spans="1:16" s="1" customFormat="1" ht="12.95" customHeight="1">
      <c r="A13" s="608"/>
      <c r="B13" s="12"/>
      <c r="C13" s="8"/>
      <c r="D13" s="8"/>
      <c r="E13" s="635">
        <v>612000</v>
      </c>
      <c r="F13" s="661"/>
      <c r="G13" s="8" t="s">
        <v>162</v>
      </c>
      <c r="H13" s="256">
        <f>H14</f>
        <v>6730</v>
      </c>
      <c r="I13" s="784">
        <v>6590</v>
      </c>
      <c r="J13" s="420">
        <v>4696</v>
      </c>
      <c r="K13" s="256">
        <f>K14</f>
        <v>7310</v>
      </c>
      <c r="L13" s="256">
        <f>L14</f>
        <v>0</v>
      </c>
      <c r="M13" s="1061">
        <f>M14</f>
        <v>7310</v>
      </c>
      <c r="N13" s="676">
        <f t="shared" si="1"/>
        <v>110.92564491654022</v>
      </c>
    </row>
    <row r="14" spans="1:16" ht="12.95" customHeight="1">
      <c r="B14" s="10"/>
      <c r="C14" s="11"/>
      <c r="D14" s="11"/>
      <c r="E14" s="636">
        <v>612100</v>
      </c>
      <c r="F14" s="662"/>
      <c r="G14" s="13" t="s">
        <v>83</v>
      </c>
      <c r="H14" s="258">
        <f>5500+200+170+860</f>
        <v>6730</v>
      </c>
      <c r="I14" s="785">
        <v>6590</v>
      </c>
      <c r="J14" s="421">
        <v>4696</v>
      </c>
      <c r="K14" s="258">
        <f>7130+40+2*70</f>
        <v>7310</v>
      </c>
      <c r="L14" s="258">
        <v>0</v>
      </c>
      <c r="M14" s="1062">
        <f>SUM(K14:L14)</f>
        <v>7310</v>
      </c>
      <c r="N14" s="677">
        <f t="shared" si="1"/>
        <v>110.92564491654022</v>
      </c>
    </row>
    <row r="15" spans="1:16" ht="12.95" customHeight="1">
      <c r="B15" s="10"/>
      <c r="C15" s="11"/>
      <c r="D15" s="11"/>
      <c r="E15" s="636"/>
      <c r="F15" s="662"/>
      <c r="G15" s="11"/>
      <c r="H15" s="31"/>
      <c r="I15" s="780"/>
      <c r="J15" s="416"/>
      <c r="K15" s="618"/>
      <c r="L15" s="618"/>
      <c r="M15" s="1063"/>
      <c r="N15" s="677" t="str">
        <f t="shared" si="1"/>
        <v/>
      </c>
    </row>
    <row r="16" spans="1:16" s="1" customFormat="1" ht="12.95" customHeight="1">
      <c r="A16" s="608"/>
      <c r="B16" s="12"/>
      <c r="C16" s="8"/>
      <c r="D16" s="8"/>
      <c r="E16" s="635">
        <v>613000</v>
      </c>
      <c r="F16" s="661"/>
      <c r="G16" s="8" t="s">
        <v>164</v>
      </c>
      <c r="H16" s="35">
        <f>SUM(H17:H26)</f>
        <v>5600</v>
      </c>
      <c r="I16" s="781">
        <v>4600</v>
      </c>
      <c r="J16" s="417">
        <v>2759</v>
      </c>
      <c r="K16" s="620">
        <f>SUM(K17:K26)</f>
        <v>4800</v>
      </c>
      <c r="L16" s="620">
        <f>SUM(L17:L26)</f>
        <v>0</v>
      </c>
      <c r="M16" s="1064">
        <f>SUM(M17:M26)</f>
        <v>4800</v>
      </c>
      <c r="N16" s="676">
        <f t="shared" si="1"/>
        <v>104.34782608695652</v>
      </c>
    </row>
    <row r="17" spans="1:14" ht="12.95" customHeight="1">
      <c r="B17" s="10"/>
      <c r="C17" s="11"/>
      <c r="D17" s="11"/>
      <c r="E17" s="636">
        <v>613100</v>
      </c>
      <c r="F17" s="662"/>
      <c r="G17" s="11" t="s">
        <v>84</v>
      </c>
      <c r="H17" s="31">
        <v>1900</v>
      </c>
      <c r="I17" s="780">
        <v>800</v>
      </c>
      <c r="J17" s="416">
        <v>519</v>
      </c>
      <c r="K17" s="978">
        <v>1000</v>
      </c>
      <c r="L17" s="978">
        <v>0</v>
      </c>
      <c r="M17" s="1062">
        <f t="shared" ref="M17:M26" si="2">SUM(K17:L17)</f>
        <v>1000</v>
      </c>
      <c r="N17" s="677">
        <f t="shared" si="1"/>
        <v>125</v>
      </c>
    </row>
    <row r="18" spans="1:14" ht="12.95" customHeight="1">
      <c r="B18" s="10"/>
      <c r="C18" s="11"/>
      <c r="D18" s="11"/>
      <c r="E18" s="636">
        <v>613200</v>
      </c>
      <c r="F18" s="662"/>
      <c r="G18" s="11" t="s">
        <v>85</v>
      </c>
      <c r="H18" s="31">
        <v>0</v>
      </c>
      <c r="I18" s="780">
        <v>0</v>
      </c>
      <c r="J18" s="416">
        <v>0</v>
      </c>
      <c r="K18" s="978">
        <v>0</v>
      </c>
      <c r="L18" s="978">
        <v>0</v>
      </c>
      <c r="M18" s="1062">
        <f t="shared" si="2"/>
        <v>0</v>
      </c>
      <c r="N18" s="677" t="str">
        <f t="shared" si="1"/>
        <v/>
      </c>
    </row>
    <row r="19" spans="1:14" ht="12.95" customHeight="1">
      <c r="B19" s="10"/>
      <c r="C19" s="11"/>
      <c r="D19" s="11"/>
      <c r="E19" s="636">
        <v>613300</v>
      </c>
      <c r="F19" s="662"/>
      <c r="G19" s="20" t="s">
        <v>206</v>
      </c>
      <c r="H19" s="31">
        <v>1500</v>
      </c>
      <c r="I19" s="780">
        <v>1400</v>
      </c>
      <c r="J19" s="416">
        <v>999</v>
      </c>
      <c r="K19" s="978">
        <v>1400</v>
      </c>
      <c r="L19" s="978">
        <v>0</v>
      </c>
      <c r="M19" s="1062">
        <f t="shared" si="2"/>
        <v>1400</v>
      </c>
      <c r="N19" s="677">
        <f t="shared" si="1"/>
        <v>100</v>
      </c>
    </row>
    <row r="20" spans="1:14" ht="12.95" customHeight="1">
      <c r="B20" s="10"/>
      <c r="C20" s="11"/>
      <c r="D20" s="11"/>
      <c r="E20" s="636">
        <v>613400</v>
      </c>
      <c r="F20" s="662"/>
      <c r="G20" s="11" t="s">
        <v>165</v>
      </c>
      <c r="H20" s="31">
        <v>1000</v>
      </c>
      <c r="I20" s="780">
        <v>1200</v>
      </c>
      <c r="J20" s="416">
        <v>890</v>
      </c>
      <c r="K20" s="978">
        <v>1000</v>
      </c>
      <c r="L20" s="978">
        <v>0</v>
      </c>
      <c r="M20" s="1062">
        <f t="shared" si="2"/>
        <v>1000</v>
      </c>
      <c r="N20" s="677">
        <f t="shared" si="1"/>
        <v>83.333333333333343</v>
      </c>
    </row>
    <row r="21" spans="1:14" ht="12.95" customHeight="1">
      <c r="B21" s="10"/>
      <c r="C21" s="11"/>
      <c r="D21" s="11"/>
      <c r="E21" s="636">
        <v>613500</v>
      </c>
      <c r="F21" s="662"/>
      <c r="G21" s="11" t="s">
        <v>86</v>
      </c>
      <c r="H21" s="31">
        <v>0</v>
      </c>
      <c r="I21" s="780">
        <v>0</v>
      </c>
      <c r="J21" s="416">
        <v>0</v>
      </c>
      <c r="K21" s="978">
        <v>0</v>
      </c>
      <c r="L21" s="978">
        <v>0</v>
      </c>
      <c r="M21" s="1062">
        <f t="shared" si="2"/>
        <v>0</v>
      </c>
      <c r="N21" s="677" t="str">
        <f t="shared" si="1"/>
        <v/>
      </c>
    </row>
    <row r="22" spans="1:14" ht="12.95" customHeight="1">
      <c r="B22" s="10"/>
      <c r="C22" s="11"/>
      <c r="D22" s="11"/>
      <c r="E22" s="636">
        <v>613600</v>
      </c>
      <c r="F22" s="662"/>
      <c r="G22" s="20" t="s">
        <v>207</v>
      </c>
      <c r="H22" s="31">
        <v>0</v>
      </c>
      <c r="I22" s="780">
        <v>0</v>
      </c>
      <c r="J22" s="416">
        <v>0</v>
      </c>
      <c r="K22" s="978">
        <v>0</v>
      </c>
      <c r="L22" s="978">
        <v>0</v>
      </c>
      <c r="M22" s="1062">
        <f t="shared" si="2"/>
        <v>0</v>
      </c>
      <c r="N22" s="677" t="str">
        <f t="shared" si="1"/>
        <v/>
      </c>
    </row>
    <row r="23" spans="1:14" ht="12.95" customHeight="1">
      <c r="B23" s="10"/>
      <c r="C23" s="11"/>
      <c r="D23" s="11"/>
      <c r="E23" s="636">
        <v>613700</v>
      </c>
      <c r="F23" s="662"/>
      <c r="G23" s="11" t="s">
        <v>87</v>
      </c>
      <c r="H23" s="31">
        <v>200</v>
      </c>
      <c r="I23" s="780">
        <v>0</v>
      </c>
      <c r="J23" s="416">
        <v>0</v>
      </c>
      <c r="K23" s="978">
        <v>200</v>
      </c>
      <c r="L23" s="978">
        <v>0</v>
      </c>
      <c r="M23" s="1062">
        <f t="shared" si="2"/>
        <v>200</v>
      </c>
      <c r="N23" s="677" t="str">
        <f t="shared" si="1"/>
        <v/>
      </c>
    </row>
    <row r="24" spans="1:14" ht="12.95" customHeight="1">
      <c r="B24" s="10"/>
      <c r="C24" s="11"/>
      <c r="D24" s="11"/>
      <c r="E24" s="636">
        <v>613800</v>
      </c>
      <c r="F24" s="662"/>
      <c r="G24" s="11" t="s">
        <v>166</v>
      </c>
      <c r="H24" s="31">
        <v>0</v>
      </c>
      <c r="I24" s="780">
        <v>0</v>
      </c>
      <c r="J24" s="416">
        <v>0</v>
      </c>
      <c r="K24" s="978">
        <v>0</v>
      </c>
      <c r="L24" s="978">
        <v>0</v>
      </c>
      <c r="M24" s="1062">
        <f t="shared" si="2"/>
        <v>0</v>
      </c>
      <c r="N24" s="677" t="str">
        <f t="shared" si="1"/>
        <v/>
      </c>
    </row>
    <row r="25" spans="1:14" ht="12.95" customHeight="1">
      <c r="B25" s="10"/>
      <c r="C25" s="11"/>
      <c r="D25" s="11"/>
      <c r="E25" s="636">
        <v>613900</v>
      </c>
      <c r="F25" s="662"/>
      <c r="G25" s="11" t="s">
        <v>167</v>
      </c>
      <c r="H25" s="88">
        <v>1000</v>
      </c>
      <c r="I25" s="782">
        <v>1200</v>
      </c>
      <c r="J25" s="418">
        <v>351</v>
      </c>
      <c r="K25" s="984">
        <v>1200</v>
      </c>
      <c r="L25" s="984">
        <v>0</v>
      </c>
      <c r="M25" s="1062">
        <f t="shared" si="2"/>
        <v>1200</v>
      </c>
      <c r="N25" s="677">
        <f t="shared" si="1"/>
        <v>100</v>
      </c>
    </row>
    <row r="26" spans="1:14" ht="12.95" customHeight="1">
      <c r="B26" s="10"/>
      <c r="C26" s="11"/>
      <c r="D26" s="11"/>
      <c r="E26" s="636">
        <v>613900</v>
      </c>
      <c r="F26" s="662"/>
      <c r="G26" s="229" t="s">
        <v>548</v>
      </c>
      <c r="H26" s="88">
        <v>0</v>
      </c>
      <c r="I26" s="782">
        <v>0</v>
      </c>
      <c r="J26" s="418">
        <v>0</v>
      </c>
      <c r="K26" s="984">
        <v>0</v>
      </c>
      <c r="L26" s="984">
        <v>0</v>
      </c>
      <c r="M26" s="1062">
        <f t="shared" si="2"/>
        <v>0</v>
      </c>
      <c r="N26" s="677" t="str">
        <f t="shared" si="1"/>
        <v/>
      </c>
    </row>
    <row r="27" spans="1:14" s="1" customFormat="1" ht="12.95" customHeight="1">
      <c r="A27" s="608"/>
      <c r="B27" s="12"/>
      <c r="C27" s="8"/>
      <c r="D27" s="8"/>
      <c r="E27" s="646"/>
      <c r="F27" s="673"/>
      <c r="G27" s="8"/>
      <c r="H27" s="31"/>
      <c r="I27" s="780"/>
      <c r="J27" s="416"/>
      <c r="K27" s="618"/>
      <c r="L27" s="618"/>
      <c r="M27" s="1063"/>
      <c r="N27" s="677" t="str">
        <f t="shared" si="1"/>
        <v/>
      </c>
    </row>
    <row r="28" spans="1:14" s="1" customFormat="1" ht="12.95" customHeight="1">
      <c r="A28" s="608"/>
      <c r="B28" s="12"/>
      <c r="C28" s="8"/>
      <c r="D28" s="8"/>
      <c r="E28" s="635">
        <v>821000</v>
      </c>
      <c r="F28" s="661"/>
      <c r="G28" s="8" t="s">
        <v>90</v>
      </c>
      <c r="H28" s="15">
        <f>H29+H30</f>
        <v>1000</v>
      </c>
      <c r="I28" s="779">
        <v>760</v>
      </c>
      <c r="J28" s="415">
        <v>0</v>
      </c>
      <c r="K28" s="615">
        <f>K29+K30</f>
        <v>500</v>
      </c>
      <c r="L28" s="615">
        <f>L29+L30</f>
        <v>0</v>
      </c>
      <c r="M28" s="1064">
        <f>M29+M30</f>
        <v>500</v>
      </c>
      <c r="N28" s="677">
        <f t="shared" si="1"/>
        <v>65.789473684210535</v>
      </c>
    </row>
    <row r="29" spans="1:14" ht="12.95" customHeight="1">
      <c r="B29" s="10"/>
      <c r="C29" s="11"/>
      <c r="D29" s="11"/>
      <c r="E29" s="636">
        <v>821200</v>
      </c>
      <c r="F29" s="662"/>
      <c r="G29" s="11" t="s">
        <v>91</v>
      </c>
      <c r="H29" s="31">
        <v>0</v>
      </c>
      <c r="I29" s="780">
        <v>0</v>
      </c>
      <c r="J29" s="416">
        <v>0</v>
      </c>
      <c r="K29" s="618">
        <v>0</v>
      </c>
      <c r="L29" s="618">
        <v>0</v>
      </c>
      <c r="M29" s="1062">
        <f t="shared" ref="M29:M30" si="3">SUM(K29:L29)</f>
        <v>0</v>
      </c>
      <c r="N29" s="677" t="str">
        <f t="shared" si="1"/>
        <v/>
      </c>
    </row>
    <row r="30" spans="1:14" ht="12.95" customHeight="1">
      <c r="B30" s="10"/>
      <c r="C30" s="11"/>
      <c r="D30" s="11"/>
      <c r="E30" s="636">
        <v>821300</v>
      </c>
      <c r="F30" s="662"/>
      <c r="G30" s="11" t="s">
        <v>92</v>
      </c>
      <c r="H30" s="88">
        <v>1000</v>
      </c>
      <c r="I30" s="782">
        <v>760</v>
      </c>
      <c r="J30" s="418">
        <v>0</v>
      </c>
      <c r="K30" s="623">
        <v>500</v>
      </c>
      <c r="L30" s="623">
        <v>0</v>
      </c>
      <c r="M30" s="1062">
        <f t="shared" si="3"/>
        <v>500</v>
      </c>
      <c r="N30" s="677">
        <f t="shared" si="1"/>
        <v>65.789473684210535</v>
      </c>
    </row>
    <row r="31" spans="1:14" ht="12.95" customHeight="1">
      <c r="B31" s="10"/>
      <c r="C31" s="11"/>
      <c r="D31" s="11"/>
      <c r="E31" s="636"/>
      <c r="F31" s="662"/>
      <c r="G31" s="11"/>
      <c r="H31" s="31"/>
      <c r="I31" s="780"/>
      <c r="J31" s="416"/>
      <c r="K31" s="618"/>
      <c r="L31" s="618"/>
      <c r="M31" s="1063"/>
      <c r="N31" s="677" t="str">
        <f t="shared" si="1"/>
        <v/>
      </c>
    </row>
    <row r="32" spans="1:14" s="1" customFormat="1" ht="12.95" customHeight="1">
      <c r="A32" s="608"/>
      <c r="B32" s="12"/>
      <c r="C32" s="8"/>
      <c r="D32" s="8"/>
      <c r="E32" s="635"/>
      <c r="F32" s="661"/>
      <c r="G32" s="8" t="s">
        <v>93</v>
      </c>
      <c r="H32" s="15">
        <v>3</v>
      </c>
      <c r="I32" s="779">
        <v>3</v>
      </c>
      <c r="J32" s="415">
        <v>3</v>
      </c>
      <c r="K32" s="615">
        <v>3</v>
      </c>
      <c r="L32" s="615"/>
      <c r="M32" s="1064">
        <v>3</v>
      </c>
      <c r="N32" s="677"/>
    </row>
    <row r="33" spans="1:14" s="1" customFormat="1" ht="12.95" customHeight="1">
      <c r="A33" s="608"/>
      <c r="B33" s="12"/>
      <c r="C33" s="8"/>
      <c r="D33" s="8"/>
      <c r="E33" s="635"/>
      <c r="F33" s="661"/>
      <c r="G33" s="8" t="s">
        <v>113</v>
      </c>
      <c r="H33" s="15">
        <f>H8+H13+H16+H28</f>
        <v>83810</v>
      </c>
      <c r="I33" s="15">
        <f>I8+I13+I16+I28</f>
        <v>82400</v>
      </c>
      <c r="J33" s="15">
        <f t="shared" ref="J33" si="4">J8+J13+J16+J28</f>
        <v>56748</v>
      </c>
      <c r="K33" s="615">
        <f>K8+K13+K16+K28</f>
        <v>91520</v>
      </c>
      <c r="L33" s="615">
        <f>L8+L13+L16+L28</f>
        <v>0</v>
      </c>
      <c r="M33" s="1064">
        <f>M8+M13+M16+M28</f>
        <v>91520</v>
      </c>
      <c r="N33" s="676">
        <f t="shared" si="1"/>
        <v>111.06796116504853</v>
      </c>
    </row>
    <row r="34" spans="1:14" s="1" customFormat="1" ht="12.95" customHeight="1">
      <c r="A34" s="608"/>
      <c r="B34" s="12"/>
      <c r="C34" s="8"/>
      <c r="D34" s="8"/>
      <c r="E34" s="635"/>
      <c r="F34" s="661"/>
      <c r="G34" s="8" t="s">
        <v>94</v>
      </c>
      <c r="H34" s="15">
        <f>H33</f>
        <v>83810</v>
      </c>
      <c r="I34" s="15">
        <f>I33</f>
        <v>82400</v>
      </c>
      <c r="J34" s="15">
        <f t="shared" ref="J34" si="5">J33</f>
        <v>56748</v>
      </c>
      <c r="K34" s="615">
        <f>K33</f>
        <v>91520</v>
      </c>
      <c r="L34" s="615">
        <f>L33</f>
        <v>0</v>
      </c>
      <c r="M34" s="1064">
        <f>M33</f>
        <v>91520</v>
      </c>
      <c r="N34" s="676">
        <f>IF(I34=0,"",M34/I34*100)</f>
        <v>111.06796116504853</v>
      </c>
    </row>
    <row r="35" spans="1:14" s="1" customFormat="1" ht="12.95" customHeight="1">
      <c r="A35" s="608"/>
      <c r="B35" s="12"/>
      <c r="C35" s="8"/>
      <c r="D35" s="8"/>
      <c r="E35" s="635"/>
      <c r="F35" s="661"/>
      <c r="G35" s="8" t="s">
        <v>95</v>
      </c>
      <c r="H35" s="15">
        <f>H34+'13'!H34+'12'!H34+'11'!H35+'10'!H33</f>
        <v>1948220</v>
      </c>
      <c r="I35" s="15">
        <f>I34+'13'!I34+'12'!I34+'11'!I35+'10'!I33</f>
        <v>1901330</v>
      </c>
      <c r="J35" s="15">
        <f>J34+'13'!J34+'12'!J34+'11'!J35+'10'!J33</f>
        <v>1373454</v>
      </c>
      <c r="K35" s="615">
        <f>K34+'13'!K34+'12'!K34+'11'!K35+'10'!K33</f>
        <v>1977170</v>
      </c>
      <c r="L35" s="615">
        <f>L34+'13'!L34+'12'!L34+'11'!L35+'10'!L33</f>
        <v>0</v>
      </c>
      <c r="M35" s="1064">
        <f>M34+'13'!M34+'12'!M34+'11'!M35+'10'!M33</f>
        <v>1977170</v>
      </c>
      <c r="N35" s="676">
        <f t="shared" si="1"/>
        <v>103.98878679661078</v>
      </c>
    </row>
    <row r="36" spans="1:14" ht="12.95" customHeight="1" thickBot="1">
      <c r="B36" s="16"/>
      <c r="C36" s="17"/>
      <c r="D36" s="17"/>
      <c r="E36" s="637"/>
      <c r="F36" s="663"/>
      <c r="G36" s="17"/>
      <c r="H36" s="32"/>
      <c r="I36" s="32"/>
      <c r="J36" s="32"/>
      <c r="K36" s="32"/>
      <c r="L36" s="32"/>
      <c r="M36" s="1067"/>
      <c r="N36" s="679"/>
    </row>
    <row r="37" spans="1:14" ht="12.95" customHeight="1">
      <c r="E37" s="638"/>
      <c r="F37" s="664"/>
      <c r="M37" s="1070"/>
    </row>
    <row r="38" spans="1:14" ht="12.95" customHeight="1">
      <c r="B38" s="56"/>
      <c r="E38" s="638"/>
      <c r="F38" s="664"/>
      <c r="M38" s="1070"/>
    </row>
    <row r="39" spans="1:14" ht="12.95" customHeight="1">
      <c r="B39" s="56"/>
      <c r="E39" s="638"/>
      <c r="F39" s="664"/>
      <c r="M39" s="1070"/>
    </row>
    <row r="40" spans="1:14" ht="12.95" customHeight="1">
      <c r="E40" s="638"/>
      <c r="F40" s="664"/>
      <c r="M40" s="1070"/>
    </row>
    <row r="41" spans="1:14" ht="12.95" customHeight="1">
      <c r="E41" s="638"/>
      <c r="F41" s="664"/>
      <c r="M41" s="1070"/>
    </row>
    <row r="42" spans="1:14" ht="12.95" customHeight="1">
      <c r="E42" s="638"/>
      <c r="F42" s="664"/>
      <c r="M42" s="1070"/>
    </row>
    <row r="43" spans="1:14" ht="12.95" customHeight="1">
      <c r="E43" s="638"/>
      <c r="F43" s="664"/>
      <c r="M43" s="1070"/>
    </row>
    <row r="44" spans="1:14" ht="12.95" customHeight="1">
      <c r="E44" s="638"/>
      <c r="F44" s="664"/>
      <c r="M44" s="1070"/>
    </row>
    <row r="45" spans="1:14" ht="12.95" customHeight="1">
      <c r="E45" s="638"/>
      <c r="F45" s="664"/>
      <c r="M45" s="1070"/>
    </row>
    <row r="46" spans="1:14" ht="12.95" customHeight="1">
      <c r="E46" s="638"/>
      <c r="F46" s="664"/>
      <c r="M46" s="1070"/>
    </row>
    <row r="47" spans="1:14" ht="12.95" customHeight="1">
      <c r="E47" s="638"/>
      <c r="F47" s="664"/>
      <c r="M47" s="1070"/>
    </row>
    <row r="48" spans="1:14" ht="12.95" customHeight="1">
      <c r="E48" s="638"/>
      <c r="F48" s="664"/>
      <c r="M48" s="1070"/>
    </row>
    <row r="49" spans="5:13" ht="12.95" customHeight="1">
      <c r="E49" s="638"/>
      <c r="F49" s="664"/>
      <c r="M49" s="1070"/>
    </row>
    <row r="50" spans="5:13" ht="12.95" customHeight="1">
      <c r="E50" s="638"/>
      <c r="F50" s="664"/>
      <c r="M50" s="1070"/>
    </row>
    <row r="51" spans="5:13" ht="12.95" customHeight="1">
      <c r="E51" s="638"/>
      <c r="F51" s="664"/>
      <c r="M51" s="1070"/>
    </row>
    <row r="52" spans="5:13" ht="12.95" customHeight="1">
      <c r="E52" s="638"/>
      <c r="F52" s="664"/>
      <c r="M52" s="1070"/>
    </row>
    <row r="53" spans="5:13" ht="12.95" customHeight="1">
      <c r="E53" s="638"/>
      <c r="F53" s="664"/>
      <c r="M53" s="1070"/>
    </row>
    <row r="54" spans="5:13" ht="12.95" customHeight="1">
      <c r="E54" s="638"/>
      <c r="F54" s="664"/>
      <c r="M54" s="1070"/>
    </row>
    <row r="55" spans="5:13" ht="12.95" customHeight="1">
      <c r="E55" s="638"/>
      <c r="F55" s="664"/>
      <c r="M55" s="1070"/>
    </row>
    <row r="56" spans="5:13" ht="12.95" customHeight="1">
      <c r="E56" s="638"/>
      <c r="F56" s="664"/>
      <c r="M56" s="1070"/>
    </row>
    <row r="57" spans="5:13" ht="12.95" customHeight="1">
      <c r="E57" s="638"/>
      <c r="F57" s="664"/>
      <c r="M57" s="1070"/>
    </row>
    <row r="58" spans="5:13" ht="12.95" customHeight="1">
      <c r="E58" s="638"/>
      <c r="F58" s="664"/>
      <c r="M58" s="1070"/>
    </row>
    <row r="59" spans="5:13" ht="12.95" customHeight="1">
      <c r="E59" s="638"/>
      <c r="F59" s="664"/>
      <c r="M59" s="1070"/>
    </row>
    <row r="60" spans="5:13" ht="17.100000000000001" customHeight="1">
      <c r="E60" s="638"/>
      <c r="F60" s="664"/>
      <c r="M60" s="1070"/>
    </row>
    <row r="61" spans="5:13" ht="14.25">
      <c r="E61" s="638"/>
      <c r="F61" s="664"/>
      <c r="M61" s="1070"/>
    </row>
    <row r="62" spans="5:13" ht="14.25">
      <c r="E62" s="638"/>
      <c r="F62" s="664"/>
      <c r="M62" s="1070"/>
    </row>
    <row r="63" spans="5:13" ht="14.25">
      <c r="E63" s="638"/>
      <c r="F63" s="664"/>
      <c r="M63" s="1070"/>
    </row>
    <row r="64" spans="5:13" ht="14.25">
      <c r="E64" s="638"/>
      <c r="F64" s="664"/>
      <c r="M64" s="1070"/>
    </row>
    <row r="65" spans="5:13" ht="14.25">
      <c r="E65" s="638"/>
      <c r="F65" s="664"/>
      <c r="M65" s="1070"/>
    </row>
    <row r="66" spans="5:13" ht="14.25">
      <c r="E66" s="638"/>
      <c r="F66" s="664"/>
      <c r="M66" s="1070"/>
    </row>
    <row r="67" spans="5:13" ht="14.25">
      <c r="E67" s="638"/>
      <c r="F67" s="664"/>
      <c r="M67" s="1070"/>
    </row>
    <row r="68" spans="5:13" ht="14.25">
      <c r="E68" s="638"/>
      <c r="F68" s="664"/>
      <c r="M68" s="1070"/>
    </row>
    <row r="69" spans="5:13" ht="14.25">
      <c r="E69" s="638"/>
      <c r="F69" s="664"/>
      <c r="M69" s="1070"/>
    </row>
    <row r="70" spans="5:13" ht="14.25">
      <c r="E70" s="638"/>
      <c r="F70" s="664"/>
      <c r="M70" s="1070"/>
    </row>
    <row r="71" spans="5:13" ht="14.25">
      <c r="E71" s="638"/>
      <c r="F71" s="664"/>
      <c r="M71" s="1070"/>
    </row>
    <row r="72" spans="5:13" ht="14.25">
      <c r="E72" s="638"/>
      <c r="F72" s="664"/>
      <c r="M72" s="1070"/>
    </row>
    <row r="73" spans="5:13" ht="14.25">
      <c r="E73" s="638"/>
      <c r="F73" s="664"/>
      <c r="M73" s="1070"/>
    </row>
    <row r="74" spans="5:13" ht="14.25">
      <c r="E74" s="638"/>
      <c r="F74" s="638"/>
      <c r="M74" s="1070"/>
    </row>
    <row r="75" spans="5:13" ht="14.25">
      <c r="E75" s="638"/>
      <c r="F75" s="638"/>
      <c r="M75" s="1070"/>
    </row>
    <row r="76" spans="5:13" ht="14.25">
      <c r="E76" s="638"/>
      <c r="F76" s="638"/>
      <c r="M76" s="1070"/>
    </row>
    <row r="77" spans="5:13" ht="14.25">
      <c r="E77" s="638"/>
      <c r="F77" s="638"/>
      <c r="M77" s="1070"/>
    </row>
    <row r="78" spans="5:13" ht="14.25">
      <c r="E78" s="638"/>
      <c r="F78" s="638"/>
      <c r="M78" s="1070"/>
    </row>
    <row r="79" spans="5:13" ht="14.25">
      <c r="E79" s="638"/>
      <c r="F79" s="638"/>
      <c r="M79" s="1070"/>
    </row>
    <row r="80" spans="5:13" ht="14.25">
      <c r="E80" s="638"/>
      <c r="F80" s="638"/>
      <c r="M80" s="1070"/>
    </row>
    <row r="81" spans="5:13" ht="14.25">
      <c r="E81" s="638"/>
      <c r="F81" s="638"/>
      <c r="M81" s="1070"/>
    </row>
    <row r="82" spans="5:13" ht="14.25">
      <c r="E82" s="638"/>
      <c r="F82" s="638"/>
      <c r="M82" s="1070"/>
    </row>
    <row r="83" spans="5:13" ht="14.25">
      <c r="E83" s="638"/>
      <c r="F83" s="638"/>
      <c r="M83" s="1070"/>
    </row>
    <row r="84" spans="5:13" ht="14.25">
      <c r="E84" s="638"/>
      <c r="F84" s="638"/>
      <c r="M84" s="1070"/>
    </row>
    <row r="85" spans="5:13" ht="14.25">
      <c r="E85" s="638"/>
      <c r="F85" s="638"/>
      <c r="M85" s="1070"/>
    </row>
    <row r="86" spans="5:13" ht="14.25">
      <c r="E86" s="638"/>
      <c r="F86" s="638"/>
      <c r="M86" s="1070"/>
    </row>
    <row r="87" spans="5:13" ht="14.25">
      <c r="E87" s="638"/>
      <c r="F87" s="638"/>
      <c r="M87" s="1070"/>
    </row>
    <row r="88" spans="5:13" ht="14.25">
      <c r="E88" s="638"/>
      <c r="F88" s="638"/>
      <c r="M88" s="1070"/>
    </row>
    <row r="89" spans="5:13" ht="14.25">
      <c r="E89" s="638"/>
      <c r="F89" s="638"/>
      <c r="M89" s="1070"/>
    </row>
    <row r="90" spans="5:13" ht="14.25">
      <c r="E90" s="638"/>
      <c r="F90" s="638"/>
      <c r="M90" s="1070"/>
    </row>
    <row r="91" spans="5:13">
      <c r="F91" s="638"/>
    </row>
    <row r="92" spans="5:13">
      <c r="F92" s="638"/>
    </row>
    <row r="93" spans="5:13">
      <c r="F93" s="638"/>
    </row>
    <row r="94" spans="5:13">
      <c r="F94" s="638"/>
    </row>
    <row r="95" spans="5:13">
      <c r="F95" s="638"/>
    </row>
    <row r="96" spans="5:13">
      <c r="F96" s="638"/>
    </row>
  </sheetData>
  <mergeCells count="13">
    <mergeCell ref="N4:N5"/>
    <mergeCell ref="G4:G5"/>
    <mergeCell ref="B2:H2"/>
    <mergeCell ref="G3:H3"/>
    <mergeCell ref="K4:M4"/>
    <mergeCell ref="B4:B5"/>
    <mergeCell ref="C4:C5"/>
    <mergeCell ref="D4:D5"/>
    <mergeCell ref="F4:F5"/>
    <mergeCell ref="E4:E5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zoomScaleNormal="100" workbookViewId="0">
      <selection activeCell="X5" sqref="X5"/>
    </sheetView>
  </sheetViews>
  <sheetFormatPr defaultRowHeight="12.75"/>
  <cols>
    <col min="1" max="1" width="3.28515625" style="40" customWidth="1"/>
    <col min="7" max="7" width="10.7109375" customWidth="1"/>
    <col min="8" max="8" width="0.140625" hidden="1" customWidth="1"/>
    <col min="9" max="9" width="2.7109375" hidden="1" customWidth="1"/>
    <col min="10" max="10" width="8.28515625" style="40" customWidth="1"/>
    <col min="11" max="11" width="2.42578125" customWidth="1"/>
    <col min="12" max="12" width="4.140625" customWidth="1"/>
    <col min="19" max="19" width="3.85546875" customWidth="1"/>
    <col min="20" max="20" width="2.5703125" customWidth="1"/>
    <col min="21" max="21" width="8.5703125" customWidth="1"/>
  </cols>
  <sheetData>
    <row r="1" spans="1:21" ht="15.75">
      <c r="A1" s="1223" t="s">
        <v>231</v>
      </c>
      <c r="B1" s="1223"/>
      <c r="C1" s="1223"/>
      <c r="D1" s="1223"/>
      <c r="E1" s="1223"/>
      <c r="F1" s="1223"/>
      <c r="G1" s="1223"/>
      <c r="H1" s="1223"/>
      <c r="I1" s="1223"/>
    </row>
    <row r="3" spans="1:21" s="46" customFormat="1">
      <c r="A3" s="1203" t="s">
        <v>274</v>
      </c>
      <c r="B3" s="1220" t="s">
        <v>276</v>
      </c>
      <c r="C3" s="1221"/>
      <c r="D3" s="1221"/>
      <c r="E3" s="1221"/>
      <c r="F3" s="1221"/>
      <c r="G3" s="1221"/>
      <c r="H3" s="1221"/>
      <c r="I3" s="1222"/>
      <c r="J3" s="1203" t="s">
        <v>257</v>
      </c>
      <c r="L3" s="1203" t="s">
        <v>274</v>
      </c>
      <c r="M3" s="1220" t="s">
        <v>276</v>
      </c>
      <c r="N3" s="1221"/>
      <c r="O3" s="1221"/>
      <c r="P3" s="1221"/>
      <c r="Q3" s="1221"/>
      <c r="R3" s="1221"/>
      <c r="S3" s="1221"/>
      <c r="T3" s="1222"/>
      <c r="U3" s="1203" t="s">
        <v>257</v>
      </c>
    </row>
    <row r="4" spans="1:21" s="37" customFormat="1" ht="17.100000000000001" customHeight="1">
      <c r="A4" s="1186" t="s">
        <v>232</v>
      </c>
      <c r="B4" s="1230" t="s">
        <v>233</v>
      </c>
      <c r="C4" s="1231"/>
      <c r="D4" s="1231"/>
      <c r="E4" s="1231"/>
      <c r="F4" s="1231"/>
      <c r="G4" s="1231"/>
      <c r="H4" s="1231"/>
      <c r="I4" s="1232"/>
      <c r="J4" s="1186">
        <v>3</v>
      </c>
      <c r="K4" s="1187"/>
      <c r="L4" s="1188" t="s">
        <v>822</v>
      </c>
      <c r="M4" s="1227" t="s">
        <v>263</v>
      </c>
      <c r="N4" s="1228"/>
      <c r="O4" s="1228"/>
      <c r="P4" s="1228"/>
      <c r="Q4" s="1228"/>
      <c r="R4" s="1228"/>
      <c r="S4" s="1228"/>
      <c r="T4" s="1229"/>
      <c r="U4" s="1188">
        <v>42</v>
      </c>
    </row>
    <row r="5" spans="1:21" s="37" customFormat="1" ht="17.100000000000001" customHeight="1">
      <c r="A5" s="1189" t="s">
        <v>234</v>
      </c>
      <c r="B5" s="1219" t="s">
        <v>235</v>
      </c>
      <c r="C5" s="1216"/>
      <c r="D5" s="1216"/>
      <c r="E5" s="1216"/>
      <c r="F5" s="1216"/>
      <c r="G5" s="1216"/>
      <c r="H5" s="1216"/>
      <c r="I5" s="1217"/>
      <c r="J5" s="1189">
        <v>4</v>
      </c>
      <c r="K5" s="1187"/>
      <c r="L5" s="1189" t="s">
        <v>823</v>
      </c>
      <c r="M5" s="1190" t="s">
        <v>264</v>
      </c>
      <c r="N5" s="1191"/>
      <c r="O5" s="1191"/>
      <c r="P5" s="1191"/>
      <c r="Q5" s="1191"/>
      <c r="R5" s="1191"/>
      <c r="S5" s="1191"/>
      <c r="T5" s="1192"/>
      <c r="U5" s="1189">
        <v>43</v>
      </c>
    </row>
    <row r="6" spans="1:21" s="37" customFormat="1" ht="17.100000000000001" customHeight="1">
      <c r="A6" s="1189" t="s">
        <v>236</v>
      </c>
      <c r="B6" s="1219" t="s">
        <v>452</v>
      </c>
      <c r="C6" s="1216"/>
      <c r="D6" s="1216"/>
      <c r="E6" s="1216"/>
      <c r="F6" s="1216"/>
      <c r="G6" s="1216"/>
      <c r="H6" s="1216"/>
      <c r="I6" s="1217"/>
      <c r="J6" s="1189">
        <v>12</v>
      </c>
      <c r="K6" s="1187"/>
      <c r="L6" s="1189" t="s">
        <v>824</v>
      </c>
      <c r="M6" s="1190" t="s">
        <v>265</v>
      </c>
      <c r="N6" s="1191"/>
      <c r="O6" s="1191"/>
      <c r="P6" s="1191"/>
      <c r="Q6" s="1191"/>
      <c r="R6" s="1191"/>
      <c r="S6" s="1191"/>
      <c r="T6" s="1192"/>
      <c r="U6" s="1189">
        <v>44</v>
      </c>
    </row>
    <row r="7" spans="1:21" s="37" customFormat="1" ht="17.100000000000001" customHeight="1">
      <c r="A7" s="1189" t="s">
        <v>237</v>
      </c>
      <c r="B7" s="1219" t="s">
        <v>238</v>
      </c>
      <c r="C7" s="1216"/>
      <c r="D7" s="1216"/>
      <c r="E7" s="1216"/>
      <c r="F7" s="1216"/>
      <c r="G7" s="1216"/>
      <c r="H7" s="1216"/>
      <c r="I7" s="1217"/>
      <c r="J7" s="1189">
        <v>15</v>
      </c>
      <c r="K7" s="1187"/>
      <c r="L7" s="1189" t="s">
        <v>825</v>
      </c>
      <c r="M7" s="1190" t="s">
        <v>266</v>
      </c>
      <c r="N7" s="1191"/>
      <c r="O7" s="1191"/>
      <c r="P7" s="1191"/>
      <c r="Q7" s="1191"/>
      <c r="R7" s="1191"/>
      <c r="S7" s="1191"/>
      <c r="T7" s="1192"/>
      <c r="U7" s="1189">
        <v>45</v>
      </c>
    </row>
    <row r="8" spans="1:21" s="37" customFormat="1" ht="17.100000000000001" customHeight="1">
      <c r="A8" s="1189" t="s">
        <v>275</v>
      </c>
      <c r="B8" s="1219" t="s">
        <v>239</v>
      </c>
      <c r="C8" s="1216"/>
      <c r="D8" s="1216"/>
      <c r="E8" s="1216"/>
      <c r="F8" s="1216"/>
      <c r="G8" s="1216"/>
      <c r="H8" s="1216"/>
      <c r="I8" s="1217"/>
      <c r="J8" s="1189">
        <v>16</v>
      </c>
      <c r="K8" s="1187"/>
      <c r="L8" s="1189" t="s">
        <v>826</v>
      </c>
      <c r="M8" s="1190" t="s">
        <v>267</v>
      </c>
      <c r="N8" s="1191"/>
      <c r="O8" s="1191"/>
      <c r="P8" s="1191"/>
      <c r="Q8" s="1191"/>
      <c r="R8" s="1191"/>
      <c r="S8" s="1191"/>
      <c r="T8" s="1192"/>
      <c r="U8" s="1189">
        <v>46</v>
      </c>
    </row>
    <row r="9" spans="1:21" s="37" customFormat="1" ht="17.100000000000001" customHeight="1">
      <c r="A9" s="1189" t="s">
        <v>793</v>
      </c>
      <c r="B9" s="1219" t="s">
        <v>240</v>
      </c>
      <c r="C9" s="1216"/>
      <c r="D9" s="1216"/>
      <c r="E9" s="1216"/>
      <c r="F9" s="1216"/>
      <c r="G9" s="1216"/>
      <c r="H9" s="1216"/>
      <c r="I9" s="1217"/>
      <c r="J9" s="1189">
        <v>17</v>
      </c>
      <c r="K9" s="1187"/>
      <c r="L9" s="1189" t="s">
        <v>827</v>
      </c>
      <c r="M9" s="1190" t="s">
        <v>268</v>
      </c>
      <c r="N9" s="1191"/>
      <c r="O9" s="1191"/>
      <c r="P9" s="1191"/>
      <c r="Q9" s="1191"/>
      <c r="R9" s="1191"/>
      <c r="S9" s="1191"/>
      <c r="T9" s="1192"/>
      <c r="U9" s="1189">
        <v>47</v>
      </c>
    </row>
    <row r="10" spans="1:21" s="37" customFormat="1" ht="17.100000000000001" customHeight="1">
      <c r="A10" s="1189" t="s">
        <v>798</v>
      </c>
      <c r="B10" s="1219" t="s">
        <v>241</v>
      </c>
      <c r="C10" s="1216"/>
      <c r="D10" s="1216"/>
      <c r="E10" s="1216"/>
      <c r="F10" s="1216"/>
      <c r="G10" s="1216"/>
      <c r="H10" s="1216"/>
      <c r="I10" s="1217"/>
      <c r="J10" s="1189">
        <v>18</v>
      </c>
      <c r="K10" s="1187"/>
      <c r="L10" s="1189" t="s">
        <v>828</v>
      </c>
      <c r="M10" s="1219" t="s">
        <v>269</v>
      </c>
      <c r="N10" s="1216"/>
      <c r="O10" s="1216"/>
      <c r="P10" s="1216"/>
      <c r="Q10" s="1216"/>
      <c r="R10" s="1216"/>
      <c r="S10" s="1216"/>
      <c r="T10" s="1217"/>
      <c r="U10" s="1189">
        <v>48</v>
      </c>
    </row>
    <row r="11" spans="1:21" s="37" customFormat="1" ht="17.100000000000001" customHeight="1">
      <c r="A11" s="1189" t="s">
        <v>799</v>
      </c>
      <c r="B11" s="1219" t="s">
        <v>242</v>
      </c>
      <c r="C11" s="1216"/>
      <c r="D11" s="1216"/>
      <c r="E11" s="1216"/>
      <c r="F11" s="1216"/>
      <c r="G11" s="1216"/>
      <c r="H11" s="1216"/>
      <c r="I11" s="1217"/>
      <c r="J11" s="1189">
        <v>19</v>
      </c>
      <c r="K11" s="1187"/>
      <c r="L11" s="1189" t="s">
        <v>829</v>
      </c>
      <c r="M11" s="1219" t="s">
        <v>270</v>
      </c>
      <c r="N11" s="1216"/>
      <c r="O11" s="1216"/>
      <c r="P11" s="1216"/>
      <c r="Q11" s="1216"/>
      <c r="R11" s="1216"/>
      <c r="S11" s="1216"/>
      <c r="T11" s="1217"/>
      <c r="U11" s="1189">
        <v>49</v>
      </c>
    </row>
    <row r="12" spans="1:21" s="37" customFormat="1" ht="17.100000000000001" customHeight="1">
      <c r="A12" s="1189" t="s">
        <v>800</v>
      </c>
      <c r="B12" s="1219" t="s">
        <v>243</v>
      </c>
      <c r="C12" s="1216"/>
      <c r="D12" s="1216"/>
      <c r="E12" s="1216"/>
      <c r="F12" s="1216"/>
      <c r="G12" s="1216"/>
      <c r="H12" s="1216"/>
      <c r="I12" s="1217"/>
      <c r="J12" s="1189">
        <v>20</v>
      </c>
      <c r="K12" s="1187"/>
      <c r="L12" s="1189" t="s">
        <v>830</v>
      </c>
      <c r="M12" s="1219" t="s">
        <v>271</v>
      </c>
      <c r="N12" s="1216"/>
      <c r="O12" s="1216"/>
      <c r="P12" s="1216"/>
      <c r="Q12" s="1216"/>
      <c r="R12" s="1216"/>
      <c r="S12" s="1216"/>
      <c r="T12" s="1217"/>
      <c r="U12" s="1189">
        <v>50</v>
      </c>
    </row>
    <row r="13" spans="1:21" s="37" customFormat="1" ht="17.100000000000001" customHeight="1">
      <c r="A13" s="1189" t="s">
        <v>801</v>
      </c>
      <c r="B13" s="1219" t="s">
        <v>632</v>
      </c>
      <c r="C13" s="1216"/>
      <c r="D13" s="1216"/>
      <c r="E13" s="1216"/>
      <c r="F13" s="1216"/>
      <c r="G13" s="1216"/>
      <c r="H13" s="1216"/>
      <c r="I13" s="1217"/>
      <c r="J13" s="1189">
        <v>21</v>
      </c>
      <c r="K13" s="1187"/>
      <c r="L13" s="1189" t="s">
        <v>831</v>
      </c>
      <c r="M13" s="1219" t="s">
        <v>272</v>
      </c>
      <c r="N13" s="1216"/>
      <c r="O13" s="1216"/>
      <c r="P13" s="1216"/>
      <c r="Q13" s="1216"/>
      <c r="R13" s="1216"/>
      <c r="S13" s="1216"/>
      <c r="T13" s="1217"/>
      <c r="U13" s="1189">
        <v>51</v>
      </c>
    </row>
    <row r="14" spans="1:21" s="37" customFormat="1" ht="17.100000000000001" customHeight="1">
      <c r="A14" s="1189" t="s">
        <v>802</v>
      </c>
      <c r="B14" s="1219" t="s">
        <v>244</v>
      </c>
      <c r="C14" s="1216"/>
      <c r="D14" s="1216"/>
      <c r="E14" s="1216"/>
      <c r="F14" s="1216"/>
      <c r="G14" s="1216"/>
      <c r="H14" s="1216"/>
      <c r="I14" s="1217"/>
      <c r="J14" s="1189">
        <v>22</v>
      </c>
      <c r="K14" s="1187"/>
      <c r="L14" s="1189" t="s">
        <v>832</v>
      </c>
      <c r="M14" s="1215" t="s">
        <v>837</v>
      </c>
      <c r="N14" s="1216"/>
      <c r="O14" s="1216"/>
      <c r="P14" s="1216"/>
      <c r="Q14" s="1216"/>
      <c r="R14" s="1216"/>
      <c r="S14" s="1216"/>
      <c r="T14" s="1217"/>
      <c r="U14" s="1189">
        <v>52</v>
      </c>
    </row>
    <row r="15" spans="1:21" s="37" customFormat="1" ht="17.100000000000001" customHeight="1">
      <c r="A15" s="1189" t="s">
        <v>803</v>
      </c>
      <c r="B15" s="1219" t="s">
        <v>245</v>
      </c>
      <c r="C15" s="1216"/>
      <c r="D15" s="1216"/>
      <c r="E15" s="1216"/>
      <c r="F15" s="1216"/>
      <c r="G15" s="1216"/>
      <c r="H15" s="1216"/>
      <c r="I15" s="1217"/>
      <c r="J15" s="1189">
        <v>23</v>
      </c>
      <c r="K15" s="1187"/>
      <c r="L15" s="1189" t="s">
        <v>833</v>
      </c>
      <c r="M15" s="1190" t="s">
        <v>836</v>
      </c>
      <c r="N15" s="1191"/>
      <c r="O15" s="1191"/>
      <c r="P15" s="1191"/>
      <c r="Q15" s="1191"/>
      <c r="R15" s="1191"/>
      <c r="S15" s="1191"/>
      <c r="T15" s="1192"/>
      <c r="U15" s="1189">
        <v>53</v>
      </c>
    </row>
    <row r="16" spans="1:21" s="37" customFormat="1" ht="17.100000000000001" customHeight="1">
      <c r="A16" s="1189" t="s">
        <v>804</v>
      </c>
      <c r="B16" s="1219" t="s">
        <v>246</v>
      </c>
      <c r="C16" s="1216"/>
      <c r="D16" s="1216"/>
      <c r="E16" s="1216"/>
      <c r="F16" s="1216"/>
      <c r="G16" s="1216"/>
      <c r="H16" s="1216"/>
      <c r="I16" s="1217"/>
      <c r="J16" s="1189">
        <v>24</v>
      </c>
      <c r="K16" s="1187"/>
      <c r="L16" s="1189" t="s">
        <v>834</v>
      </c>
      <c r="M16" s="1190" t="s">
        <v>663</v>
      </c>
      <c r="N16" s="1191"/>
      <c r="O16" s="1191"/>
      <c r="P16" s="1191"/>
      <c r="Q16" s="1191"/>
      <c r="R16" s="1191"/>
      <c r="S16" s="1191"/>
      <c r="T16" s="1192"/>
      <c r="U16" s="1189">
        <v>56</v>
      </c>
    </row>
    <row r="17" spans="1:21" s="37" customFormat="1" ht="17.100000000000001" customHeight="1">
      <c r="A17" s="1189" t="s">
        <v>805</v>
      </c>
      <c r="B17" s="1219" t="s">
        <v>247</v>
      </c>
      <c r="C17" s="1216"/>
      <c r="D17" s="1216"/>
      <c r="E17" s="1216"/>
      <c r="F17" s="1216"/>
      <c r="G17" s="1216"/>
      <c r="H17" s="1216"/>
      <c r="I17" s="1217"/>
      <c r="J17" s="1189">
        <v>25</v>
      </c>
      <c r="K17" s="1187"/>
      <c r="L17" s="1193" t="s">
        <v>835</v>
      </c>
      <c r="M17" s="1218" t="s">
        <v>273</v>
      </c>
      <c r="N17" s="1218"/>
      <c r="O17" s="1218"/>
      <c r="P17" s="1218"/>
      <c r="Q17" s="1218"/>
      <c r="R17" s="1218"/>
      <c r="S17" s="1218"/>
      <c r="T17" s="1218"/>
      <c r="U17" s="1193">
        <v>57</v>
      </c>
    </row>
    <row r="18" spans="1:21" s="37" customFormat="1" ht="17.100000000000001" customHeight="1">
      <c r="A18" s="1189" t="s">
        <v>806</v>
      </c>
      <c r="B18" s="1219" t="s">
        <v>248</v>
      </c>
      <c r="C18" s="1216"/>
      <c r="D18" s="1216"/>
      <c r="E18" s="1216"/>
      <c r="F18" s="1216"/>
      <c r="G18" s="1216"/>
      <c r="H18" s="1216"/>
      <c r="I18" s="1217"/>
      <c r="J18" s="1189">
        <v>26</v>
      </c>
      <c r="K18" s="1187"/>
      <c r="L18" s="1187"/>
      <c r="M18" s="1187"/>
      <c r="N18" s="1187"/>
      <c r="O18" s="1187"/>
      <c r="P18" s="1187"/>
      <c r="Q18" s="1187"/>
      <c r="R18" s="1187"/>
      <c r="S18" s="1187"/>
      <c r="T18" s="1187"/>
      <c r="U18" s="1187"/>
    </row>
    <row r="19" spans="1:21" s="37" customFormat="1" ht="17.100000000000001" customHeight="1">
      <c r="A19" s="1189" t="s">
        <v>807</v>
      </c>
      <c r="B19" s="1219" t="s">
        <v>249</v>
      </c>
      <c r="C19" s="1216"/>
      <c r="D19" s="1216"/>
      <c r="E19" s="1216"/>
      <c r="F19" s="1216"/>
      <c r="G19" s="1216"/>
      <c r="H19" s="1216"/>
      <c r="I19" s="1217"/>
      <c r="J19" s="1189">
        <v>27</v>
      </c>
      <c r="K19" s="1187"/>
      <c r="L19" s="1187"/>
      <c r="M19" s="1187"/>
      <c r="N19" s="1187"/>
      <c r="O19" s="1187"/>
      <c r="P19" s="1187"/>
      <c r="Q19" s="1187"/>
      <c r="R19" s="1187"/>
      <c r="S19" s="1187"/>
      <c r="T19" s="1187"/>
      <c r="U19" s="1187"/>
    </row>
    <row r="20" spans="1:21" s="37" customFormat="1" ht="17.100000000000001" customHeight="1">
      <c r="A20" s="1189" t="s">
        <v>808</v>
      </c>
      <c r="B20" s="1219" t="s">
        <v>250</v>
      </c>
      <c r="C20" s="1216"/>
      <c r="D20" s="1216"/>
      <c r="E20" s="1216"/>
      <c r="F20" s="1216"/>
      <c r="G20" s="1216"/>
      <c r="H20" s="1216"/>
      <c r="I20" s="1217"/>
      <c r="J20" s="1189">
        <v>28</v>
      </c>
      <c r="K20" s="1187"/>
      <c r="L20" s="1187"/>
      <c r="M20" s="1187"/>
      <c r="N20" s="1187"/>
      <c r="O20" s="1187"/>
      <c r="P20" s="1187"/>
      <c r="Q20" s="1187"/>
      <c r="R20" s="1187"/>
      <c r="S20" s="1187"/>
      <c r="T20" s="1187"/>
      <c r="U20" s="1187"/>
    </row>
    <row r="21" spans="1:21" s="37" customFormat="1" ht="17.100000000000001" customHeight="1">
      <c r="A21" s="1189" t="s">
        <v>809</v>
      </c>
      <c r="B21" s="1219" t="s">
        <v>251</v>
      </c>
      <c r="C21" s="1216"/>
      <c r="D21" s="1216"/>
      <c r="E21" s="1216"/>
      <c r="F21" s="1216"/>
      <c r="G21" s="1216"/>
      <c r="H21" s="1216"/>
      <c r="I21" s="1217"/>
      <c r="J21" s="1189">
        <v>29</v>
      </c>
      <c r="K21" s="1187"/>
      <c r="L21" s="1187"/>
      <c r="M21" s="1187"/>
      <c r="N21" s="1187"/>
      <c r="O21" s="1187"/>
      <c r="P21" s="1187"/>
      <c r="Q21" s="1187"/>
      <c r="R21" s="1187"/>
      <c r="S21" s="1187"/>
      <c r="T21" s="1187"/>
      <c r="U21" s="1187"/>
    </row>
    <row r="22" spans="1:21" s="37" customFormat="1" ht="17.100000000000001" customHeight="1">
      <c r="A22" s="1189" t="s">
        <v>810</v>
      </c>
      <c r="B22" s="1219" t="s">
        <v>252</v>
      </c>
      <c r="C22" s="1216"/>
      <c r="D22" s="1216"/>
      <c r="E22" s="1216"/>
      <c r="F22" s="1216"/>
      <c r="G22" s="1216"/>
      <c r="H22" s="1216"/>
      <c r="I22" s="1217"/>
      <c r="J22" s="1189">
        <v>30</v>
      </c>
      <c r="K22" s="1187"/>
      <c r="L22" s="1187"/>
      <c r="M22" s="1187"/>
      <c r="N22" s="1187"/>
      <c r="O22" s="1187"/>
      <c r="P22" s="1187"/>
      <c r="Q22" s="1187"/>
      <c r="R22" s="1187"/>
      <c r="S22" s="1187"/>
      <c r="T22" s="1187"/>
      <c r="U22" s="1187"/>
    </row>
    <row r="23" spans="1:21" s="37" customFormat="1" ht="17.100000000000001" customHeight="1">
      <c r="A23" s="1189" t="s">
        <v>811</v>
      </c>
      <c r="B23" s="1219" t="s">
        <v>253</v>
      </c>
      <c r="C23" s="1216"/>
      <c r="D23" s="1216"/>
      <c r="E23" s="1216"/>
      <c r="F23" s="1216"/>
      <c r="G23" s="1216"/>
      <c r="H23" s="1216"/>
      <c r="I23" s="1217"/>
      <c r="J23" s="1189">
        <v>31</v>
      </c>
      <c r="K23" s="1187"/>
      <c r="L23" s="1187"/>
      <c r="M23" s="1187"/>
      <c r="N23" s="1187"/>
      <c r="O23" s="1187"/>
      <c r="P23" s="1187"/>
      <c r="Q23" s="1187"/>
      <c r="R23" s="1187"/>
      <c r="S23" s="1187"/>
      <c r="T23" s="1187"/>
      <c r="U23" s="1187"/>
    </row>
    <row r="24" spans="1:21" s="37" customFormat="1" ht="17.100000000000001" customHeight="1">
      <c r="A24" s="1189" t="s">
        <v>812</v>
      </c>
      <c r="B24" s="1219" t="s">
        <v>254</v>
      </c>
      <c r="C24" s="1216"/>
      <c r="D24" s="1216"/>
      <c r="E24" s="1216"/>
      <c r="F24" s="1216"/>
      <c r="G24" s="1216"/>
      <c r="H24" s="1216"/>
      <c r="I24" s="1217"/>
      <c r="J24" s="1189">
        <v>32</v>
      </c>
      <c r="K24" s="1187"/>
      <c r="L24" s="1187"/>
      <c r="M24" s="1187"/>
      <c r="N24" s="1187"/>
      <c r="O24" s="1187"/>
      <c r="P24" s="1187"/>
      <c r="Q24" s="1187"/>
      <c r="R24" s="1187"/>
      <c r="S24" s="1187"/>
      <c r="T24" s="1187"/>
      <c r="U24" s="1187"/>
    </row>
    <row r="25" spans="1:21" s="37" customFormat="1" ht="17.100000000000001" customHeight="1">
      <c r="A25" s="1189" t="s">
        <v>813</v>
      </c>
      <c r="B25" s="1219" t="s">
        <v>255</v>
      </c>
      <c r="C25" s="1216"/>
      <c r="D25" s="1216"/>
      <c r="E25" s="1216"/>
      <c r="F25" s="1216"/>
      <c r="G25" s="1216"/>
      <c r="H25" s="1216"/>
      <c r="I25" s="1217"/>
      <c r="J25" s="1189">
        <v>33</v>
      </c>
      <c r="K25" s="1187"/>
      <c r="L25" s="1187"/>
      <c r="M25" s="1187"/>
      <c r="N25" s="1187"/>
      <c r="O25" s="1187"/>
      <c r="P25" s="1187"/>
      <c r="Q25" s="1187"/>
      <c r="R25" s="1187"/>
      <c r="S25" s="1187"/>
      <c r="T25" s="1187"/>
      <c r="U25" s="1187"/>
    </row>
    <row r="26" spans="1:21" s="37" customFormat="1" ht="17.100000000000001" customHeight="1">
      <c r="A26" s="1189" t="s">
        <v>814</v>
      </c>
      <c r="B26" s="1219" t="s">
        <v>256</v>
      </c>
      <c r="C26" s="1216"/>
      <c r="D26" s="1216"/>
      <c r="E26" s="1216"/>
      <c r="F26" s="1216"/>
      <c r="G26" s="1216"/>
      <c r="H26" s="1216"/>
      <c r="I26" s="1217"/>
      <c r="J26" s="1189">
        <v>34</v>
      </c>
      <c r="K26" s="1187"/>
      <c r="L26" s="1187"/>
      <c r="M26" s="1187"/>
      <c r="N26" s="1187"/>
      <c r="O26" s="1187"/>
      <c r="P26" s="1187"/>
      <c r="Q26" s="1187"/>
      <c r="R26" s="1187"/>
      <c r="S26" s="1187"/>
      <c r="T26" s="1187"/>
      <c r="U26" s="1187"/>
    </row>
    <row r="27" spans="1:21" s="37" customFormat="1" ht="17.100000000000001" customHeight="1">
      <c r="A27" s="1189" t="s">
        <v>815</v>
      </c>
      <c r="B27" s="1219" t="s">
        <v>258</v>
      </c>
      <c r="C27" s="1216"/>
      <c r="D27" s="1216"/>
      <c r="E27" s="1216"/>
      <c r="F27" s="1216"/>
      <c r="G27" s="1216"/>
      <c r="H27" s="1216"/>
      <c r="I27" s="1217"/>
      <c r="J27" s="1189">
        <v>35</v>
      </c>
      <c r="K27" s="1187"/>
      <c r="L27" s="1187"/>
      <c r="M27" s="1187"/>
      <c r="N27" s="1187"/>
      <c r="O27" s="1187"/>
      <c r="P27" s="1187"/>
      <c r="Q27" s="1187"/>
      <c r="R27" s="1187"/>
      <c r="S27" s="1187"/>
      <c r="T27" s="1187"/>
      <c r="U27" s="1187"/>
    </row>
    <row r="28" spans="1:21" s="37" customFormat="1" ht="17.100000000000001" customHeight="1">
      <c r="A28" s="1189" t="s">
        <v>816</v>
      </c>
      <c r="B28" s="1219" t="s">
        <v>280</v>
      </c>
      <c r="C28" s="1216"/>
      <c r="D28" s="1216"/>
      <c r="E28" s="1216"/>
      <c r="F28" s="1216"/>
      <c r="G28" s="1216"/>
      <c r="H28" s="1216"/>
      <c r="I28" s="1217"/>
      <c r="J28" s="1189">
        <v>36</v>
      </c>
      <c r="K28" s="1187"/>
      <c r="L28" s="1187"/>
      <c r="M28" s="1187"/>
      <c r="N28" s="1187"/>
      <c r="O28" s="1187"/>
      <c r="P28" s="1187"/>
      <c r="Q28" s="1187"/>
      <c r="R28" s="1187"/>
      <c r="S28" s="1187"/>
      <c r="T28" s="1187"/>
      <c r="U28" s="1187"/>
    </row>
    <row r="29" spans="1:21" s="37" customFormat="1" ht="17.100000000000001" customHeight="1">
      <c r="A29" s="1189" t="s">
        <v>817</v>
      </c>
      <c r="B29" s="1219" t="s">
        <v>281</v>
      </c>
      <c r="C29" s="1216"/>
      <c r="D29" s="1216"/>
      <c r="E29" s="1216"/>
      <c r="F29" s="1216"/>
      <c r="G29" s="1216"/>
      <c r="H29" s="1216"/>
      <c r="I29" s="1217"/>
      <c r="J29" s="1189">
        <v>37</v>
      </c>
      <c r="K29" s="1187"/>
      <c r="L29" s="1187"/>
      <c r="M29" s="1187"/>
      <c r="N29" s="1187"/>
      <c r="O29" s="1187"/>
      <c r="P29" s="1187"/>
      <c r="Q29" s="1187"/>
      <c r="R29" s="1187"/>
      <c r="S29" s="1187"/>
      <c r="T29" s="1187"/>
      <c r="U29" s="1187"/>
    </row>
    <row r="30" spans="1:21" ht="17.100000000000001" customHeight="1">
      <c r="A30" s="1189" t="s">
        <v>818</v>
      </c>
      <c r="B30" s="1219" t="s">
        <v>259</v>
      </c>
      <c r="C30" s="1216"/>
      <c r="D30" s="1216"/>
      <c r="E30" s="1216"/>
      <c r="F30" s="1216"/>
      <c r="G30" s="1216"/>
      <c r="H30" s="1216"/>
      <c r="I30" s="1217"/>
      <c r="J30" s="1189">
        <v>38</v>
      </c>
      <c r="K30" s="1187"/>
      <c r="L30" s="1187"/>
      <c r="M30" s="1187"/>
      <c r="N30" s="1187"/>
      <c r="O30" s="1187"/>
      <c r="P30" s="1187"/>
      <c r="Q30" s="1187"/>
      <c r="R30" s="1187"/>
      <c r="S30" s="1187"/>
      <c r="T30" s="1187"/>
      <c r="U30" s="1187"/>
    </row>
    <row r="31" spans="1:21" ht="17.100000000000001" customHeight="1">
      <c r="A31" s="1189" t="s">
        <v>819</v>
      </c>
      <c r="B31" s="1219" t="s">
        <v>260</v>
      </c>
      <c r="C31" s="1216"/>
      <c r="D31" s="1216"/>
      <c r="E31" s="1216"/>
      <c r="F31" s="1216"/>
      <c r="G31" s="1216"/>
      <c r="H31" s="1216"/>
      <c r="I31" s="1217"/>
      <c r="J31" s="1189">
        <v>39</v>
      </c>
      <c r="K31" s="1187"/>
      <c r="L31" s="1187"/>
      <c r="M31" s="1187"/>
      <c r="N31" s="1187"/>
      <c r="O31" s="1187"/>
      <c r="P31" s="1187"/>
      <c r="Q31" s="1187"/>
      <c r="R31" s="1187"/>
      <c r="S31" s="1187"/>
      <c r="T31" s="1187"/>
      <c r="U31" s="1187"/>
    </row>
    <row r="32" spans="1:21" ht="17.100000000000001" customHeight="1">
      <c r="A32" s="1189" t="s">
        <v>820</v>
      </c>
      <c r="B32" s="1219" t="s">
        <v>261</v>
      </c>
      <c r="C32" s="1216"/>
      <c r="D32" s="1216"/>
      <c r="E32" s="1216"/>
      <c r="F32" s="1216"/>
      <c r="G32" s="1216"/>
      <c r="H32" s="1216"/>
      <c r="I32" s="1217"/>
      <c r="J32" s="1189">
        <v>40</v>
      </c>
      <c r="K32" s="1187"/>
      <c r="L32" s="1187"/>
      <c r="M32" s="1187"/>
      <c r="N32" s="1187"/>
      <c r="O32" s="1187"/>
      <c r="P32" s="1187"/>
      <c r="Q32" s="1187"/>
      <c r="R32" s="1187"/>
      <c r="S32" s="1187"/>
      <c r="T32" s="1187"/>
      <c r="U32" s="1187"/>
    </row>
    <row r="33" spans="1:21" ht="17.100000000000001" customHeight="1">
      <c r="A33" s="1193" t="s">
        <v>821</v>
      </c>
      <c r="B33" s="1224" t="s">
        <v>262</v>
      </c>
      <c r="C33" s="1225"/>
      <c r="D33" s="1225"/>
      <c r="E33" s="1225"/>
      <c r="F33" s="1225"/>
      <c r="G33" s="1225"/>
      <c r="H33" s="1225"/>
      <c r="I33" s="1226"/>
      <c r="J33" s="1193">
        <v>41</v>
      </c>
      <c r="K33" s="1187"/>
      <c r="L33" s="1187"/>
      <c r="M33" s="1187"/>
      <c r="N33" s="1187"/>
      <c r="O33" s="1187"/>
      <c r="P33" s="1187"/>
      <c r="Q33" s="1187"/>
      <c r="R33" s="1187"/>
      <c r="S33" s="1187"/>
      <c r="T33" s="1187"/>
      <c r="U33" s="1187"/>
    </row>
    <row r="34" spans="1:21" ht="17.100000000000001" customHeight="1"/>
  </sheetData>
  <mergeCells count="40">
    <mergeCell ref="B33:I33"/>
    <mergeCell ref="M4:T4"/>
    <mergeCell ref="B28:I28"/>
    <mergeCell ref="B29:I29"/>
    <mergeCell ref="B30:I30"/>
    <mergeCell ref="B31:I31"/>
    <mergeCell ref="B32:I32"/>
    <mergeCell ref="B26:I26"/>
    <mergeCell ref="B27:I27"/>
    <mergeCell ref="B8:I8"/>
    <mergeCell ref="B7:I7"/>
    <mergeCell ref="B6:I6"/>
    <mergeCell ref="B11:I11"/>
    <mergeCell ref="B10:I10"/>
    <mergeCell ref="B4:I4"/>
    <mergeCell ref="B9:I9"/>
    <mergeCell ref="B19:I19"/>
    <mergeCell ref="B16:I16"/>
    <mergeCell ref="B15:I15"/>
    <mergeCell ref="B14:I14"/>
    <mergeCell ref="B12:I12"/>
    <mergeCell ref="B18:I18"/>
    <mergeCell ref="B17:I17"/>
    <mergeCell ref="B25:I25"/>
    <mergeCell ref="B24:I24"/>
    <mergeCell ref="B23:I23"/>
    <mergeCell ref="B22:I22"/>
    <mergeCell ref="B20:I20"/>
    <mergeCell ref="B21:I21"/>
    <mergeCell ref="M3:T3"/>
    <mergeCell ref="A1:I1"/>
    <mergeCell ref="B13:I13"/>
    <mergeCell ref="B5:I5"/>
    <mergeCell ref="B3:I3"/>
    <mergeCell ref="M13:T13"/>
    <mergeCell ref="M14:T14"/>
    <mergeCell ref="M17:T17"/>
    <mergeCell ref="M10:T10"/>
    <mergeCell ref="M11:T11"/>
    <mergeCell ref="M12:T12"/>
  </mergeCells>
  <phoneticPr fontId="0" type="noConversion"/>
  <pageMargins left="0.94" right="0.21" top="0.62992125984251968" bottom="0.47244094488188981" header="0.51181102362204722" footer="0.43307086614173229"/>
  <pageSetup paperSize="9" scale="9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/>
  <dimension ref="A1:P96"/>
  <sheetViews>
    <sheetView zoomScaleNormal="100" workbookViewId="0">
      <selection activeCell="Q14" sqref="Q14"/>
    </sheetView>
  </sheetViews>
  <sheetFormatPr defaultRowHeight="12.75"/>
  <cols>
    <col min="1" max="1" width="9.140625" style="611"/>
    <col min="2" max="2" width="4.7109375" style="9" customWidth="1"/>
    <col min="3" max="3" width="5.140625" style="9" customWidth="1"/>
    <col min="4" max="4" width="5" style="9" customWidth="1"/>
    <col min="5" max="5" width="8.7109375" style="18" customWidth="1"/>
    <col min="6" max="6" width="8.7109375" style="616" customWidth="1"/>
    <col min="7" max="7" width="50.7109375" style="9" customWidth="1"/>
    <col min="8" max="12" width="14.7109375" style="64" customWidth="1"/>
    <col min="13" max="13" width="15.7109375" style="64" customWidth="1"/>
    <col min="14" max="14" width="7.7109375" style="680" customWidth="1"/>
    <col min="15" max="16384" width="9.140625" style="9"/>
  </cols>
  <sheetData>
    <row r="1" spans="1:16" ht="13.5" thickBot="1"/>
    <row r="2" spans="1:16" s="1052" customFormat="1" ht="20.100000000000001" customHeight="1" thickTop="1" thickBot="1">
      <c r="B2" s="1261" t="s">
        <v>177</v>
      </c>
      <c r="C2" s="1262"/>
      <c r="D2" s="1262"/>
      <c r="E2" s="1262"/>
      <c r="F2" s="1262"/>
      <c r="G2" s="1262"/>
      <c r="H2" s="1262"/>
      <c r="I2" s="1053"/>
      <c r="J2" s="1053"/>
      <c r="K2" s="1054"/>
      <c r="L2" s="1054"/>
      <c r="M2" s="1054"/>
      <c r="N2" s="1057"/>
    </row>
    <row r="3" spans="1:16" s="1" customFormat="1" ht="8.1" customHeight="1" thickTop="1" thickBot="1">
      <c r="A3" s="608"/>
      <c r="E3" s="2"/>
      <c r="F3" s="609"/>
      <c r="G3" s="1264"/>
      <c r="H3" s="1264"/>
      <c r="I3" s="306"/>
      <c r="J3" s="306"/>
      <c r="K3" s="119"/>
      <c r="L3" s="119"/>
      <c r="M3" s="119"/>
      <c r="N3" s="674"/>
    </row>
    <row r="4" spans="1:16" s="1" customFormat="1" ht="39" customHeight="1">
      <c r="A4" s="608"/>
      <c r="B4" s="1268" t="s">
        <v>78</v>
      </c>
      <c r="C4" s="1280" t="s">
        <v>79</v>
      </c>
      <c r="D4" s="1281" t="s">
        <v>110</v>
      </c>
      <c r="E4" s="1282" t="s">
        <v>615</v>
      </c>
      <c r="F4" s="1273" t="s">
        <v>695</v>
      </c>
      <c r="G4" s="1274" t="s">
        <v>80</v>
      </c>
      <c r="H4" s="1283" t="s">
        <v>614</v>
      </c>
      <c r="I4" s="1284" t="s">
        <v>747</v>
      </c>
      <c r="J4" s="1283" t="s">
        <v>667</v>
      </c>
      <c r="K4" s="1265" t="s">
        <v>682</v>
      </c>
      <c r="L4" s="1266"/>
      <c r="M4" s="1267"/>
      <c r="N4" s="1278" t="s">
        <v>756</v>
      </c>
    </row>
    <row r="5" spans="1:16" s="608" customFormat="1" ht="27" customHeight="1">
      <c r="B5" s="1269"/>
      <c r="C5" s="1271"/>
      <c r="D5" s="1271"/>
      <c r="E5" s="1275"/>
      <c r="F5" s="1271"/>
      <c r="G5" s="1275"/>
      <c r="H5" s="1275"/>
      <c r="I5" s="1275"/>
      <c r="J5" s="1275"/>
      <c r="K5" s="1048" t="s">
        <v>753</v>
      </c>
      <c r="L5" s="1048" t="s">
        <v>754</v>
      </c>
      <c r="M5" s="1059" t="s">
        <v>426</v>
      </c>
      <c r="N5" s="1279"/>
    </row>
    <row r="6" spans="1:16" s="2" customFormat="1" ht="12.95" customHeight="1">
      <c r="A6" s="609"/>
      <c r="B6" s="1181">
        <v>1</v>
      </c>
      <c r="C6" s="661">
        <v>2</v>
      </c>
      <c r="D6" s="661">
        <v>3</v>
      </c>
      <c r="E6" s="661">
        <v>4</v>
      </c>
      <c r="F6" s="661">
        <v>5</v>
      </c>
      <c r="G6" s="661">
        <v>6</v>
      </c>
      <c r="H6" s="661">
        <v>7</v>
      </c>
      <c r="I6" s="661">
        <v>8</v>
      </c>
      <c r="J6" s="661">
        <v>9</v>
      </c>
      <c r="K6" s="661">
        <v>10</v>
      </c>
      <c r="L6" s="661">
        <v>11</v>
      </c>
      <c r="M6" s="1201" t="s">
        <v>755</v>
      </c>
      <c r="N6" s="1183">
        <v>13</v>
      </c>
    </row>
    <row r="7" spans="1:16" s="2" customFormat="1" ht="12.95" customHeight="1">
      <c r="A7" s="609"/>
      <c r="B7" s="6" t="s">
        <v>134</v>
      </c>
      <c r="C7" s="7" t="s">
        <v>81</v>
      </c>
      <c r="D7" s="7" t="s">
        <v>82</v>
      </c>
      <c r="E7" s="5"/>
      <c r="F7" s="610"/>
      <c r="G7" s="5"/>
      <c r="H7" s="110"/>
      <c r="I7" s="110"/>
      <c r="J7" s="110"/>
      <c r="K7" s="110"/>
      <c r="L7" s="110"/>
      <c r="M7" s="1069"/>
      <c r="N7" s="675"/>
    </row>
    <row r="8" spans="1:16" s="1" customFormat="1" ht="12.95" customHeight="1">
      <c r="A8" s="608"/>
      <c r="B8" s="12"/>
      <c r="C8" s="8"/>
      <c r="D8" s="8"/>
      <c r="E8" s="635">
        <v>611000</v>
      </c>
      <c r="F8" s="661"/>
      <c r="G8" s="8" t="s">
        <v>163</v>
      </c>
      <c r="H8" s="256">
        <f>SUM(H9:H11)</f>
        <v>192100</v>
      </c>
      <c r="I8" s="792">
        <v>177990</v>
      </c>
      <c r="J8" s="428">
        <v>130315</v>
      </c>
      <c r="K8" s="256">
        <f>SUM(K9:K11)</f>
        <v>197840</v>
      </c>
      <c r="L8" s="256">
        <f>SUM(L9:L11)</f>
        <v>0</v>
      </c>
      <c r="M8" s="1061">
        <f>SUM(M9:M11)</f>
        <v>197840</v>
      </c>
      <c r="N8" s="676">
        <f>IF(I8=0,"",M8/I8*100)</f>
        <v>111.15231192763639</v>
      </c>
    </row>
    <row r="9" spans="1:16" ht="12.95" customHeight="1">
      <c r="B9" s="10"/>
      <c r="C9" s="11"/>
      <c r="D9" s="11"/>
      <c r="E9" s="636">
        <v>611100</v>
      </c>
      <c r="F9" s="662"/>
      <c r="G9" s="20" t="s">
        <v>204</v>
      </c>
      <c r="H9" s="258">
        <f>143220+1000+11400+4300+350</f>
        <v>160270</v>
      </c>
      <c r="I9" s="793">
        <v>147400</v>
      </c>
      <c r="J9" s="429">
        <v>109193</v>
      </c>
      <c r="K9" s="258">
        <f>148000+1480+3*500+1*9*1580</f>
        <v>165200</v>
      </c>
      <c r="L9" s="258">
        <v>0</v>
      </c>
      <c r="M9" s="1062">
        <f>SUM(K9:L9)</f>
        <v>165200</v>
      </c>
      <c r="N9" s="677">
        <f>IF(I9=0,"",M9/I9*100)</f>
        <v>112.07598371777476</v>
      </c>
    </row>
    <row r="10" spans="1:16" ht="12.95" customHeight="1">
      <c r="B10" s="10"/>
      <c r="C10" s="11"/>
      <c r="D10" s="11"/>
      <c r="E10" s="636">
        <v>611200</v>
      </c>
      <c r="F10" s="662"/>
      <c r="G10" s="11" t="s">
        <v>205</v>
      </c>
      <c r="H10" s="258">
        <f>27060+800+840+1470+1660</f>
        <v>31830</v>
      </c>
      <c r="I10" s="793">
        <v>30590</v>
      </c>
      <c r="J10" s="429">
        <v>21122</v>
      </c>
      <c r="K10" s="258">
        <f>27100+950+3*900+1*9*21*10</f>
        <v>32640</v>
      </c>
      <c r="L10" s="258">
        <v>0</v>
      </c>
      <c r="M10" s="1062">
        <f t="shared" ref="M10:M11" si="0">SUM(K10:L10)</f>
        <v>32640</v>
      </c>
      <c r="N10" s="677">
        <f t="shared" ref="N10:N35" si="1">IF(I10=0,"",M10/I10*100)</f>
        <v>106.70153644982021</v>
      </c>
    </row>
    <row r="11" spans="1:16" ht="12.95" customHeight="1">
      <c r="B11" s="10"/>
      <c r="C11" s="11"/>
      <c r="D11" s="11"/>
      <c r="E11" s="636">
        <v>611200</v>
      </c>
      <c r="F11" s="662"/>
      <c r="G11" s="229" t="s">
        <v>547</v>
      </c>
      <c r="H11" s="255">
        <v>0</v>
      </c>
      <c r="I11" s="791">
        <v>0</v>
      </c>
      <c r="J11" s="427">
        <v>0</v>
      </c>
      <c r="K11" s="255">
        <v>0</v>
      </c>
      <c r="L11" s="255">
        <v>0</v>
      </c>
      <c r="M11" s="1062">
        <f t="shared" si="0"/>
        <v>0</v>
      </c>
      <c r="N11" s="677" t="str">
        <f t="shared" si="1"/>
        <v/>
      </c>
      <c r="P11" s="63"/>
    </row>
    <row r="12" spans="1:16" ht="12.95" customHeight="1">
      <c r="B12" s="10"/>
      <c r="C12" s="11"/>
      <c r="D12" s="11"/>
      <c r="E12" s="636"/>
      <c r="F12" s="662"/>
      <c r="G12" s="11"/>
      <c r="H12" s="256"/>
      <c r="I12" s="792"/>
      <c r="J12" s="428"/>
      <c r="K12" s="256"/>
      <c r="L12" s="256"/>
      <c r="M12" s="1061"/>
      <c r="N12" s="677" t="str">
        <f t="shared" si="1"/>
        <v/>
      </c>
    </row>
    <row r="13" spans="1:16" s="1" customFormat="1" ht="12.95" customHeight="1">
      <c r="A13" s="608"/>
      <c r="B13" s="12"/>
      <c r="C13" s="8"/>
      <c r="D13" s="8"/>
      <c r="E13" s="635">
        <v>612000</v>
      </c>
      <c r="F13" s="661"/>
      <c r="G13" s="8" t="s">
        <v>162</v>
      </c>
      <c r="H13" s="256">
        <f>H14</f>
        <v>17410</v>
      </c>
      <c r="I13" s="792">
        <v>16200</v>
      </c>
      <c r="J13" s="428">
        <v>11959</v>
      </c>
      <c r="K13" s="256">
        <f>K14</f>
        <v>17730</v>
      </c>
      <c r="L13" s="256">
        <f>L14</f>
        <v>0</v>
      </c>
      <c r="M13" s="1061">
        <f>M14</f>
        <v>17730</v>
      </c>
      <c r="N13" s="676">
        <f t="shared" si="1"/>
        <v>109.44444444444446</v>
      </c>
    </row>
    <row r="14" spans="1:16" ht="12.95" customHeight="1">
      <c r="B14" s="10"/>
      <c r="C14" s="11"/>
      <c r="D14" s="11"/>
      <c r="E14" s="636">
        <v>612100</v>
      </c>
      <c r="F14" s="662"/>
      <c r="G14" s="13" t="s">
        <v>83</v>
      </c>
      <c r="H14" s="258">
        <f>15260+400+1250+460+40</f>
        <v>17410</v>
      </c>
      <c r="I14" s="793">
        <v>16200</v>
      </c>
      <c r="J14" s="429">
        <v>11959</v>
      </c>
      <c r="K14" s="258">
        <f>15720+180+3*70+1*9*180</f>
        <v>17730</v>
      </c>
      <c r="L14" s="258">
        <v>0</v>
      </c>
      <c r="M14" s="1062">
        <f>SUM(K14:L14)</f>
        <v>17730</v>
      </c>
      <c r="N14" s="677">
        <f t="shared" si="1"/>
        <v>109.44444444444446</v>
      </c>
    </row>
    <row r="15" spans="1:16" ht="12.95" customHeight="1">
      <c r="B15" s="10"/>
      <c r="C15" s="11"/>
      <c r="D15" s="11"/>
      <c r="E15" s="636"/>
      <c r="F15" s="662"/>
      <c r="G15" s="11"/>
      <c r="H15" s="15"/>
      <c r="I15" s="786"/>
      <c r="J15" s="422"/>
      <c r="K15" s="615"/>
      <c r="L15" s="615"/>
      <c r="M15" s="1064"/>
      <c r="N15" s="677" t="str">
        <f t="shared" si="1"/>
        <v/>
      </c>
    </row>
    <row r="16" spans="1:16" s="1" customFormat="1" ht="12.95" customHeight="1">
      <c r="A16" s="608"/>
      <c r="B16" s="12"/>
      <c r="C16" s="8"/>
      <c r="D16" s="8"/>
      <c r="E16" s="635">
        <v>613000</v>
      </c>
      <c r="F16" s="661"/>
      <c r="G16" s="8" t="s">
        <v>164</v>
      </c>
      <c r="H16" s="35">
        <f>SUM(H17:H27)</f>
        <v>74600</v>
      </c>
      <c r="I16" s="788">
        <v>83450</v>
      </c>
      <c r="J16" s="424">
        <v>21312</v>
      </c>
      <c r="K16" s="620">
        <f>SUM(K17:K27)</f>
        <v>79450</v>
      </c>
      <c r="L16" s="620">
        <f>SUM(L17:L27)</f>
        <v>0</v>
      </c>
      <c r="M16" s="1064">
        <f>SUM(M17:M27)</f>
        <v>79450</v>
      </c>
      <c r="N16" s="676">
        <f t="shared" si="1"/>
        <v>95.206710605152793</v>
      </c>
    </row>
    <row r="17" spans="1:16" ht="12.95" customHeight="1">
      <c r="B17" s="10"/>
      <c r="C17" s="11"/>
      <c r="D17" s="11"/>
      <c r="E17" s="636">
        <v>613100</v>
      </c>
      <c r="F17" s="662"/>
      <c r="G17" s="11" t="s">
        <v>84</v>
      </c>
      <c r="H17" s="31">
        <v>5000</v>
      </c>
      <c r="I17" s="787">
        <v>6500</v>
      </c>
      <c r="J17" s="423">
        <v>4178</v>
      </c>
      <c r="K17" s="978">
        <v>5000</v>
      </c>
      <c r="L17" s="978">
        <v>0</v>
      </c>
      <c r="M17" s="1062">
        <f t="shared" ref="M17:M27" si="2">SUM(K17:L17)</f>
        <v>5000</v>
      </c>
      <c r="N17" s="677">
        <f t="shared" si="1"/>
        <v>76.923076923076934</v>
      </c>
    </row>
    <row r="18" spans="1:16" ht="12.95" customHeight="1">
      <c r="B18" s="10"/>
      <c r="C18" s="11"/>
      <c r="D18" s="11"/>
      <c r="E18" s="636">
        <v>613200</v>
      </c>
      <c r="F18" s="662"/>
      <c r="G18" s="11" t="s">
        <v>85</v>
      </c>
      <c r="H18" s="31">
        <v>0</v>
      </c>
      <c r="I18" s="787">
        <v>0</v>
      </c>
      <c r="J18" s="423">
        <v>0</v>
      </c>
      <c r="K18" s="978">
        <v>0</v>
      </c>
      <c r="L18" s="978">
        <v>0</v>
      </c>
      <c r="M18" s="1062">
        <f t="shared" si="2"/>
        <v>0</v>
      </c>
      <c r="N18" s="677" t="str">
        <f t="shared" si="1"/>
        <v/>
      </c>
    </row>
    <row r="19" spans="1:16" ht="12.95" customHeight="1">
      <c r="B19" s="10"/>
      <c r="C19" s="11"/>
      <c r="D19" s="11"/>
      <c r="E19" s="636">
        <v>613300</v>
      </c>
      <c r="F19" s="662"/>
      <c r="G19" s="20" t="s">
        <v>206</v>
      </c>
      <c r="H19" s="31">
        <v>3500</v>
      </c>
      <c r="I19" s="787">
        <v>3350</v>
      </c>
      <c r="J19" s="423">
        <v>2171</v>
      </c>
      <c r="K19" s="978">
        <v>3350</v>
      </c>
      <c r="L19" s="978">
        <v>0</v>
      </c>
      <c r="M19" s="1062">
        <f t="shared" si="2"/>
        <v>3350</v>
      </c>
      <c r="N19" s="677">
        <f t="shared" si="1"/>
        <v>100</v>
      </c>
    </row>
    <row r="20" spans="1:16" ht="12.95" customHeight="1">
      <c r="B20" s="10"/>
      <c r="C20" s="11"/>
      <c r="D20" s="11"/>
      <c r="E20" s="636">
        <v>613400</v>
      </c>
      <c r="F20" s="662"/>
      <c r="G20" s="11" t="s">
        <v>165</v>
      </c>
      <c r="H20" s="31">
        <v>100</v>
      </c>
      <c r="I20" s="787">
        <v>100</v>
      </c>
      <c r="J20" s="423">
        <v>58</v>
      </c>
      <c r="K20" s="978">
        <v>100</v>
      </c>
      <c r="L20" s="978">
        <v>0</v>
      </c>
      <c r="M20" s="1062">
        <f t="shared" si="2"/>
        <v>100</v>
      </c>
      <c r="N20" s="677">
        <f t="shared" si="1"/>
        <v>100</v>
      </c>
    </row>
    <row r="21" spans="1:16" ht="12.95" customHeight="1">
      <c r="B21" s="10"/>
      <c r="C21" s="11"/>
      <c r="D21" s="11"/>
      <c r="E21" s="636">
        <v>613500</v>
      </c>
      <c r="F21" s="662"/>
      <c r="G21" s="11" t="s">
        <v>86</v>
      </c>
      <c r="H21" s="31">
        <v>0</v>
      </c>
      <c r="I21" s="787">
        <v>0</v>
      </c>
      <c r="J21" s="423">
        <v>0</v>
      </c>
      <c r="K21" s="978">
        <v>0</v>
      </c>
      <c r="L21" s="978">
        <v>0</v>
      </c>
      <c r="M21" s="1062">
        <f t="shared" si="2"/>
        <v>0</v>
      </c>
      <c r="N21" s="677" t="str">
        <f t="shared" si="1"/>
        <v/>
      </c>
    </row>
    <row r="22" spans="1:16" ht="12.95" customHeight="1">
      <c r="B22" s="10"/>
      <c r="C22" s="11"/>
      <c r="D22" s="11"/>
      <c r="E22" s="636">
        <v>613600</v>
      </c>
      <c r="F22" s="662"/>
      <c r="G22" s="20" t="s">
        <v>207</v>
      </c>
      <c r="H22" s="31">
        <v>0</v>
      </c>
      <c r="I22" s="787">
        <v>0</v>
      </c>
      <c r="J22" s="423">
        <v>0</v>
      </c>
      <c r="K22" s="978">
        <v>0</v>
      </c>
      <c r="L22" s="978">
        <v>0</v>
      </c>
      <c r="M22" s="1062">
        <f t="shared" si="2"/>
        <v>0</v>
      </c>
      <c r="N22" s="677" t="str">
        <f t="shared" si="1"/>
        <v/>
      </c>
    </row>
    <row r="23" spans="1:16" ht="12.95" customHeight="1">
      <c r="B23" s="10"/>
      <c r="C23" s="11"/>
      <c r="D23" s="11"/>
      <c r="E23" s="636">
        <v>613700</v>
      </c>
      <c r="F23" s="662"/>
      <c r="G23" s="11" t="s">
        <v>87</v>
      </c>
      <c r="H23" s="31">
        <v>1000</v>
      </c>
      <c r="I23" s="787">
        <v>1500</v>
      </c>
      <c r="J23" s="423">
        <v>1133</v>
      </c>
      <c r="K23" s="978">
        <v>1000</v>
      </c>
      <c r="L23" s="978">
        <v>0</v>
      </c>
      <c r="M23" s="1062">
        <f t="shared" si="2"/>
        <v>1000</v>
      </c>
      <c r="N23" s="677">
        <f t="shared" si="1"/>
        <v>66.666666666666657</v>
      </c>
    </row>
    <row r="24" spans="1:16" ht="12.95" customHeight="1">
      <c r="B24" s="10"/>
      <c r="C24" s="11"/>
      <c r="D24" s="11"/>
      <c r="E24" s="636">
        <v>613800</v>
      </c>
      <c r="F24" s="662"/>
      <c r="G24" s="11" t="s">
        <v>166</v>
      </c>
      <c r="H24" s="31">
        <v>0</v>
      </c>
      <c r="I24" s="787">
        <v>0</v>
      </c>
      <c r="J24" s="423">
        <v>0</v>
      </c>
      <c r="K24" s="978">
        <v>0</v>
      </c>
      <c r="L24" s="978">
        <v>0</v>
      </c>
      <c r="M24" s="1062">
        <f t="shared" si="2"/>
        <v>0</v>
      </c>
      <c r="N24" s="677" t="str">
        <f t="shared" si="1"/>
        <v/>
      </c>
      <c r="P24" s="56"/>
    </row>
    <row r="25" spans="1:16" ht="12.95" customHeight="1">
      <c r="B25" s="10"/>
      <c r="C25" s="11"/>
      <c r="D25" s="11"/>
      <c r="E25" s="636">
        <v>613900</v>
      </c>
      <c r="F25" s="662"/>
      <c r="G25" s="11" t="s">
        <v>167</v>
      </c>
      <c r="H25" s="88">
        <v>15000</v>
      </c>
      <c r="I25" s="790">
        <v>22000</v>
      </c>
      <c r="J25" s="426">
        <v>13772</v>
      </c>
      <c r="K25" s="984">
        <v>20000</v>
      </c>
      <c r="L25" s="984">
        <v>0</v>
      </c>
      <c r="M25" s="1062">
        <f t="shared" si="2"/>
        <v>20000</v>
      </c>
      <c r="N25" s="677">
        <f t="shared" si="1"/>
        <v>90.909090909090907</v>
      </c>
      <c r="P25" s="56"/>
    </row>
    <row r="26" spans="1:16" ht="12.95" customHeight="1">
      <c r="B26" s="10"/>
      <c r="C26" s="11"/>
      <c r="D26" s="11"/>
      <c r="E26" s="636">
        <v>613900</v>
      </c>
      <c r="F26" s="662"/>
      <c r="G26" s="229" t="s">
        <v>548</v>
      </c>
      <c r="H26" s="31">
        <v>0</v>
      </c>
      <c r="I26" s="787">
        <v>0</v>
      </c>
      <c r="J26" s="423">
        <v>0</v>
      </c>
      <c r="K26" s="978">
        <v>0</v>
      </c>
      <c r="L26" s="978">
        <v>0</v>
      </c>
      <c r="M26" s="1062">
        <f t="shared" si="2"/>
        <v>0</v>
      </c>
      <c r="N26" s="677" t="str">
        <f t="shared" si="1"/>
        <v/>
      </c>
    </row>
    <row r="27" spans="1:16" ht="12.95" customHeight="1">
      <c r="B27" s="10"/>
      <c r="C27" s="11"/>
      <c r="D27" s="11"/>
      <c r="E27" s="636">
        <v>613900</v>
      </c>
      <c r="F27" s="662" t="s">
        <v>710</v>
      </c>
      <c r="G27" s="20" t="s">
        <v>565</v>
      </c>
      <c r="H27" s="31">
        <v>50000</v>
      </c>
      <c r="I27" s="787">
        <v>50000</v>
      </c>
      <c r="J27" s="423">
        <v>0</v>
      </c>
      <c r="K27" s="978">
        <v>50000</v>
      </c>
      <c r="L27" s="978">
        <v>0</v>
      </c>
      <c r="M27" s="1062">
        <f t="shared" si="2"/>
        <v>50000</v>
      </c>
      <c r="N27" s="677">
        <f t="shared" si="1"/>
        <v>100</v>
      </c>
    </row>
    <row r="28" spans="1:16" ht="12.95" customHeight="1">
      <c r="B28" s="10"/>
      <c r="C28" s="11"/>
      <c r="D28" s="11"/>
      <c r="E28" s="636"/>
      <c r="F28" s="662"/>
      <c r="G28" s="11"/>
      <c r="H28" s="15"/>
      <c r="I28" s="786"/>
      <c r="J28" s="422"/>
      <c r="K28" s="615"/>
      <c r="L28" s="615"/>
      <c r="M28" s="1064"/>
      <c r="N28" s="677" t="str">
        <f t="shared" si="1"/>
        <v/>
      </c>
    </row>
    <row r="29" spans="1:16" s="1" customFormat="1" ht="12.95" customHeight="1">
      <c r="A29" s="608"/>
      <c r="B29" s="12"/>
      <c r="C29" s="8"/>
      <c r="D29" s="8"/>
      <c r="E29" s="635">
        <v>614000</v>
      </c>
      <c r="F29" s="661"/>
      <c r="G29" s="8" t="s">
        <v>208</v>
      </c>
      <c r="H29" s="15">
        <f>SUM(H30:H30)</f>
        <v>1300000</v>
      </c>
      <c r="I29" s="786">
        <v>1150000</v>
      </c>
      <c r="J29" s="422">
        <v>133070</v>
      </c>
      <c r="K29" s="615">
        <f>SUM(K30:K30)</f>
        <v>1000000</v>
      </c>
      <c r="L29" s="615">
        <f>SUM(L30:L30)</f>
        <v>0</v>
      </c>
      <c r="M29" s="1064">
        <f>SUM(M30:M30)</f>
        <v>1000000</v>
      </c>
      <c r="N29" s="676">
        <f t="shared" si="1"/>
        <v>86.956521739130437</v>
      </c>
    </row>
    <row r="30" spans="1:16" s="1" customFormat="1" ht="12.95" customHeight="1">
      <c r="A30" s="608"/>
      <c r="B30" s="12"/>
      <c r="C30" s="8"/>
      <c r="D30" s="53"/>
      <c r="E30" s="641">
        <v>614500</v>
      </c>
      <c r="F30" s="667" t="s">
        <v>711</v>
      </c>
      <c r="G30" s="86" t="s">
        <v>660</v>
      </c>
      <c r="H30" s="88">
        <v>1300000</v>
      </c>
      <c r="I30" s="790">
        <v>1150000</v>
      </c>
      <c r="J30" s="426">
        <v>133070</v>
      </c>
      <c r="K30" s="623">
        <v>1000000</v>
      </c>
      <c r="L30" s="623">
        <v>0</v>
      </c>
      <c r="M30" s="1062">
        <f>SUM(K30:L30)</f>
        <v>1000000</v>
      </c>
      <c r="N30" s="677">
        <f t="shared" si="1"/>
        <v>86.956521739130437</v>
      </c>
    </row>
    <row r="31" spans="1:16" ht="12.95" customHeight="1">
      <c r="B31" s="10"/>
      <c r="C31" s="11"/>
      <c r="D31" s="11"/>
      <c r="E31" s="636"/>
      <c r="F31" s="662"/>
      <c r="G31" s="20"/>
      <c r="H31" s="88"/>
      <c r="I31" s="790"/>
      <c r="J31" s="426"/>
      <c r="K31" s="623"/>
      <c r="L31" s="623"/>
      <c r="M31" s="1063"/>
      <c r="N31" s="677" t="str">
        <f t="shared" si="1"/>
        <v/>
      </c>
    </row>
    <row r="32" spans="1:16" ht="12.95" customHeight="1">
      <c r="B32" s="12"/>
      <c r="C32" s="8"/>
      <c r="D32" s="8"/>
      <c r="E32" s="635">
        <v>821000</v>
      </c>
      <c r="F32" s="661"/>
      <c r="G32" s="8" t="s">
        <v>90</v>
      </c>
      <c r="H32" s="79">
        <f>SUM(H33:H34)</f>
        <v>1000</v>
      </c>
      <c r="I32" s="789">
        <v>1000</v>
      </c>
      <c r="J32" s="425">
        <v>410</v>
      </c>
      <c r="K32" s="622">
        <f>SUM(K33:K34)</f>
        <v>1000</v>
      </c>
      <c r="L32" s="622">
        <f>SUM(L33:L34)</f>
        <v>0</v>
      </c>
      <c r="M32" s="1064">
        <f>SUM(M33:M34)</f>
        <v>1000</v>
      </c>
      <c r="N32" s="676">
        <f t="shared" si="1"/>
        <v>100</v>
      </c>
    </row>
    <row r="33" spans="1:14" ht="12.95" customHeight="1">
      <c r="B33" s="10"/>
      <c r="C33" s="11"/>
      <c r="D33" s="11"/>
      <c r="E33" s="636">
        <v>821200</v>
      </c>
      <c r="F33" s="662"/>
      <c r="G33" s="11" t="s">
        <v>91</v>
      </c>
      <c r="H33" s="88">
        <v>0</v>
      </c>
      <c r="I33" s="790">
        <v>0</v>
      </c>
      <c r="J33" s="426">
        <v>0</v>
      </c>
      <c r="K33" s="623">
        <v>0</v>
      </c>
      <c r="L33" s="623">
        <v>0</v>
      </c>
      <c r="M33" s="1062">
        <f t="shared" ref="M33:M34" si="3">SUM(K33:L33)</f>
        <v>0</v>
      </c>
      <c r="N33" s="677" t="str">
        <f t="shared" si="1"/>
        <v/>
      </c>
    </row>
    <row r="34" spans="1:14" ht="12.95" customHeight="1">
      <c r="B34" s="10"/>
      <c r="C34" s="11"/>
      <c r="D34" s="11"/>
      <c r="E34" s="636">
        <v>821300</v>
      </c>
      <c r="F34" s="662"/>
      <c r="G34" s="11" t="s">
        <v>92</v>
      </c>
      <c r="H34" s="88">
        <v>1000</v>
      </c>
      <c r="I34" s="790">
        <v>1000</v>
      </c>
      <c r="J34" s="426">
        <v>410</v>
      </c>
      <c r="K34" s="623">
        <v>1000</v>
      </c>
      <c r="L34" s="623">
        <v>0</v>
      </c>
      <c r="M34" s="1062">
        <f t="shared" si="3"/>
        <v>1000</v>
      </c>
      <c r="N34" s="677">
        <f>IF(I34=0,"",M34/I34*100)</f>
        <v>100</v>
      </c>
    </row>
    <row r="35" spans="1:14" ht="12.95" customHeight="1">
      <c r="B35" s="10"/>
      <c r="C35" s="11"/>
      <c r="D35" s="11"/>
      <c r="E35" s="636"/>
      <c r="F35" s="662"/>
      <c r="G35" s="11"/>
      <c r="H35" s="31"/>
      <c r="I35" s="787"/>
      <c r="J35" s="423"/>
      <c r="K35" s="618"/>
      <c r="L35" s="618"/>
      <c r="M35" s="1063"/>
      <c r="N35" s="677" t="str">
        <f t="shared" si="1"/>
        <v/>
      </c>
    </row>
    <row r="36" spans="1:14" ht="12.95" customHeight="1">
      <c r="B36" s="12"/>
      <c r="C36" s="8"/>
      <c r="D36" s="8"/>
      <c r="E36" s="635"/>
      <c r="F36" s="661"/>
      <c r="G36" s="8" t="s">
        <v>93</v>
      </c>
      <c r="H36" s="79">
        <v>8</v>
      </c>
      <c r="I36" s="789">
        <v>7</v>
      </c>
      <c r="J36" s="425">
        <v>7</v>
      </c>
      <c r="K36" s="622">
        <v>8</v>
      </c>
      <c r="L36" s="622"/>
      <c r="M36" s="1064">
        <v>8</v>
      </c>
      <c r="N36" s="677"/>
    </row>
    <row r="37" spans="1:14" ht="12.95" customHeight="1">
      <c r="B37" s="12"/>
      <c r="C37" s="8"/>
      <c r="D37" s="8"/>
      <c r="E37" s="635"/>
      <c r="F37" s="661"/>
      <c r="G37" s="8" t="s">
        <v>113</v>
      </c>
      <c r="H37" s="15">
        <f>H8+H13+H16+H29+H32</f>
        <v>1585110</v>
      </c>
      <c r="I37" s="15">
        <f>I8+I13+I16+I29+I32</f>
        <v>1428640</v>
      </c>
      <c r="J37" s="15">
        <f t="shared" ref="J37" si="4">J8+J13+J16+J29+J32</f>
        <v>297066</v>
      </c>
      <c r="K37" s="615">
        <f>K8+K13+K16+K29+K32</f>
        <v>1296020</v>
      </c>
      <c r="L37" s="615">
        <f>L8+L13+L16+L29+L32</f>
        <v>0</v>
      </c>
      <c r="M37" s="1064">
        <f>M8+M13+M16+M29+M32</f>
        <v>1296020</v>
      </c>
      <c r="N37" s="676">
        <f>IF(I37=0,"",M37/I37*100)</f>
        <v>90.717045581812073</v>
      </c>
    </row>
    <row r="38" spans="1:14" ht="12.95" customHeight="1">
      <c r="B38" s="12"/>
      <c r="C38" s="8"/>
      <c r="D38" s="8"/>
      <c r="E38" s="635"/>
      <c r="F38" s="661"/>
      <c r="G38" s="8" t="s">
        <v>94</v>
      </c>
      <c r="H38" s="15">
        <f>H37</f>
        <v>1585110</v>
      </c>
      <c r="I38" s="15">
        <f>I37</f>
        <v>1428640</v>
      </c>
      <c r="J38" s="15">
        <f t="shared" ref="J38" si="5">J37</f>
        <v>297066</v>
      </c>
      <c r="K38" s="615">
        <f t="shared" ref="K38:M39" si="6">K37</f>
        <v>1296020</v>
      </c>
      <c r="L38" s="615">
        <f t="shared" si="6"/>
        <v>0</v>
      </c>
      <c r="M38" s="1064">
        <f t="shared" si="6"/>
        <v>1296020</v>
      </c>
      <c r="N38" s="676">
        <f t="shared" ref="N38:N39" si="7">IF(I38=0,"",M38/I38*100)</f>
        <v>90.717045581812073</v>
      </c>
    </row>
    <row r="39" spans="1:14" s="1" customFormat="1" ht="12.95" customHeight="1">
      <c r="A39" s="608"/>
      <c r="B39" s="12"/>
      <c r="C39" s="8"/>
      <c r="D39" s="8"/>
      <c r="E39" s="635"/>
      <c r="F39" s="661"/>
      <c r="G39" s="8" t="s">
        <v>95</v>
      </c>
      <c r="H39" s="15">
        <f>H38</f>
        <v>1585110</v>
      </c>
      <c r="I39" s="15">
        <f>I38</f>
        <v>1428640</v>
      </c>
      <c r="J39" s="15">
        <f t="shared" ref="J39" si="8">J38</f>
        <v>297066</v>
      </c>
      <c r="K39" s="615">
        <f t="shared" si="6"/>
        <v>1296020</v>
      </c>
      <c r="L39" s="615">
        <f t="shared" si="6"/>
        <v>0</v>
      </c>
      <c r="M39" s="1064">
        <f t="shared" si="6"/>
        <v>1296020</v>
      </c>
      <c r="N39" s="676">
        <f t="shared" si="7"/>
        <v>90.717045581812073</v>
      </c>
    </row>
    <row r="40" spans="1:14" s="1" customFormat="1" ht="12.95" customHeight="1" thickBot="1">
      <c r="A40" s="608"/>
      <c r="B40" s="16"/>
      <c r="C40" s="17"/>
      <c r="D40" s="17"/>
      <c r="E40" s="637"/>
      <c r="F40" s="663"/>
      <c r="G40" s="17"/>
      <c r="H40" s="32"/>
      <c r="I40" s="32"/>
      <c r="J40" s="32"/>
      <c r="K40" s="32"/>
      <c r="L40" s="32"/>
      <c r="M40" s="1067"/>
      <c r="N40" s="679"/>
    </row>
    <row r="41" spans="1:14" s="1" customFormat="1" ht="12.95" customHeight="1">
      <c r="A41" s="608"/>
      <c r="B41" s="9"/>
      <c r="C41" s="9"/>
      <c r="D41" s="9"/>
      <c r="E41" s="638"/>
      <c r="F41" s="664"/>
      <c r="G41" s="56"/>
      <c r="H41" s="64"/>
      <c r="I41" s="64"/>
      <c r="J41" s="64"/>
      <c r="K41" s="64"/>
      <c r="L41" s="64"/>
      <c r="M41" s="1070"/>
      <c r="N41" s="680"/>
    </row>
    <row r="42" spans="1:14" s="1" customFormat="1" ht="12.95" customHeight="1">
      <c r="A42" s="608"/>
      <c r="B42" s="56"/>
      <c r="C42" s="9"/>
      <c r="D42" s="9"/>
      <c r="E42" s="638"/>
      <c r="F42" s="664"/>
      <c r="G42" s="9"/>
      <c r="H42" s="64"/>
      <c r="I42" s="64"/>
      <c r="J42" s="64"/>
      <c r="K42" s="64"/>
      <c r="L42" s="64"/>
      <c r="M42" s="1070"/>
      <c r="N42" s="680"/>
    </row>
    <row r="43" spans="1:14" ht="12.95" customHeight="1">
      <c r="B43" s="56"/>
      <c r="E43" s="638"/>
      <c r="F43" s="664"/>
      <c r="M43" s="1070"/>
    </row>
    <row r="44" spans="1:14" ht="12.95" customHeight="1">
      <c r="B44" s="56"/>
      <c r="E44" s="638"/>
      <c r="F44" s="664"/>
      <c r="M44" s="1070"/>
    </row>
    <row r="45" spans="1:14" ht="12.95" customHeight="1">
      <c r="B45" s="56"/>
      <c r="E45" s="638"/>
      <c r="F45" s="664"/>
      <c r="M45" s="1070"/>
    </row>
    <row r="46" spans="1:14" ht="12.95" customHeight="1">
      <c r="E46" s="638"/>
      <c r="F46" s="664"/>
      <c r="M46" s="1070"/>
    </row>
    <row r="47" spans="1:14" ht="12.95" customHeight="1">
      <c r="E47" s="638"/>
      <c r="F47" s="664"/>
      <c r="M47" s="1070"/>
    </row>
    <row r="48" spans="1:14" ht="12.95" customHeight="1">
      <c r="E48" s="638"/>
      <c r="F48" s="664"/>
      <c r="M48" s="1070"/>
    </row>
    <row r="49" spans="5:13" ht="12.95" customHeight="1">
      <c r="E49" s="638"/>
      <c r="F49" s="664"/>
      <c r="M49" s="1070"/>
    </row>
    <row r="50" spans="5:13" ht="12.95" customHeight="1">
      <c r="E50" s="638"/>
      <c r="F50" s="664"/>
      <c r="M50" s="1070"/>
    </row>
    <row r="51" spans="5:13" ht="12.95" customHeight="1">
      <c r="E51" s="638"/>
      <c r="F51" s="664"/>
      <c r="M51" s="1070"/>
    </row>
    <row r="52" spans="5:13" ht="12.95" customHeight="1">
      <c r="E52" s="638"/>
      <c r="F52" s="664"/>
      <c r="M52" s="1070"/>
    </row>
    <row r="53" spans="5:13" ht="12.95" customHeight="1">
      <c r="E53" s="638"/>
      <c r="F53" s="664"/>
      <c r="M53" s="1070"/>
    </row>
    <row r="54" spans="5:13" ht="12.95" customHeight="1">
      <c r="E54" s="638"/>
      <c r="F54" s="664"/>
      <c r="M54" s="1070"/>
    </row>
    <row r="55" spans="5:13" ht="12.95" customHeight="1">
      <c r="E55" s="638"/>
      <c r="F55" s="664"/>
      <c r="M55" s="1070"/>
    </row>
    <row r="56" spans="5:13" ht="12.95" customHeight="1">
      <c r="E56" s="638"/>
      <c r="F56" s="664"/>
      <c r="M56" s="1070"/>
    </row>
    <row r="57" spans="5:13" ht="12.95" customHeight="1">
      <c r="E57" s="638"/>
      <c r="F57" s="664"/>
      <c r="M57" s="1070"/>
    </row>
    <row r="58" spans="5:13" ht="12.95" customHeight="1">
      <c r="E58" s="638"/>
      <c r="F58" s="664"/>
      <c r="M58" s="1070"/>
    </row>
    <row r="59" spans="5:13" ht="12.95" customHeight="1">
      <c r="E59" s="638"/>
      <c r="F59" s="664"/>
      <c r="M59" s="1070"/>
    </row>
    <row r="60" spans="5:13" ht="17.100000000000001" customHeight="1">
      <c r="E60" s="638"/>
      <c r="F60" s="664"/>
      <c r="M60" s="1070"/>
    </row>
    <row r="61" spans="5:13" ht="14.25">
      <c r="E61" s="638"/>
      <c r="F61" s="664"/>
      <c r="M61" s="1070"/>
    </row>
    <row r="62" spans="5:13" ht="14.25">
      <c r="E62" s="638"/>
      <c r="F62" s="664"/>
      <c r="M62" s="1070"/>
    </row>
    <row r="63" spans="5:13" ht="14.25">
      <c r="E63" s="638"/>
      <c r="F63" s="664"/>
      <c r="M63" s="1070"/>
    </row>
    <row r="64" spans="5:13" ht="14.25">
      <c r="E64" s="638"/>
      <c r="F64" s="664"/>
      <c r="M64" s="1070"/>
    </row>
    <row r="65" spans="5:13" ht="14.25">
      <c r="E65" s="638"/>
      <c r="F65" s="664"/>
      <c r="M65" s="1070"/>
    </row>
    <row r="66" spans="5:13" ht="14.25">
      <c r="E66" s="638"/>
      <c r="F66" s="664"/>
      <c r="M66" s="1070"/>
    </row>
    <row r="67" spans="5:13" ht="14.25">
      <c r="E67" s="638"/>
      <c r="F67" s="664"/>
      <c r="M67" s="1070"/>
    </row>
    <row r="68" spans="5:13" ht="14.25">
      <c r="E68" s="638"/>
      <c r="F68" s="664"/>
      <c r="M68" s="1070"/>
    </row>
    <row r="69" spans="5:13" ht="14.25">
      <c r="E69" s="638"/>
      <c r="F69" s="664"/>
      <c r="M69" s="1070"/>
    </row>
    <row r="70" spans="5:13" ht="14.25">
      <c r="E70" s="638"/>
      <c r="F70" s="664"/>
      <c r="M70" s="1070"/>
    </row>
    <row r="71" spans="5:13" ht="14.25">
      <c r="E71" s="638"/>
      <c r="F71" s="664"/>
      <c r="M71" s="1070"/>
    </row>
    <row r="72" spans="5:13" ht="14.25">
      <c r="E72" s="638"/>
      <c r="F72" s="664"/>
      <c r="M72" s="1070"/>
    </row>
    <row r="73" spans="5:13" ht="14.25">
      <c r="E73" s="638"/>
      <c r="F73" s="664"/>
      <c r="M73" s="1070"/>
    </row>
    <row r="74" spans="5:13" ht="14.25">
      <c r="E74" s="638"/>
      <c r="F74" s="638"/>
      <c r="M74" s="1070"/>
    </row>
    <row r="75" spans="5:13" ht="14.25">
      <c r="E75" s="638"/>
      <c r="F75" s="638"/>
      <c r="M75" s="1070"/>
    </row>
    <row r="76" spans="5:13" ht="14.25">
      <c r="E76" s="638"/>
      <c r="F76" s="638"/>
      <c r="M76" s="1070"/>
    </row>
    <row r="77" spans="5:13" ht="14.25">
      <c r="E77" s="638"/>
      <c r="F77" s="638"/>
      <c r="M77" s="1070"/>
    </row>
    <row r="78" spans="5:13" ht="14.25">
      <c r="E78" s="638"/>
      <c r="F78" s="638"/>
      <c r="M78" s="1070"/>
    </row>
    <row r="79" spans="5:13" ht="14.25">
      <c r="E79" s="638"/>
      <c r="F79" s="638"/>
      <c r="M79" s="1070"/>
    </row>
    <row r="80" spans="5:13" ht="14.25">
      <c r="E80" s="638"/>
      <c r="F80" s="638"/>
      <c r="M80" s="1070"/>
    </row>
    <row r="81" spans="5:13" ht="14.25">
      <c r="E81" s="638"/>
      <c r="F81" s="638"/>
      <c r="M81" s="1070"/>
    </row>
    <row r="82" spans="5:13" ht="14.25">
      <c r="E82" s="638"/>
      <c r="F82" s="638"/>
      <c r="M82" s="1070"/>
    </row>
    <row r="83" spans="5:13" ht="14.25">
      <c r="E83" s="638"/>
      <c r="F83" s="638"/>
      <c r="M83" s="1070"/>
    </row>
    <row r="84" spans="5:13" ht="14.25">
      <c r="E84" s="638"/>
      <c r="F84" s="638"/>
      <c r="M84" s="1070"/>
    </row>
    <row r="85" spans="5:13" ht="14.25">
      <c r="E85" s="638"/>
      <c r="F85" s="638"/>
      <c r="M85" s="1070"/>
    </row>
    <row r="86" spans="5:13" ht="14.25">
      <c r="E86" s="638"/>
      <c r="F86" s="638"/>
      <c r="M86" s="1070"/>
    </row>
    <row r="87" spans="5:13" ht="14.25">
      <c r="E87" s="638"/>
      <c r="F87" s="638"/>
      <c r="M87" s="1070"/>
    </row>
    <row r="88" spans="5:13" ht="14.25">
      <c r="E88" s="638"/>
      <c r="F88" s="638"/>
      <c r="M88" s="1070"/>
    </row>
    <row r="89" spans="5:13" ht="14.25">
      <c r="E89" s="638"/>
      <c r="F89" s="638"/>
      <c r="M89" s="1070"/>
    </row>
    <row r="90" spans="5:13" ht="14.25">
      <c r="E90" s="638"/>
      <c r="F90" s="638"/>
      <c r="M90" s="1070"/>
    </row>
    <row r="91" spans="5:13">
      <c r="F91" s="638"/>
    </row>
    <row r="92" spans="5:13">
      <c r="F92" s="638"/>
    </row>
    <row r="93" spans="5:13">
      <c r="F93" s="638"/>
    </row>
    <row r="94" spans="5:13">
      <c r="F94" s="638"/>
    </row>
    <row r="95" spans="5:13">
      <c r="F95" s="638"/>
    </row>
    <row r="96" spans="5:13">
      <c r="F96" s="638"/>
    </row>
  </sheetData>
  <mergeCells count="13">
    <mergeCell ref="N4:N5"/>
    <mergeCell ref="G4:G5"/>
    <mergeCell ref="B2:H2"/>
    <mergeCell ref="G3:H3"/>
    <mergeCell ref="K4:M4"/>
    <mergeCell ref="B4:B5"/>
    <mergeCell ref="C4:C5"/>
    <mergeCell ref="D4:D5"/>
    <mergeCell ref="F4:F5"/>
    <mergeCell ref="E4:E5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/>
  <dimension ref="A1:P96"/>
  <sheetViews>
    <sheetView topLeftCell="A4" zoomScaleNormal="100" workbookViewId="0">
      <selection activeCell="Q14" sqref="Q14"/>
    </sheetView>
  </sheetViews>
  <sheetFormatPr defaultRowHeight="12.75"/>
  <cols>
    <col min="1" max="1" width="9.140625" style="611"/>
    <col min="2" max="2" width="4.7109375" style="9" customWidth="1"/>
    <col min="3" max="3" width="5.140625" style="9" customWidth="1"/>
    <col min="4" max="4" width="5" style="9" customWidth="1"/>
    <col min="5" max="5" width="8.7109375" style="18" customWidth="1"/>
    <col min="6" max="6" width="8.7109375" style="616" customWidth="1"/>
    <col min="7" max="7" width="50.7109375" style="9" customWidth="1"/>
    <col min="8" max="10" width="14.7109375" style="9" customWidth="1"/>
    <col min="11" max="12" width="14.7109375" style="611" customWidth="1"/>
    <col min="13" max="13" width="15.7109375" style="9" customWidth="1"/>
    <col min="14" max="14" width="7.7109375" style="680" customWidth="1"/>
    <col min="15" max="15" width="11" style="9" bestFit="1" customWidth="1"/>
    <col min="16" max="16384" width="9.140625" style="9"/>
  </cols>
  <sheetData>
    <row r="1" spans="1:16" ht="13.5" thickBot="1"/>
    <row r="2" spans="1:16" s="126" customFormat="1" ht="20.100000000000001" customHeight="1" thickTop="1" thickBot="1">
      <c r="B2" s="1261" t="s">
        <v>136</v>
      </c>
      <c r="C2" s="1262"/>
      <c r="D2" s="1262"/>
      <c r="E2" s="1262"/>
      <c r="F2" s="1262"/>
      <c r="G2" s="1262"/>
      <c r="H2" s="1262"/>
      <c r="I2" s="1262"/>
      <c r="J2" s="1262"/>
      <c r="K2" s="1262"/>
      <c r="L2" s="1262"/>
      <c r="M2" s="1262"/>
      <c r="N2" s="1056"/>
    </row>
    <row r="3" spans="1:16" s="1" customFormat="1" ht="8.1" customHeight="1" thickTop="1" thickBot="1">
      <c r="A3" s="608"/>
      <c r="E3" s="2"/>
      <c r="F3" s="609"/>
      <c r="G3" s="1264"/>
      <c r="H3" s="1264"/>
      <c r="I3" s="306"/>
      <c r="J3" s="306"/>
      <c r="K3" s="1043"/>
      <c r="L3" s="1043"/>
      <c r="M3" s="1043"/>
      <c r="N3" s="674"/>
      <c r="O3" s="1044"/>
    </row>
    <row r="4" spans="1:16" s="1" customFormat="1" ht="39" customHeight="1">
      <c r="A4" s="608"/>
      <c r="B4" s="1268" t="s">
        <v>78</v>
      </c>
      <c r="C4" s="1280" t="s">
        <v>79</v>
      </c>
      <c r="D4" s="1281" t="s">
        <v>110</v>
      </c>
      <c r="E4" s="1282" t="s">
        <v>615</v>
      </c>
      <c r="F4" s="1273" t="s">
        <v>695</v>
      </c>
      <c r="G4" s="1274" t="s">
        <v>80</v>
      </c>
      <c r="H4" s="1283" t="s">
        <v>614</v>
      </c>
      <c r="I4" s="1284" t="s">
        <v>747</v>
      </c>
      <c r="J4" s="1283" t="s">
        <v>667</v>
      </c>
      <c r="K4" s="1265" t="s">
        <v>682</v>
      </c>
      <c r="L4" s="1266"/>
      <c r="M4" s="1267"/>
      <c r="N4" s="1278" t="s">
        <v>756</v>
      </c>
    </row>
    <row r="5" spans="1:16" s="608" customFormat="1" ht="27" customHeight="1">
      <c r="B5" s="1269"/>
      <c r="C5" s="1271"/>
      <c r="D5" s="1271"/>
      <c r="E5" s="1275"/>
      <c r="F5" s="1271"/>
      <c r="G5" s="1275"/>
      <c r="H5" s="1275"/>
      <c r="I5" s="1275"/>
      <c r="J5" s="1275"/>
      <c r="K5" s="1048" t="s">
        <v>753</v>
      </c>
      <c r="L5" s="1048" t="s">
        <v>754</v>
      </c>
      <c r="M5" s="1059" t="s">
        <v>426</v>
      </c>
      <c r="N5" s="1279"/>
    </row>
    <row r="6" spans="1:16" s="2" customFormat="1" ht="12.95" customHeight="1">
      <c r="A6" s="609"/>
      <c r="B6" s="1181">
        <v>1</v>
      </c>
      <c r="C6" s="661">
        <v>2</v>
      </c>
      <c r="D6" s="661">
        <v>3</v>
      </c>
      <c r="E6" s="661">
        <v>4</v>
      </c>
      <c r="F6" s="661">
        <v>5</v>
      </c>
      <c r="G6" s="661">
        <v>6</v>
      </c>
      <c r="H6" s="661">
        <v>7</v>
      </c>
      <c r="I6" s="661">
        <v>8</v>
      </c>
      <c r="J6" s="661">
        <v>9</v>
      </c>
      <c r="K6" s="661">
        <v>10</v>
      </c>
      <c r="L6" s="661">
        <v>11</v>
      </c>
      <c r="M6" s="1201" t="s">
        <v>755</v>
      </c>
      <c r="N6" s="1183">
        <v>13</v>
      </c>
    </row>
    <row r="7" spans="1:16" s="2" customFormat="1" ht="12.95" customHeight="1">
      <c r="A7" s="609"/>
      <c r="B7" s="6" t="s">
        <v>135</v>
      </c>
      <c r="C7" s="7" t="s">
        <v>81</v>
      </c>
      <c r="D7" s="7" t="s">
        <v>82</v>
      </c>
      <c r="E7" s="5"/>
      <c r="F7" s="610"/>
      <c r="G7" s="5"/>
      <c r="H7" s="5"/>
      <c r="I7" s="5"/>
      <c r="J7" s="5"/>
      <c r="K7" s="610"/>
      <c r="L7" s="610"/>
      <c r="M7" s="1060"/>
      <c r="N7" s="675"/>
    </row>
    <row r="8" spans="1:16" s="2" customFormat="1" ht="12.95" customHeight="1">
      <c r="A8" s="609"/>
      <c r="B8" s="6"/>
      <c r="C8" s="7"/>
      <c r="D8" s="7"/>
      <c r="E8" s="635">
        <v>600000</v>
      </c>
      <c r="F8" s="661"/>
      <c r="G8" s="21" t="s">
        <v>120</v>
      </c>
      <c r="H8" s="19">
        <f>H9</f>
        <v>15000</v>
      </c>
      <c r="I8" s="795">
        <v>15000</v>
      </c>
      <c r="J8" s="431">
        <v>8200</v>
      </c>
      <c r="K8" s="556">
        <f>K9</f>
        <v>15000</v>
      </c>
      <c r="L8" s="556">
        <f>L9</f>
        <v>0</v>
      </c>
      <c r="M8" s="1066">
        <f>M9</f>
        <v>15000</v>
      </c>
      <c r="N8" s="676">
        <f>IF(I8=0,"",M8/I8*100)</f>
        <v>100</v>
      </c>
    </row>
    <row r="9" spans="1:16" s="2" customFormat="1" ht="12.95" customHeight="1">
      <c r="A9" s="609"/>
      <c r="B9" s="6"/>
      <c r="C9" s="7"/>
      <c r="D9" s="7"/>
      <c r="E9" s="636">
        <v>600000</v>
      </c>
      <c r="F9" s="662"/>
      <c r="G9" s="41" t="s">
        <v>109</v>
      </c>
      <c r="H9" s="57">
        <v>15000</v>
      </c>
      <c r="I9" s="798">
        <v>15000</v>
      </c>
      <c r="J9" s="434">
        <v>8200</v>
      </c>
      <c r="K9" s="595">
        <v>15000</v>
      </c>
      <c r="L9" s="595">
        <v>0</v>
      </c>
      <c r="M9" s="1063">
        <f>SUM(K9:L9)</f>
        <v>15000</v>
      </c>
      <c r="N9" s="677">
        <f>IF(I9=0,"",M9/I9*100)</f>
        <v>100</v>
      </c>
    </row>
    <row r="10" spans="1:16" s="2" customFormat="1" ht="12.95" customHeight="1">
      <c r="A10" s="609"/>
      <c r="B10" s="6"/>
      <c r="C10" s="7"/>
      <c r="D10" s="7"/>
      <c r="E10" s="635"/>
      <c r="F10" s="661"/>
      <c r="G10" s="5"/>
      <c r="H10" s="57"/>
      <c r="I10" s="798"/>
      <c r="J10" s="434"/>
      <c r="K10" s="595"/>
      <c r="L10" s="595"/>
      <c r="M10" s="1063"/>
      <c r="N10" s="677" t="str">
        <f t="shared" ref="N10:N33" si="0">IF(I10=0,"",M10/I10*100)</f>
        <v/>
      </c>
    </row>
    <row r="11" spans="1:16" s="1" customFormat="1" ht="12.95" customHeight="1">
      <c r="A11" s="608"/>
      <c r="B11" s="12"/>
      <c r="C11" s="8"/>
      <c r="D11" s="8"/>
      <c r="E11" s="635">
        <v>611000</v>
      </c>
      <c r="F11" s="661"/>
      <c r="G11" s="8" t="s">
        <v>163</v>
      </c>
      <c r="H11" s="256">
        <f>SUM(H12:H14)</f>
        <v>386910</v>
      </c>
      <c r="I11" s="804">
        <v>368650</v>
      </c>
      <c r="J11" s="440">
        <v>266921</v>
      </c>
      <c r="K11" s="256">
        <f>SUM(K12:K14)</f>
        <v>384770</v>
      </c>
      <c r="L11" s="256">
        <f>SUM(L12:L14)</f>
        <v>0</v>
      </c>
      <c r="M11" s="1061">
        <f>SUM(M12:M14)</f>
        <v>384770</v>
      </c>
      <c r="N11" s="676">
        <f t="shared" si="0"/>
        <v>104.37271124372711</v>
      </c>
    </row>
    <row r="12" spans="1:16" ht="12.95" customHeight="1">
      <c r="B12" s="10"/>
      <c r="C12" s="11"/>
      <c r="D12" s="11"/>
      <c r="E12" s="636">
        <v>611100</v>
      </c>
      <c r="F12" s="662"/>
      <c r="G12" s="20" t="s">
        <v>204</v>
      </c>
      <c r="H12" s="258">
        <f>306460+2000+9200</f>
        <v>317660</v>
      </c>
      <c r="I12" s="805">
        <v>298100</v>
      </c>
      <c r="J12" s="441">
        <v>216906</v>
      </c>
      <c r="K12" s="258">
        <f>301000+3120+1*7*1980</f>
        <v>317980</v>
      </c>
      <c r="L12" s="258">
        <v>0</v>
      </c>
      <c r="M12" s="1063">
        <f t="shared" ref="M12:M14" si="1">SUM(K12:L12)</f>
        <v>317980</v>
      </c>
      <c r="N12" s="677">
        <f t="shared" si="0"/>
        <v>106.66890305266689</v>
      </c>
    </row>
    <row r="13" spans="1:16" ht="12.95" customHeight="1">
      <c r="B13" s="10"/>
      <c r="C13" s="11"/>
      <c r="D13" s="11"/>
      <c r="E13" s="636">
        <v>611200</v>
      </c>
      <c r="F13" s="662"/>
      <c r="G13" s="11" t="s">
        <v>205</v>
      </c>
      <c r="H13" s="255">
        <f>62550+2000+4700</f>
        <v>69250</v>
      </c>
      <c r="I13" s="803">
        <v>70550</v>
      </c>
      <c r="J13" s="439">
        <v>50015</v>
      </c>
      <c r="K13" s="255">
        <f>62350+900+900+7*320+400</f>
        <v>66790</v>
      </c>
      <c r="L13" s="255">
        <v>0</v>
      </c>
      <c r="M13" s="1063">
        <f t="shared" si="1"/>
        <v>66790</v>
      </c>
      <c r="N13" s="677">
        <f t="shared" si="0"/>
        <v>94.670446491849745</v>
      </c>
    </row>
    <row r="14" spans="1:16" ht="12.95" customHeight="1">
      <c r="B14" s="10"/>
      <c r="C14" s="11"/>
      <c r="D14" s="11"/>
      <c r="E14" s="636">
        <v>611200</v>
      </c>
      <c r="F14" s="662"/>
      <c r="G14" s="229" t="s">
        <v>547</v>
      </c>
      <c r="H14" s="255">
        <v>0</v>
      </c>
      <c r="I14" s="803">
        <v>0</v>
      </c>
      <c r="J14" s="439">
        <v>0</v>
      </c>
      <c r="K14" s="255">
        <v>0</v>
      </c>
      <c r="L14" s="255">
        <v>0</v>
      </c>
      <c r="M14" s="1063">
        <f t="shared" si="1"/>
        <v>0</v>
      </c>
      <c r="N14" s="677" t="str">
        <f t="shared" si="0"/>
        <v/>
      </c>
      <c r="P14" s="63"/>
    </row>
    <row r="15" spans="1:16" ht="12.95" customHeight="1">
      <c r="B15" s="10"/>
      <c r="C15" s="11"/>
      <c r="D15" s="11"/>
      <c r="E15" s="636"/>
      <c r="F15" s="662"/>
      <c r="G15" s="20"/>
      <c r="H15" s="255"/>
      <c r="I15" s="803"/>
      <c r="J15" s="439"/>
      <c r="K15" s="255"/>
      <c r="L15" s="255"/>
      <c r="M15" s="1062"/>
      <c r="N15" s="677" t="str">
        <f t="shared" si="0"/>
        <v/>
      </c>
    </row>
    <row r="16" spans="1:16" s="1" customFormat="1" ht="12.95" customHeight="1">
      <c r="A16" s="608"/>
      <c r="B16" s="12"/>
      <c r="C16" s="8"/>
      <c r="D16" s="8"/>
      <c r="E16" s="635">
        <v>612000</v>
      </c>
      <c r="F16" s="661"/>
      <c r="G16" s="8" t="s">
        <v>162</v>
      </c>
      <c r="H16" s="256">
        <f>H17+H18</f>
        <v>34240</v>
      </c>
      <c r="I16" s="804">
        <v>32800</v>
      </c>
      <c r="J16" s="440">
        <v>23436</v>
      </c>
      <c r="K16" s="256">
        <f>K17+K18</f>
        <v>35150</v>
      </c>
      <c r="L16" s="256">
        <f>L17+L18</f>
        <v>0</v>
      </c>
      <c r="M16" s="1061">
        <f>M17+M18</f>
        <v>35150</v>
      </c>
      <c r="N16" s="676">
        <f t="shared" si="0"/>
        <v>107.16463414634146</v>
      </c>
    </row>
    <row r="17" spans="1:14" ht="12.95" customHeight="1">
      <c r="B17" s="10"/>
      <c r="C17" s="11"/>
      <c r="D17" s="11"/>
      <c r="E17" s="636">
        <v>612100</v>
      </c>
      <c r="F17" s="662"/>
      <c r="G17" s="13" t="s">
        <v>83</v>
      </c>
      <c r="H17" s="255">
        <f>32660+600+980</f>
        <v>34240</v>
      </c>
      <c r="I17" s="803">
        <v>32800</v>
      </c>
      <c r="J17" s="439">
        <v>23436</v>
      </c>
      <c r="K17" s="255">
        <f>33230+380+1*7*220</f>
        <v>35150</v>
      </c>
      <c r="L17" s="255">
        <v>0</v>
      </c>
      <c r="M17" s="1063">
        <f>SUM(K17:L17)</f>
        <v>35150</v>
      </c>
      <c r="N17" s="677">
        <f t="shared" si="0"/>
        <v>107.16463414634146</v>
      </c>
    </row>
    <row r="18" spans="1:14" ht="12.95" customHeight="1">
      <c r="B18" s="10"/>
      <c r="C18" s="11"/>
      <c r="D18" s="11"/>
      <c r="E18" s="636"/>
      <c r="F18" s="662"/>
      <c r="G18" s="11"/>
      <c r="H18" s="30"/>
      <c r="I18" s="796"/>
      <c r="J18" s="432"/>
      <c r="K18" s="593"/>
      <c r="L18" s="593"/>
      <c r="M18" s="1063"/>
      <c r="N18" s="677" t="str">
        <f t="shared" si="0"/>
        <v/>
      </c>
    </row>
    <row r="19" spans="1:14" s="1" customFormat="1" ht="12.95" customHeight="1">
      <c r="A19" s="608"/>
      <c r="B19" s="12"/>
      <c r="C19" s="8"/>
      <c r="D19" s="8"/>
      <c r="E19" s="635">
        <v>613000</v>
      </c>
      <c r="F19" s="661"/>
      <c r="G19" s="8" t="s">
        <v>164</v>
      </c>
      <c r="H19" s="35">
        <f>SUM(H20:H30)</f>
        <v>139000</v>
      </c>
      <c r="I19" s="797">
        <v>111360</v>
      </c>
      <c r="J19" s="433">
        <v>71316</v>
      </c>
      <c r="K19" s="620">
        <f>SUM(K20:K30)</f>
        <v>115600</v>
      </c>
      <c r="L19" s="620">
        <f>SUM(L20:L30)</f>
        <v>0</v>
      </c>
      <c r="M19" s="1064">
        <f>SUM(M20:M30)</f>
        <v>115600</v>
      </c>
      <c r="N19" s="676">
        <f t="shared" si="0"/>
        <v>103.80747126436782</v>
      </c>
    </row>
    <row r="20" spans="1:14" ht="12.95" customHeight="1">
      <c r="B20" s="10"/>
      <c r="C20" s="11"/>
      <c r="D20" s="11"/>
      <c r="E20" s="636">
        <v>613100</v>
      </c>
      <c r="F20" s="662"/>
      <c r="G20" s="11" t="s">
        <v>84</v>
      </c>
      <c r="H20" s="30">
        <v>5500</v>
      </c>
      <c r="I20" s="796">
        <v>4740</v>
      </c>
      <c r="J20" s="432">
        <v>2533</v>
      </c>
      <c r="K20" s="593">
        <v>5000</v>
      </c>
      <c r="L20" s="593">
        <v>0</v>
      </c>
      <c r="M20" s="1063">
        <f t="shared" ref="M20:M30" si="2">SUM(K20:L20)</f>
        <v>5000</v>
      </c>
      <c r="N20" s="677">
        <f t="shared" si="0"/>
        <v>105.48523206751055</v>
      </c>
    </row>
    <row r="21" spans="1:14" ht="12.95" customHeight="1">
      <c r="B21" s="10"/>
      <c r="C21" s="11"/>
      <c r="D21" s="11"/>
      <c r="E21" s="636">
        <v>613200</v>
      </c>
      <c r="F21" s="662"/>
      <c r="G21" s="11" t="s">
        <v>85</v>
      </c>
      <c r="H21" s="30">
        <v>0</v>
      </c>
      <c r="I21" s="796">
        <v>0</v>
      </c>
      <c r="J21" s="432">
        <v>0</v>
      </c>
      <c r="K21" s="593">
        <v>0</v>
      </c>
      <c r="L21" s="593">
        <v>0</v>
      </c>
      <c r="M21" s="1063">
        <f t="shared" si="2"/>
        <v>0</v>
      </c>
      <c r="N21" s="677" t="str">
        <f t="shared" si="0"/>
        <v/>
      </c>
    </row>
    <row r="22" spans="1:14" ht="12.95" customHeight="1">
      <c r="B22" s="10"/>
      <c r="C22" s="11"/>
      <c r="D22" s="11"/>
      <c r="E22" s="636">
        <v>613300</v>
      </c>
      <c r="F22" s="662"/>
      <c r="G22" s="20" t="s">
        <v>206</v>
      </c>
      <c r="H22" s="30">
        <v>7000</v>
      </c>
      <c r="I22" s="808">
        <v>7530</v>
      </c>
      <c r="J22" s="432">
        <v>5365</v>
      </c>
      <c r="K22" s="593">
        <f>640*12</f>
        <v>7680</v>
      </c>
      <c r="L22" s="593">
        <v>0</v>
      </c>
      <c r="M22" s="1063">
        <f t="shared" si="2"/>
        <v>7680</v>
      </c>
      <c r="N22" s="677">
        <f t="shared" si="0"/>
        <v>101.99203187250995</v>
      </c>
    </row>
    <row r="23" spans="1:14" ht="12.95" customHeight="1">
      <c r="B23" s="10"/>
      <c r="C23" s="11"/>
      <c r="D23" s="11"/>
      <c r="E23" s="636">
        <v>613400</v>
      </c>
      <c r="F23" s="662"/>
      <c r="G23" s="11" t="s">
        <v>165</v>
      </c>
      <c r="H23" s="30">
        <v>3000</v>
      </c>
      <c r="I23" s="796">
        <v>2920</v>
      </c>
      <c r="J23" s="432">
        <v>2469</v>
      </c>
      <c r="K23" s="593">
        <f>250*12</f>
        <v>3000</v>
      </c>
      <c r="L23" s="593">
        <v>0</v>
      </c>
      <c r="M23" s="1063">
        <f t="shared" si="2"/>
        <v>3000</v>
      </c>
      <c r="N23" s="677">
        <f t="shared" si="0"/>
        <v>102.73972602739727</v>
      </c>
    </row>
    <row r="24" spans="1:14" ht="12.95" customHeight="1">
      <c r="B24" s="10"/>
      <c r="C24" s="11"/>
      <c r="D24" s="11"/>
      <c r="E24" s="636">
        <v>613500</v>
      </c>
      <c r="F24" s="662"/>
      <c r="G24" s="11" t="s">
        <v>86</v>
      </c>
      <c r="H24" s="57">
        <v>0</v>
      </c>
      <c r="I24" s="798">
        <v>0</v>
      </c>
      <c r="J24" s="434">
        <v>0</v>
      </c>
      <c r="K24" s="595">
        <v>0</v>
      </c>
      <c r="L24" s="595">
        <v>0</v>
      </c>
      <c r="M24" s="1063">
        <f t="shared" si="2"/>
        <v>0</v>
      </c>
      <c r="N24" s="677" t="str">
        <f t="shared" si="0"/>
        <v/>
      </c>
    </row>
    <row r="25" spans="1:14" ht="12.95" customHeight="1">
      <c r="B25" s="10"/>
      <c r="C25" s="11"/>
      <c r="D25" s="11"/>
      <c r="E25" s="636">
        <v>613600</v>
      </c>
      <c r="F25" s="662"/>
      <c r="G25" s="20" t="s">
        <v>207</v>
      </c>
      <c r="H25" s="57">
        <v>0</v>
      </c>
      <c r="I25" s="798">
        <v>0</v>
      </c>
      <c r="J25" s="434">
        <v>0</v>
      </c>
      <c r="K25" s="595">
        <v>0</v>
      </c>
      <c r="L25" s="595">
        <v>0</v>
      </c>
      <c r="M25" s="1063">
        <f t="shared" si="2"/>
        <v>0</v>
      </c>
      <c r="N25" s="677" t="str">
        <f t="shared" si="0"/>
        <v/>
      </c>
    </row>
    <row r="26" spans="1:14" ht="12.95" customHeight="1">
      <c r="B26" s="10"/>
      <c r="C26" s="11"/>
      <c r="D26" s="11"/>
      <c r="E26" s="636">
        <v>613700</v>
      </c>
      <c r="F26" s="662"/>
      <c r="G26" s="11" t="s">
        <v>87</v>
      </c>
      <c r="H26" s="88">
        <v>1500</v>
      </c>
      <c r="I26" s="807">
        <v>1700</v>
      </c>
      <c r="J26" s="436">
        <v>1131</v>
      </c>
      <c r="K26" s="623">
        <v>1500</v>
      </c>
      <c r="L26" s="623">
        <v>0</v>
      </c>
      <c r="M26" s="1063">
        <f t="shared" si="2"/>
        <v>1500</v>
      </c>
      <c r="N26" s="677">
        <f t="shared" si="0"/>
        <v>88.235294117647058</v>
      </c>
    </row>
    <row r="27" spans="1:14" ht="12.95" customHeight="1">
      <c r="B27" s="10"/>
      <c r="C27" s="11"/>
      <c r="D27" s="11"/>
      <c r="E27" s="636">
        <v>613800</v>
      </c>
      <c r="F27" s="662"/>
      <c r="G27" s="11" t="s">
        <v>166</v>
      </c>
      <c r="H27" s="57">
        <v>7200</v>
      </c>
      <c r="I27" s="798">
        <v>5770</v>
      </c>
      <c r="J27" s="434">
        <v>4083</v>
      </c>
      <c r="K27" s="595">
        <f>510*12</f>
        <v>6120</v>
      </c>
      <c r="L27" s="595">
        <v>0</v>
      </c>
      <c r="M27" s="1063">
        <f t="shared" si="2"/>
        <v>6120</v>
      </c>
      <c r="N27" s="677">
        <f t="shared" si="0"/>
        <v>106.06585788561524</v>
      </c>
    </row>
    <row r="28" spans="1:14" ht="12.95" customHeight="1">
      <c r="B28" s="10"/>
      <c r="C28" s="11"/>
      <c r="D28" s="11"/>
      <c r="E28" s="636">
        <v>613900</v>
      </c>
      <c r="F28" s="662"/>
      <c r="G28" s="11" t="s">
        <v>167</v>
      </c>
      <c r="H28" s="111">
        <v>34800</v>
      </c>
      <c r="I28" s="801">
        <v>23200</v>
      </c>
      <c r="J28" s="437">
        <v>13713</v>
      </c>
      <c r="K28" s="542">
        <f>2300*12</f>
        <v>27600</v>
      </c>
      <c r="L28" s="542">
        <v>0</v>
      </c>
      <c r="M28" s="1063">
        <f t="shared" si="2"/>
        <v>27600</v>
      </c>
      <c r="N28" s="677">
        <f t="shared" si="0"/>
        <v>118.96551724137932</v>
      </c>
    </row>
    <row r="29" spans="1:14" ht="12.95" customHeight="1">
      <c r="B29" s="10"/>
      <c r="C29" s="11"/>
      <c r="D29" s="11"/>
      <c r="E29" s="642">
        <v>613900</v>
      </c>
      <c r="F29" s="668" t="s">
        <v>712</v>
      </c>
      <c r="G29" s="20" t="s">
        <v>551</v>
      </c>
      <c r="H29" s="57">
        <v>80000</v>
      </c>
      <c r="I29" s="798">
        <v>65500</v>
      </c>
      <c r="J29" s="434">
        <v>42022</v>
      </c>
      <c r="K29" s="595">
        <f>12*4600+8000+1500</f>
        <v>64700</v>
      </c>
      <c r="L29" s="595">
        <v>0</v>
      </c>
      <c r="M29" s="1063">
        <f t="shared" si="2"/>
        <v>64700</v>
      </c>
      <c r="N29" s="677">
        <f t="shared" si="0"/>
        <v>98.778625954198475</v>
      </c>
    </row>
    <row r="30" spans="1:14" ht="12.95" customHeight="1">
      <c r="B30" s="10"/>
      <c r="C30" s="11"/>
      <c r="D30" s="11"/>
      <c r="E30" s="636">
        <v>613900</v>
      </c>
      <c r="F30" s="662"/>
      <c r="G30" s="229" t="s">
        <v>548</v>
      </c>
      <c r="H30" s="57">
        <v>0</v>
      </c>
      <c r="I30" s="798">
        <v>0</v>
      </c>
      <c r="J30" s="434">
        <v>0</v>
      </c>
      <c r="K30" s="595">
        <v>0</v>
      </c>
      <c r="L30" s="595">
        <v>0</v>
      </c>
      <c r="M30" s="1063">
        <f t="shared" si="2"/>
        <v>0</v>
      </c>
      <c r="N30" s="677" t="str">
        <f t="shared" si="0"/>
        <v/>
      </c>
    </row>
    <row r="31" spans="1:14" ht="12.95" customHeight="1">
      <c r="B31" s="10"/>
      <c r="C31" s="11"/>
      <c r="D31" s="11"/>
      <c r="E31" s="642"/>
      <c r="F31" s="668"/>
      <c r="G31" s="11"/>
      <c r="H31" s="57"/>
      <c r="I31" s="798"/>
      <c r="J31" s="434"/>
      <c r="K31" s="595"/>
      <c r="L31" s="595"/>
      <c r="M31" s="1063"/>
      <c r="N31" s="677" t="str">
        <f t="shared" si="0"/>
        <v/>
      </c>
    </row>
    <row r="32" spans="1:14" s="1" customFormat="1" ht="12.95" customHeight="1">
      <c r="A32" s="608"/>
      <c r="B32" s="12"/>
      <c r="C32" s="8"/>
      <c r="D32" s="25"/>
      <c r="E32" s="635">
        <v>614000</v>
      </c>
      <c r="F32" s="661"/>
      <c r="G32" s="8" t="s">
        <v>208</v>
      </c>
      <c r="H32" s="79">
        <f>SUM(H33:H35)</f>
        <v>461000</v>
      </c>
      <c r="I32" s="799">
        <v>587500</v>
      </c>
      <c r="J32" s="435">
        <v>529522</v>
      </c>
      <c r="K32" s="622">
        <f>SUM(K33:K35)</f>
        <v>280000</v>
      </c>
      <c r="L32" s="622">
        <f>SUM(L33:L35)</f>
        <v>0</v>
      </c>
      <c r="M32" s="1064">
        <f>SUM(M33:M35)</f>
        <v>280000</v>
      </c>
      <c r="N32" s="676">
        <f t="shared" si="0"/>
        <v>47.659574468085111</v>
      </c>
    </row>
    <row r="33" spans="1:16" ht="12.95" customHeight="1">
      <c r="B33" s="10"/>
      <c r="C33" s="11"/>
      <c r="D33" s="24"/>
      <c r="E33" s="636">
        <v>614100</v>
      </c>
      <c r="F33" s="659" t="s">
        <v>713</v>
      </c>
      <c r="G33" s="42" t="s">
        <v>284</v>
      </c>
      <c r="H33" s="57">
        <v>350000</v>
      </c>
      <c r="I33" s="798">
        <v>435000</v>
      </c>
      <c r="J33" s="434">
        <v>435000</v>
      </c>
      <c r="K33" s="595">
        <v>200000</v>
      </c>
      <c r="L33" s="595">
        <v>0</v>
      </c>
      <c r="M33" s="1063">
        <f t="shared" ref="M33:M35" si="3">SUM(K33:L33)</f>
        <v>200000</v>
      </c>
      <c r="N33" s="677">
        <f t="shared" si="0"/>
        <v>45.977011494252871</v>
      </c>
      <c r="O33" s="78"/>
      <c r="P33" s="56"/>
    </row>
    <row r="34" spans="1:16" ht="12.95" customHeight="1">
      <c r="B34" s="10"/>
      <c r="C34" s="11"/>
      <c r="D34" s="24"/>
      <c r="E34" s="684">
        <v>614800</v>
      </c>
      <c r="F34" s="670" t="s">
        <v>714</v>
      </c>
      <c r="G34" s="42" t="s">
        <v>111</v>
      </c>
      <c r="H34" s="57">
        <v>51000</v>
      </c>
      <c r="I34" s="798">
        <v>107500</v>
      </c>
      <c r="J34" s="434">
        <v>51000</v>
      </c>
      <c r="K34" s="595">
        <v>60000</v>
      </c>
      <c r="L34" s="595">
        <v>0</v>
      </c>
      <c r="M34" s="1063">
        <f t="shared" si="3"/>
        <v>60000</v>
      </c>
      <c r="N34" s="677">
        <f>IF(I34=0,"",M34/I34*100)</f>
        <v>55.813953488372093</v>
      </c>
      <c r="O34" s="56"/>
    </row>
    <row r="35" spans="1:16" ht="24.75" customHeight="1">
      <c r="B35" s="10"/>
      <c r="C35" s="11"/>
      <c r="D35" s="24"/>
      <c r="E35" s="684">
        <v>614800</v>
      </c>
      <c r="F35" s="670" t="s">
        <v>715</v>
      </c>
      <c r="G35" s="307" t="s">
        <v>616</v>
      </c>
      <c r="H35" s="57">
        <v>60000</v>
      </c>
      <c r="I35" s="798">
        <v>45000</v>
      </c>
      <c r="J35" s="434">
        <v>43522</v>
      </c>
      <c r="K35" s="595">
        <v>20000</v>
      </c>
      <c r="L35" s="595">
        <v>0</v>
      </c>
      <c r="M35" s="1063">
        <f t="shared" si="3"/>
        <v>20000</v>
      </c>
      <c r="N35" s="677">
        <f t="shared" ref="N35:N52" si="4">IF(I35=0,"",M35/I35*100)</f>
        <v>44.444444444444443</v>
      </c>
      <c r="O35" s="56"/>
    </row>
    <row r="36" spans="1:16" ht="12.95" customHeight="1">
      <c r="B36" s="10"/>
      <c r="C36" s="11"/>
      <c r="D36" s="24"/>
      <c r="E36" s="685"/>
      <c r="F36" s="671"/>
      <c r="G36" s="42"/>
      <c r="H36" s="57"/>
      <c r="I36" s="798"/>
      <c r="J36" s="434"/>
      <c r="K36" s="595"/>
      <c r="L36" s="595"/>
      <c r="M36" s="1063"/>
      <c r="N36" s="677" t="str">
        <f t="shared" si="4"/>
        <v/>
      </c>
    </row>
    <row r="37" spans="1:16" ht="12.95" customHeight="1">
      <c r="B37" s="10"/>
      <c r="C37" s="11"/>
      <c r="D37" s="11"/>
      <c r="E37" s="645">
        <v>616000</v>
      </c>
      <c r="F37" s="672"/>
      <c r="G37" s="26" t="s">
        <v>211</v>
      </c>
      <c r="H37" s="112">
        <f>SUM(H38:H39)</f>
        <v>65500</v>
      </c>
      <c r="I37" s="802">
        <v>55420</v>
      </c>
      <c r="J37" s="438">
        <v>47192</v>
      </c>
      <c r="K37" s="438">
        <f>SUM(K38:K39)</f>
        <v>56300</v>
      </c>
      <c r="L37" s="438">
        <f>SUM(L38:L39)</f>
        <v>0</v>
      </c>
      <c r="M37" s="1064">
        <f>SUM(M38:M39)</f>
        <v>56300</v>
      </c>
      <c r="N37" s="676">
        <f t="shared" si="4"/>
        <v>101.58787441356911</v>
      </c>
    </row>
    <row r="38" spans="1:16" ht="12.95" customHeight="1">
      <c r="B38" s="10"/>
      <c r="C38" s="11"/>
      <c r="D38" s="11"/>
      <c r="E38" s="643">
        <v>616300</v>
      </c>
      <c r="F38" s="659" t="s">
        <v>716</v>
      </c>
      <c r="G38" s="45" t="s">
        <v>216</v>
      </c>
      <c r="H38" s="57">
        <v>24000</v>
      </c>
      <c r="I38" s="798">
        <v>21710</v>
      </c>
      <c r="J38" s="434">
        <v>21708</v>
      </c>
      <c r="K38" s="595">
        <v>23400</v>
      </c>
      <c r="L38" s="595">
        <v>0</v>
      </c>
      <c r="M38" s="1063">
        <f t="shared" ref="M38:M39" si="5">SUM(K38:L38)</f>
        <v>23400</v>
      </c>
      <c r="N38" s="677">
        <f t="shared" si="4"/>
        <v>107.78443113772455</v>
      </c>
    </row>
    <row r="39" spans="1:16" ht="12.95" customHeight="1">
      <c r="B39" s="10"/>
      <c r="C39" s="11"/>
      <c r="D39" s="11"/>
      <c r="E39" s="643">
        <v>616300</v>
      </c>
      <c r="F39" s="659" t="s">
        <v>717</v>
      </c>
      <c r="G39" s="45" t="s">
        <v>220</v>
      </c>
      <c r="H39" s="57">
        <v>41500</v>
      </c>
      <c r="I39" s="798">
        <v>33710</v>
      </c>
      <c r="J39" s="434">
        <v>25484</v>
      </c>
      <c r="K39" s="595">
        <v>32900</v>
      </c>
      <c r="L39" s="595">
        <v>0</v>
      </c>
      <c r="M39" s="1063">
        <f t="shared" si="5"/>
        <v>32900</v>
      </c>
      <c r="N39" s="677">
        <f t="shared" si="4"/>
        <v>97.597152180361917</v>
      </c>
    </row>
    <row r="40" spans="1:16" ht="12.95" customHeight="1">
      <c r="B40" s="10"/>
      <c r="C40" s="11"/>
      <c r="D40" s="11"/>
      <c r="E40" s="636"/>
      <c r="F40" s="662"/>
      <c r="G40" s="11"/>
      <c r="H40" s="79"/>
      <c r="I40" s="799"/>
      <c r="J40" s="435"/>
      <c r="K40" s="622"/>
      <c r="L40" s="622"/>
      <c r="M40" s="1064"/>
      <c r="N40" s="677" t="str">
        <f t="shared" si="4"/>
        <v/>
      </c>
    </row>
    <row r="41" spans="1:16" ht="12.95" customHeight="1">
      <c r="B41" s="12"/>
      <c r="C41" s="8"/>
      <c r="D41" s="8"/>
      <c r="E41" s="635">
        <v>821000</v>
      </c>
      <c r="F41" s="661"/>
      <c r="G41" s="8" t="s">
        <v>90</v>
      </c>
      <c r="H41" s="79">
        <f>SUM(H42:H43)</f>
        <v>3000</v>
      </c>
      <c r="I41" s="799">
        <v>3000</v>
      </c>
      <c r="J41" s="435">
        <v>576</v>
      </c>
      <c r="K41" s="622">
        <f>SUM(K42:K43)</f>
        <v>1500</v>
      </c>
      <c r="L41" s="622">
        <f>SUM(L42:L43)</f>
        <v>0</v>
      </c>
      <c r="M41" s="1064">
        <f>SUM(M42:M43)</f>
        <v>1500</v>
      </c>
      <c r="N41" s="676">
        <f t="shared" si="4"/>
        <v>50</v>
      </c>
    </row>
    <row r="42" spans="1:16" ht="12.95" customHeight="1">
      <c r="B42" s="10"/>
      <c r="C42" s="11"/>
      <c r="D42" s="11"/>
      <c r="E42" s="636">
        <v>821200</v>
      </c>
      <c r="F42" s="662"/>
      <c r="G42" s="11" t="s">
        <v>91</v>
      </c>
      <c r="H42" s="88">
        <v>0</v>
      </c>
      <c r="I42" s="800">
        <v>0</v>
      </c>
      <c r="J42" s="436">
        <v>0</v>
      </c>
      <c r="K42" s="623">
        <v>0</v>
      </c>
      <c r="L42" s="623">
        <v>0</v>
      </c>
      <c r="M42" s="1063">
        <f t="shared" ref="M42:M43" si="6">SUM(K42:L42)</f>
        <v>0</v>
      </c>
      <c r="N42" s="677" t="str">
        <f t="shared" si="4"/>
        <v/>
      </c>
    </row>
    <row r="43" spans="1:16" s="1" customFormat="1" ht="12.95" customHeight="1">
      <c r="A43" s="608"/>
      <c r="B43" s="10"/>
      <c r="C43" s="11"/>
      <c r="D43" s="11"/>
      <c r="E43" s="636">
        <v>821300</v>
      </c>
      <c r="F43" s="662"/>
      <c r="G43" s="11" t="s">
        <v>92</v>
      </c>
      <c r="H43" s="88">
        <v>3000</v>
      </c>
      <c r="I43" s="800">
        <v>3000</v>
      </c>
      <c r="J43" s="436">
        <v>576</v>
      </c>
      <c r="K43" s="623">
        <v>1500</v>
      </c>
      <c r="L43" s="623">
        <v>0</v>
      </c>
      <c r="M43" s="1063">
        <f t="shared" si="6"/>
        <v>1500</v>
      </c>
      <c r="N43" s="677">
        <f t="shared" si="4"/>
        <v>50</v>
      </c>
    </row>
    <row r="44" spans="1:16" ht="12.95" customHeight="1">
      <c r="B44" s="10"/>
      <c r="C44" s="11"/>
      <c r="D44" s="11"/>
      <c r="E44" s="636"/>
      <c r="F44" s="662"/>
      <c r="G44" s="11"/>
      <c r="H44" s="57"/>
      <c r="I44" s="798"/>
      <c r="J44" s="434"/>
      <c r="K44" s="595"/>
      <c r="L44" s="595"/>
      <c r="M44" s="1063"/>
      <c r="N44" s="677" t="str">
        <f t="shared" si="4"/>
        <v/>
      </c>
    </row>
    <row r="45" spans="1:16" ht="12.95" customHeight="1">
      <c r="B45" s="12"/>
      <c r="C45" s="8"/>
      <c r="D45" s="8"/>
      <c r="E45" s="635">
        <v>823000</v>
      </c>
      <c r="F45" s="661"/>
      <c r="G45" s="8" t="s">
        <v>217</v>
      </c>
      <c r="H45" s="79">
        <f>SUM(H46:H47)</f>
        <v>525500</v>
      </c>
      <c r="I45" s="799">
        <v>516710</v>
      </c>
      <c r="J45" s="435">
        <v>516694</v>
      </c>
      <c r="K45" s="622">
        <f>SUM(K46:K47)</f>
        <v>523890</v>
      </c>
      <c r="L45" s="622">
        <f>SUM(L46:L47)</f>
        <v>0</v>
      </c>
      <c r="M45" s="1064">
        <f>SUM(M46:M47)</f>
        <v>523890</v>
      </c>
      <c r="N45" s="676">
        <f t="shared" si="4"/>
        <v>101.38956087553947</v>
      </c>
    </row>
    <row r="46" spans="1:16" ht="12.95" customHeight="1">
      <c r="B46" s="10"/>
      <c r="C46" s="11"/>
      <c r="D46" s="11"/>
      <c r="E46" s="636">
        <v>823300</v>
      </c>
      <c r="F46" s="662" t="s">
        <v>716</v>
      </c>
      <c r="G46" s="20" t="s">
        <v>621</v>
      </c>
      <c r="H46" s="88">
        <v>95000</v>
      </c>
      <c r="I46" s="800">
        <v>86420</v>
      </c>
      <c r="J46" s="436">
        <v>86411</v>
      </c>
      <c r="K46" s="623">
        <v>93600</v>
      </c>
      <c r="L46" s="623">
        <v>0</v>
      </c>
      <c r="M46" s="1063">
        <f t="shared" ref="M46:M47" si="7">SUM(K46:L46)</f>
        <v>93600</v>
      </c>
      <c r="N46" s="677">
        <f t="shared" si="4"/>
        <v>108.30826197639436</v>
      </c>
    </row>
    <row r="47" spans="1:16" ht="12.95" customHeight="1">
      <c r="B47" s="10"/>
      <c r="C47" s="11"/>
      <c r="D47" s="11"/>
      <c r="E47" s="636">
        <v>823300</v>
      </c>
      <c r="F47" s="662" t="s">
        <v>717</v>
      </c>
      <c r="G47" s="20" t="s">
        <v>620</v>
      </c>
      <c r="H47" s="88">
        <v>430500</v>
      </c>
      <c r="I47" s="800">
        <v>430290</v>
      </c>
      <c r="J47" s="436">
        <v>430283</v>
      </c>
      <c r="K47" s="623">
        <v>430290</v>
      </c>
      <c r="L47" s="623">
        <v>0</v>
      </c>
      <c r="M47" s="1063">
        <f t="shared" si="7"/>
        <v>430290</v>
      </c>
      <c r="N47" s="677">
        <f t="shared" si="4"/>
        <v>100</v>
      </c>
    </row>
    <row r="48" spans="1:16" ht="12.95" customHeight="1">
      <c r="B48" s="10"/>
      <c r="C48" s="11"/>
      <c r="D48" s="11"/>
      <c r="E48" s="636"/>
      <c r="F48" s="662"/>
      <c r="G48" s="11"/>
      <c r="H48" s="11"/>
      <c r="I48" s="794"/>
      <c r="J48" s="430"/>
      <c r="K48" s="613"/>
      <c r="L48" s="613"/>
      <c r="M48" s="1074"/>
      <c r="N48" s="677" t="str">
        <f t="shared" si="4"/>
        <v/>
      </c>
    </row>
    <row r="49" spans="1:14" ht="12.95" customHeight="1">
      <c r="B49" s="12"/>
      <c r="C49" s="8"/>
      <c r="D49" s="8"/>
      <c r="E49" s="635"/>
      <c r="F49" s="661"/>
      <c r="G49" s="8" t="s">
        <v>93</v>
      </c>
      <c r="H49" s="260">
        <v>15</v>
      </c>
      <c r="I49" s="806">
        <v>15</v>
      </c>
      <c r="J49" s="442">
        <v>15</v>
      </c>
      <c r="K49" s="442">
        <v>16</v>
      </c>
      <c r="L49" s="442"/>
      <c r="M49" s="1081">
        <v>16</v>
      </c>
      <c r="N49" s="677"/>
    </row>
    <row r="50" spans="1:14" ht="12.95" customHeight="1">
      <c r="B50" s="12"/>
      <c r="C50" s="8"/>
      <c r="D50" s="8"/>
      <c r="E50" s="635"/>
      <c r="F50" s="661"/>
      <c r="G50" s="8" t="s">
        <v>113</v>
      </c>
      <c r="H50" s="15">
        <f t="shared" ref="H50:M50" si="8">H8+H11+H16+H19+H32+H37+H41+H45</f>
        <v>1630150</v>
      </c>
      <c r="I50" s="15">
        <f t="shared" si="8"/>
        <v>1690440</v>
      </c>
      <c r="J50" s="15">
        <f t="shared" si="8"/>
        <v>1463857</v>
      </c>
      <c r="K50" s="615">
        <f t="shared" si="8"/>
        <v>1412210</v>
      </c>
      <c r="L50" s="615">
        <f t="shared" si="8"/>
        <v>0</v>
      </c>
      <c r="M50" s="1064">
        <f t="shared" si="8"/>
        <v>1412210</v>
      </c>
      <c r="N50" s="676">
        <f>IF(I50=0,"",M50/I50*100)</f>
        <v>83.540971581363436</v>
      </c>
    </row>
    <row r="51" spans="1:14" s="1" customFormat="1" ht="12.95" customHeight="1">
      <c r="A51" s="608"/>
      <c r="B51" s="12"/>
      <c r="C51" s="8"/>
      <c r="D51" s="8"/>
      <c r="E51" s="635"/>
      <c r="F51" s="661"/>
      <c r="G51" s="8" t="s">
        <v>94</v>
      </c>
      <c r="H51" s="15">
        <f>H50</f>
        <v>1630150</v>
      </c>
      <c r="I51" s="15">
        <f>I50</f>
        <v>1690440</v>
      </c>
      <c r="J51" s="15">
        <f t="shared" ref="J51" si="9">J50</f>
        <v>1463857</v>
      </c>
      <c r="K51" s="615">
        <f t="shared" ref="K51:M52" si="10">K50</f>
        <v>1412210</v>
      </c>
      <c r="L51" s="615">
        <f t="shared" si="10"/>
        <v>0</v>
      </c>
      <c r="M51" s="1064">
        <f t="shared" si="10"/>
        <v>1412210</v>
      </c>
      <c r="N51" s="676">
        <f t="shared" si="4"/>
        <v>83.540971581363436</v>
      </c>
    </row>
    <row r="52" spans="1:14" s="1" customFormat="1" ht="12.95" customHeight="1">
      <c r="A52" s="608"/>
      <c r="B52" s="12"/>
      <c r="C52" s="8"/>
      <c r="D52" s="8"/>
      <c r="E52" s="635"/>
      <c r="F52" s="661"/>
      <c r="G52" s="8" t="s">
        <v>95</v>
      </c>
      <c r="H52" s="15">
        <f>H51</f>
        <v>1630150</v>
      </c>
      <c r="I52" s="15">
        <f>I51</f>
        <v>1690440</v>
      </c>
      <c r="J52" s="15">
        <f t="shared" ref="J52" si="11">J51</f>
        <v>1463857</v>
      </c>
      <c r="K52" s="615">
        <f t="shared" si="10"/>
        <v>1412210</v>
      </c>
      <c r="L52" s="615">
        <f t="shared" si="10"/>
        <v>0</v>
      </c>
      <c r="M52" s="1064">
        <f t="shared" si="10"/>
        <v>1412210</v>
      </c>
      <c r="N52" s="676">
        <f t="shared" si="4"/>
        <v>83.540971581363436</v>
      </c>
    </row>
    <row r="53" spans="1:14" s="1" customFormat="1" ht="12.95" customHeight="1" thickBot="1">
      <c r="A53" s="608"/>
      <c r="B53" s="16"/>
      <c r="C53" s="17"/>
      <c r="D53" s="17"/>
      <c r="E53" s="637"/>
      <c r="F53" s="663"/>
      <c r="G53" s="17"/>
      <c r="H53" s="17"/>
      <c r="I53" s="17"/>
      <c r="J53" s="17"/>
      <c r="K53" s="17"/>
      <c r="L53" s="17"/>
      <c r="M53" s="1071"/>
      <c r="N53" s="679"/>
    </row>
    <row r="54" spans="1:14" s="1" customFormat="1" ht="12.95" customHeight="1">
      <c r="A54" s="608"/>
      <c r="B54" s="9"/>
      <c r="C54" s="9"/>
      <c r="D54" s="9"/>
      <c r="E54" s="638"/>
      <c r="F54" s="664"/>
      <c r="G54" s="9"/>
      <c r="H54" s="9"/>
      <c r="I54" s="9"/>
      <c r="J54" s="9"/>
      <c r="K54" s="611"/>
      <c r="L54" s="611"/>
      <c r="M54" s="1068"/>
      <c r="N54" s="680"/>
    </row>
    <row r="55" spans="1:14" ht="12.95" customHeight="1">
      <c r="E55" s="638"/>
      <c r="F55" s="664"/>
      <c r="M55" s="1068"/>
    </row>
    <row r="56" spans="1:14" ht="12.95" customHeight="1">
      <c r="E56" s="638"/>
      <c r="F56" s="664"/>
      <c r="M56" s="1068"/>
    </row>
    <row r="57" spans="1:14" ht="12.95" customHeight="1">
      <c r="E57" s="638"/>
      <c r="F57" s="664"/>
      <c r="M57" s="1068"/>
    </row>
    <row r="58" spans="1:14" ht="12.95" customHeight="1">
      <c r="E58" s="638"/>
      <c r="F58" s="664"/>
      <c r="M58" s="1068"/>
    </row>
    <row r="59" spans="1:14" ht="12.95" customHeight="1">
      <c r="E59" s="638"/>
      <c r="F59" s="664"/>
      <c r="M59" s="1068"/>
    </row>
    <row r="60" spans="1:14" ht="17.100000000000001" customHeight="1">
      <c r="E60" s="638"/>
      <c r="F60" s="664"/>
      <c r="M60" s="1068"/>
    </row>
    <row r="61" spans="1:14" ht="14.25">
      <c r="E61" s="638"/>
      <c r="F61" s="664"/>
      <c r="M61" s="1068"/>
    </row>
    <row r="62" spans="1:14" ht="14.25">
      <c r="E62" s="638"/>
      <c r="F62" s="664"/>
      <c r="M62" s="1068"/>
    </row>
    <row r="63" spans="1:14" ht="14.25">
      <c r="E63" s="638"/>
      <c r="F63" s="664"/>
      <c r="M63" s="1068"/>
    </row>
    <row r="64" spans="1:14" ht="14.25">
      <c r="E64" s="638"/>
      <c r="F64" s="664"/>
      <c r="M64" s="1068"/>
    </row>
    <row r="65" spans="5:13" ht="14.25">
      <c r="E65" s="638"/>
      <c r="F65" s="664"/>
      <c r="M65" s="1068"/>
    </row>
    <row r="66" spans="5:13" ht="14.25">
      <c r="E66" s="638"/>
      <c r="F66" s="664"/>
      <c r="M66" s="1068"/>
    </row>
    <row r="67" spans="5:13" ht="14.25">
      <c r="E67" s="638"/>
      <c r="F67" s="664"/>
      <c r="M67" s="1068"/>
    </row>
    <row r="68" spans="5:13" ht="14.25">
      <c r="E68" s="638"/>
      <c r="F68" s="664"/>
      <c r="M68" s="1068"/>
    </row>
    <row r="69" spans="5:13" ht="14.25">
      <c r="E69" s="638"/>
      <c r="F69" s="664"/>
      <c r="M69" s="1068"/>
    </row>
    <row r="70" spans="5:13" ht="14.25">
      <c r="E70" s="638"/>
      <c r="F70" s="664"/>
      <c r="M70" s="1068"/>
    </row>
    <row r="71" spans="5:13" ht="14.25">
      <c r="E71" s="638"/>
      <c r="F71" s="664"/>
      <c r="M71" s="1068"/>
    </row>
    <row r="72" spans="5:13" ht="14.25">
      <c r="E72" s="638"/>
      <c r="F72" s="664"/>
      <c r="M72" s="1068"/>
    </row>
    <row r="73" spans="5:13" ht="14.25">
      <c r="E73" s="638"/>
      <c r="F73" s="664"/>
      <c r="M73" s="1068"/>
    </row>
    <row r="74" spans="5:13" ht="14.25">
      <c r="E74" s="638"/>
      <c r="F74" s="638"/>
      <c r="M74" s="1068"/>
    </row>
    <row r="75" spans="5:13" ht="14.25">
      <c r="E75" s="638"/>
      <c r="F75" s="638"/>
      <c r="M75" s="1068"/>
    </row>
    <row r="76" spans="5:13" ht="14.25">
      <c r="E76" s="638"/>
      <c r="F76" s="638"/>
      <c r="M76" s="1068"/>
    </row>
    <row r="77" spans="5:13" ht="14.25">
      <c r="E77" s="638"/>
      <c r="F77" s="638"/>
      <c r="M77" s="1068"/>
    </row>
    <row r="78" spans="5:13" ht="14.25">
      <c r="E78" s="638"/>
      <c r="F78" s="638"/>
      <c r="M78" s="1068"/>
    </row>
    <row r="79" spans="5:13" ht="14.25">
      <c r="E79" s="638"/>
      <c r="F79" s="638"/>
      <c r="M79" s="1068"/>
    </row>
    <row r="80" spans="5:13" ht="14.25">
      <c r="E80" s="638"/>
      <c r="F80" s="638"/>
      <c r="M80" s="1068"/>
    </row>
    <row r="81" spans="5:13" ht="14.25">
      <c r="E81" s="638"/>
      <c r="F81" s="638"/>
      <c r="M81" s="1068"/>
    </row>
    <row r="82" spans="5:13" ht="14.25">
      <c r="E82" s="638"/>
      <c r="F82" s="638"/>
      <c r="M82" s="1068"/>
    </row>
    <row r="83" spans="5:13" ht="14.25">
      <c r="E83" s="638"/>
      <c r="F83" s="638"/>
      <c r="M83" s="1068"/>
    </row>
    <row r="84" spans="5:13" ht="14.25">
      <c r="E84" s="638"/>
      <c r="F84" s="638"/>
      <c r="M84" s="1068"/>
    </row>
    <row r="85" spans="5:13" ht="14.25">
      <c r="E85" s="638"/>
      <c r="F85" s="638"/>
      <c r="M85" s="1068"/>
    </row>
    <row r="86" spans="5:13" ht="14.25">
      <c r="E86" s="638"/>
      <c r="F86" s="638"/>
      <c r="M86" s="1068"/>
    </row>
    <row r="87" spans="5:13" ht="14.25">
      <c r="E87" s="638"/>
      <c r="F87" s="638"/>
      <c r="M87" s="1068"/>
    </row>
    <row r="88" spans="5:13" ht="14.25">
      <c r="E88" s="638"/>
      <c r="F88" s="638"/>
      <c r="M88" s="1068"/>
    </row>
    <row r="89" spans="5:13" ht="14.25">
      <c r="E89" s="638"/>
      <c r="F89" s="638"/>
      <c r="M89" s="1068"/>
    </row>
    <row r="90" spans="5:13" ht="14.25">
      <c r="E90" s="638"/>
      <c r="F90" s="638"/>
      <c r="M90" s="1068"/>
    </row>
    <row r="91" spans="5:13">
      <c r="F91" s="638"/>
    </row>
    <row r="92" spans="5:13">
      <c r="F92" s="638"/>
    </row>
    <row r="93" spans="5:13">
      <c r="F93" s="638"/>
    </row>
    <row r="94" spans="5:13">
      <c r="F94" s="638"/>
    </row>
    <row r="95" spans="5:13">
      <c r="F95" s="638"/>
    </row>
    <row r="96" spans="5:13">
      <c r="F96" s="638"/>
    </row>
  </sheetData>
  <mergeCells count="13">
    <mergeCell ref="N4:N5"/>
    <mergeCell ref="G4:G5"/>
    <mergeCell ref="B2:M2"/>
    <mergeCell ref="G3:H3"/>
    <mergeCell ref="K4:M4"/>
    <mergeCell ref="B4:B5"/>
    <mergeCell ref="C4:C5"/>
    <mergeCell ref="D4:D5"/>
    <mergeCell ref="F4:F5"/>
    <mergeCell ref="E4:E5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  <colBreaks count="1" manualBreakCount="1">
    <brk id="14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0"/>
  <dimension ref="A1:P96"/>
  <sheetViews>
    <sheetView topLeftCell="A4" zoomScaleNormal="100" zoomScaleSheetLayoutView="130" workbookViewId="0">
      <selection activeCell="Q14" sqref="Q14"/>
    </sheetView>
  </sheetViews>
  <sheetFormatPr defaultRowHeight="12.75"/>
  <cols>
    <col min="1" max="1" width="9.140625" style="611"/>
    <col min="2" max="2" width="4.7109375" style="9" customWidth="1"/>
    <col min="3" max="3" width="5.140625" style="9" customWidth="1"/>
    <col min="4" max="4" width="5" style="9" customWidth="1"/>
    <col min="5" max="5" width="8.7109375" style="18" customWidth="1"/>
    <col min="6" max="6" width="8.7109375" style="616" customWidth="1"/>
    <col min="7" max="7" width="50.7109375" style="9" customWidth="1"/>
    <col min="8" max="10" width="14.7109375" style="9" customWidth="1"/>
    <col min="11" max="12" width="14.7109375" style="611" customWidth="1"/>
    <col min="13" max="13" width="15.7109375" style="9" customWidth="1"/>
    <col min="14" max="14" width="7.7109375" style="680" customWidth="1"/>
    <col min="15" max="16384" width="9.140625" style="9"/>
  </cols>
  <sheetData>
    <row r="1" spans="1:16" ht="13.5" thickBot="1"/>
    <row r="2" spans="1:16" s="126" customFormat="1" ht="20.100000000000001" customHeight="1" thickTop="1" thickBot="1">
      <c r="A2" s="1052"/>
      <c r="B2" s="1261" t="s">
        <v>137</v>
      </c>
      <c r="C2" s="1262"/>
      <c r="D2" s="1262"/>
      <c r="E2" s="1262"/>
      <c r="F2" s="1262"/>
      <c r="G2" s="1262"/>
      <c r="H2" s="1262"/>
      <c r="I2" s="1262"/>
      <c r="J2" s="1262"/>
      <c r="K2" s="1262"/>
      <c r="L2" s="1262"/>
      <c r="M2" s="1262"/>
      <c r="N2" s="1056"/>
    </row>
    <row r="3" spans="1:16" s="1" customFormat="1" ht="8.1" customHeight="1" thickTop="1" thickBot="1">
      <c r="A3" s="608"/>
      <c r="E3" s="2"/>
      <c r="F3" s="609"/>
      <c r="G3" s="1264"/>
      <c r="H3" s="1264"/>
      <c r="I3" s="306"/>
      <c r="J3" s="306"/>
      <c r="K3" s="119"/>
      <c r="L3" s="119"/>
      <c r="M3" s="119"/>
      <c r="N3" s="674"/>
    </row>
    <row r="4" spans="1:16" s="1" customFormat="1" ht="39" customHeight="1">
      <c r="A4" s="608"/>
      <c r="B4" s="1268" t="s">
        <v>78</v>
      </c>
      <c r="C4" s="1280" t="s">
        <v>79</v>
      </c>
      <c r="D4" s="1281" t="s">
        <v>110</v>
      </c>
      <c r="E4" s="1282" t="s">
        <v>615</v>
      </c>
      <c r="F4" s="1273" t="s">
        <v>695</v>
      </c>
      <c r="G4" s="1274" t="s">
        <v>80</v>
      </c>
      <c r="H4" s="1283" t="s">
        <v>614</v>
      </c>
      <c r="I4" s="1284" t="s">
        <v>747</v>
      </c>
      <c r="J4" s="1283" t="s">
        <v>667</v>
      </c>
      <c r="K4" s="1265" t="s">
        <v>682</v>
      </c>
      <c r="L4" s="1266"/>
      <c r="M4" s="1267"/>
      <c r="N4" s="1278" t="s">
        <v>756</v>
      </c>
    </row>
    <row r="5" spans="1:16" s="608" customFormat="1" ht="27" customHeight="1">
      <c r="B5" s="1269"/>
      <c r="C5" s="1271"/>
      <c r="D5" s="1271"/>
      <c r="E5" s="1275"/>
      <c r="F5" s="1271"/>
      <c r="G5" s="1275"/>
      <c r="H5" s="1275"/>
      <c r="I5" s="1275"/>
      <c r="J5" s="1275"/>
      <c r="K5" s="1048" t="s">
        <v>753</v>
      </c>
      <c r="L5" s="1048" t="s">
        <v>754</v>
      </c>
      <c r="M5" s="1059" t="s">
        <v>426</v>
      </c>
      <c r="N5" s="1279"/>
    </row>
    <row r="6" spans="1:16" s="2" customFormat="1" ht="12.95" customHeight="1">
      <c r="A6" s="609"/>
      <c r="B6" s="1181">
        <v>1</v>
      </c>
      <c r="C6" s="661">
        <v>2</v>
      </c>
      <c r="D6" s="661">
        <v>3</v>
      </c>
      <c r="E6" s="661">
        <v>4</v>
      </c>
      <c r="F6" s="661">
        <v>5</v>
      </c>
      <c r="G6" s="661">
        <v>6</v>
      </c>
      <c r="H6" s="661">
        <v>7</v>
      </c>
      <c r="I6" s="661">
        <v>8</v>
      </c>
      <c r="J6" s="661">
        <v>9</v>
      </c>
      <c r="K6" s="661">
        <v>10</v>
      </c>
      <c r="L6" s="661">
        <v>11</v>
      </c>
      <c r="M6" s="1201" t="s">
        <v>755</v>
      </c>
      <c r="N6" s="1183">
        <v>13</v>
      </c>
    </row>
    <row r="7" spans="1:16" s="2" customFormat="1" ht="12.95" customHeight="1">
      <c r="A7" s="609"/>
      <c r="B7" s="6" t="s">
        <v>138</v>
      </c>
      <c r="C7" s="7" t="s">
        <v>81</v>
      </c>
      <c r="D7" s="7" t="s">
        <v>82</v>
      </c>
      <c r="E7" s="5"/>
      <c r="F7" s="610"/>
      <c r="G7" s="5"/>
      <c r="H7" s="5"/>
      <c r="I7" s="5"/>
      <c r="J7" s="5"/>
      <c r="K7" s="610"/>
      <c r="L7" s="610"/>
      <c r="M7" s="1060"/>
      <c r="N7" s="675"/>
    </row>
    <row r="8" spans="1:16" s="1" customFormat="1" ht="12.95" customHeight="1">
      <c r="A8" s="608"/>
      <c r="B8" s="12"/>
      <c r="C8" s="8"/>
      <c r="D8" s="8"/>
      <c r="E8" s="635">
        <v>611000</v>
      </c>
      <c r="F8" s="661"/>
      <c r="G8" s="8" t="s">
        <v>163</v>
      </c>
      <c r="H8" s="256">
        <f>SUM(H9:H12)</f>
        <v>234390</v>
      </c>
      <c r="I8" s="815">
        <v>213630</v>
      </c>
      <c r="J8" s="449">
        <v>152024</v>
      </c>
      <c r="K8" s="256">
        <f>SUM(K9:K12)</f>
        <v>255980</v>
      </c>
      <c r="L8" s="256">
        <f>SUM(L9:L12)</f>
        <v>0</v>
      </c>
      <c r="M8" s="1061">
        <f>SUM(M9:M12)</f>
        <v>255980</v>
      </c>
      <c r="N8" s="676">
        <f>IF(I8=0,"",M8/I8*100)</f>
        <v>119.82399475729065</v>
      </c>
    </row>
    <row r="9" spans="1:16" ht="12.95" customHeight="1">
      <c r="B9" s="10"/>
      <c r="C9" s="11"/>
      <c r="D9" s="11"/>
      <c r="E9" s="636">
        <v>611100</v>
      </c>
      <c r="F9" s="662"/>
      <c r="G9" s="20" t="s">
        <v>204</v>
      </c>
      <c r="H9" s="255">
        <f>175080+1200+15000+5260+450</f>
        <v>196990</v>
      </c>
      <c r="I9" s="814">
        <v>180000</v>
      </c>
      <c r="J9" s="448">
        <v>129514</v>
      </c>
      <c r="K9" s="255">
        <f>200220+2000+4*500+8530</f>
        <v>212750</v>
      </c>
      <c r="L9" s="255">
        <v>0</v>
      </c>
      <c r="M9" s="1062">
        <f>SUM(K9:L9)</f>
        <v>212750</v>
      </c>
      <c r="N9" s="677">
        <f>IF(I9=0,"",M9/I9*100)</f>
        <v>118.19444444444444</v>
      </c>
    </row>
    <row r="10" spans="1:16" ht="12.95" customHeight="1">
      <c r="B10" s="10"/>
      <c r="C10" s="11"/>
      <c r="D10" s="11"/>
      <c r="E10" s="636">
        <v>611200</v>
      </c>
      <c r="F10" s="662"/>
      <c r="G10" s="11" t="s">
        <v>205</v>
      </c>
      <c r="H10" s="255">
        <f>34400+0+3000</f>
        <v>37400</v>
      </c>
      <c r="I10" s="814">
        <v>33630</v>
      </c>
      <c r="J10" s="448">
        <v>22510</v>
      </c>
      <c r="K10" s="255">
        <f>35260+950+4*900+3020+400</f>
        <v>43230</v>
      </c>
      <c r="L10" s="255">
        <v>0</v>
      </c>
      <c r="M10" s="1062">
        <f t="shared" ref="M10:M11" si="0">SUM(K10:L10)</f>
        <v>43230</v>
      </c>
      <c r="N10" s="677">
        <f t="shared" ref="N10:N41" si="1">IF(I10=0,"",M10/I10*100)</f>
        <v>128.54594112399641</v>
      </c>
    </row>
    <row r="11" spans="1:16" ht="12.95" customHeight="1">
      <c r="B11" s="10"/>
      <c r="C11" s="11"/>
      <c r="D11" s="11"/>
      <c r="E11" s="636">
        <v>611200</v>
      </c>
      <c r="F11" s="662"/>
      <c r="G11" s="229" t="s">
        <v>547</v>
      </c>
      <c r="H11" s="255">
        <v>0</v>
      </c>
      <c r="I11" s="814">
        <v>0</v>
      </c>
      <c r="J11" s="448">
        <v>0</v>
      </c>
      <c r="K11" s="255">
        <v>0</v>
      </c>
      <c r="L11" s="255">
        <v>0</v>
      </c>
      <c r="M11" s="1062">
        <f t="shared" si="0"/>
        <v>0</v>
      </c>
      <c r="N11" s="677" t="str">
        <f t="shared" si="1"/>
        <v/>
      </c>
      <c r="P11" s="63"/>
    </row>
    <row r="12" spans="1:16" ht="12.95" customHeight="1">
      <c r="B12" s="10"/>
      <c r="C12" s="11"/>
      <c r="D12" s="11"/>
      <c r="E12" s="636"/>
      <c r="F12" s="662"/>
      <c r="G12" s="20"/>
      <c r="H12" s="255"/>
      <c r="I12" s="814"/>
      <c r="J12" s="448"/>
      <c r="K12" s="255"/>
      <c r="L12" s="255"/>
      <c r="M12" s="1062"/>
      <c r="N12" s="677" t="str">
        <f t="shared" si="1"/>
        <v/>
      </c>
    </row>
    <row r="13" spans="1:16" s="1" customFormat="1" ht="12.95" customHeight="1">
      <c r="A13" s="608"/>
      <c r="B13" s="12"/>
      <c r="C13" s="8"/>
      <c r="D13" s="8"/>
      <c r="E13" s="635">
        <v>612000</v>
      </c>
      <c r="F13" s="661"/>
      <c r="G13" s="8" t="s">
        <v>162</v>
      </c>
      <c r="H13" s="256">
        <f>H14</f>
        <v>21380</v>
      </c>
      <c r="I13" s="815">
        <v>20400</v>
      </c>
      <c r="J13" s="449">
        <v>14767</v>
      </c>
      <c r="K13" s="256">
        <f>K14</f>
        <v>22720</v>
      </c>
      <c r="L13" s="256">
        <f>L14</f>
        <v>0</v>
      </c>
      <c r="M13" s="1061">
        <f>M14</f>
        <v>22720</v>
      </c>
      <c r="N13" s="676">
        <f t="shared" si="1"/>
        <v>111.37254901960785</v>
      </c>
    </row>
    <row r="14" spans="1:16" ht="12.95" customHeight="1">
      <c r="B14" s="10"/>
      <c r="C14" s="11"/>
      <c r="D14" s="11"/>
      <c r="E14" s="636">
        <v>612100</v>
      </c>
      <c r="F14" s="662"/>
      <c r="G14" s="13" t="s">
        <v>83</v>
      </c>
      <c r="H14" s="255">
        <f>18620+500+1650+560+50</f>
        <v>21380</v>
      </c>
      <c r="I14" s="814">
        <v>20400</v>
      </c>
      <c r="J14" s="448">
        <v>14767</v>
      </c>
      <c r="K14" s="255">
        <f>21250+250+4*70+940</f>
        <v>22720</v>
      </c>
      <c r="L14" s="255">
        <v>0</v>
      </c>
      <c r="M14" s="1062">
        <f>SUM(K14:L14)</f>
        <v>22720</v>
      </c>
      <c r="N14" s="677">
        <f t="shared" si="1"/>
        <v>111.37254901960785</v>
      </c>
    </row>
    <row r="15" spans="1:16" ht="12.95" customHeight="1">
      <c r="B15" s="10"/>
      <c r="C15" s="11"/>
      <c r="D15" s="11"/>
      <c r="E15" s="636"/>
      <c r="F15" s="662"/>
      <c r="G15" s="11"/>
      <c r="H15" s="30"/>
      <c r="I15" s="809"/>
      <c r="J15" s="443"/>
      <c r="K15" s="593"/>
      <c r="L15" s="593"/>
      <c r="M15" s="1063"/>
      <c r="N15" s="677" t="str">
        <f t="shared" si="1"/>
        <v/>
      </c>
    </row>
    <row r="16" spans="1:16" s="1" customFormat="1" ht="12.95" customHeight="1">
      <c r="A16" s="608"/>
      <c r="B16" s="12"/>
      <c r="C16" s="8"/>
      <c r="D16" s="8"/>
      <c r="E16" s="635">
        <v>613000</v>
      </c>
      <c r="F16" s="661"/>
      <c r="G16" s="8" t="s">
        <v>164</v>
      </c>
      <c r="H16" s="35">
        <f>SUM(H17:H26)</f>
        <v>85110</v>
      </c>
      <c r="I16" s="810">
        <v>80360</v>
      </c>
      <c r="J16" s="444">
        <v>57899</v>
      </c>
      <c r="K16" s="620">
        <f>SUM(K17:K26)</f>
        <v>80100</v>
      </c>
      <c r="L16" s="620">
        <f>SUM(L17:L26)</f>
        <v>0</v>
      </c>
      <c r="M16" s="1064">
        <f>SUM(M17:M26)</f>
        <v>80100</v>
      </c>
      <c r="N16" s="676">
        <f t="shared" si="1"/>
        <v>99.676455948232956</v>
      </c>
      <c r="P16" s="65"/>
    </row>
    <row r="17" spans="1:14" ht="12.95" customHeight="1">
      <c r="B17" s="10"/>
      <c r="C17" s="11"/>
      <c r="D17" s="11"/>
      <c r="E17" s="636">
        <v>613100</v>
      </c>
      <c r="F17" s="662"/>
      <c r="G17" s="11" t="s">
        <v>84</v>
      </c>
      <c r="H17" s="30">
        <v>3510</v>
      </c>
      <c r="I17" s="809">
        <v>3810</v>
      </c>
      <c r="J17" s="443">
        <v>3018</v>
      </c>
      <c r="K17" s="962">
        <v>3500</v>
      </c>
      <c r="L17" s="962">
        <v>0</v>
      </c>
      <c r="M17" s="1062">
        <f t="shared" ref="M17:M26" si="2">SUM(K17:L17)</f>
        <v>3500</v>
      </c>
      <c r="N17" s="677">
        <f t="shared" si="1"/>
        <v>91.863517060367457</v>
      </c>
    </row>
    <row r="18" spans="1:14" ht="12.95" customHeight="1">
      <c r="B18" s="10"/>
      <c r="C18" s="11"/>
      <c r="D18" s="11"/>
      <c r="E18" s="636">
        <v>613200</v>
      </c>
      <c r="F18" s="662"/>
      <c r="G18" s="11" t="s">
        <v>85</v>
      </c>
      <c r="H18" s="30">
        <v>0</v>
      </c>
      <c r="I18" s="809">
        <v>0</v>
      </c>
      <c r="J18" s="443">
        <v>0</v>
      </c>
      <c r="K18" s="962">
        <v>0</v>
      </c>
      <c r="L18" s="962">
        <v>0</v>
      </c>
      <c r="M18" s="1062">
        <f t="shared" si="2"/>
        <v>0</v>
      </c>
      <c r="N18" s="677" t="str">
        <f t="shared" si="1"/>
        <v/>
      </c>
    </row>
    <row r="19" spans="1:14" ht="12.95" customHeight="1">
      <c r="B19" s="10"/>
      <c r="C19" s="11"/>
      <c r="D19" s="11"/>
      <c r="E19" s="636">
        <v>613300</v>
      </c>
      <c r="F19" s="662"/>
      <c r="G19" s="20" t="s">
        <v>206</v>
      </c>
      <c r="H19" s="30">
        <v>15000</v>
      </c>
      <c r="I19" s="809">
        <v>15950</v>
      </c>
      <c r="J19" s="443">
        <v>11746</v>
      </c>
      <c r="K19" s="962">
        <v>16000</v>
      </c>
      <c r="L19" s="962">
        <v>0</v>
      </c>
      <c r="M19" s="1062">
        <f t="shared" si="2"/>
        <v>16000</v>
      </c>
      <c r="N19" s="677">
        <f t="shared" si="1"/>
        <v>100.31347962382443</v>
      </c>
    </row>
    <row r="20" spans="1:14" ht="12.95" customHeight="1">
      <c r="B20" s="10"/>
      <c r="C20" s="11"/>
      <c r="D20" s="11"/>
      <c r="E20" s="636">
        <v>613400</v>
      </c>
      <c r="F20" s="662"/>
      <c r="G20" s="11" t="s">
        <v>165</v>
      </c>
      <c r="H20" s="57">
        <v>600</v>
      </c>
      <c r="I20" s="811">
        <v>300</v>
      </c>
      <c r="J20" s="445">
        <v>27</v>
      </c>
      <c r="K20" s="982">
        <v>300</v>
      </c>
      <c r="L20" s="982">
        <v>0</v>
      </c>
      <c r="M20" s="1062">
        <f t="shared" si="2"/>
        <v>300</v>
      </c>
      <c r="N20" s="677">
        <f t="shared" si="1"/>
        <v>100</v>
      </c>
    </row>
    <row r="21" spans="1:14" ht="12.95" customHeight="1">
      <c r="B21" s="10"/>
      <c r="C21" s="11"/>
      <c r="D21" s="11"/>
      <c r="E21" s="636">
        <v>613500</v>
      </c>
      <c r="F21" s="662"/>
      <c r="G21" s="11" t="s">
        <v>86</v>
      </c>
      <c r="H21" s="57">
        <v>0</v>
      </c>
      <c r="I21" s="811">
        <v>0</v>
      </c>
      <c r="J21" s="445">
        <v>0</v>
      </c>
      <c r="K21" s="982">
        <v>0</v>
      </c>
      <c r="L21" s="982">
        <v>0</v>
      </c>
      <c r="M21" s="1062">
        <f t="shared" si="2"/>
        <v>0</v>
      </c>
      <c r="N21" s="677" t="str">
        <f t="shared" si="1"/>
        <v/>
      </c>
    </row>
    <row r="22" spans="1:14" ht="12.95" customHeight="1">
      <c r="B22" s="10"/>
      <c r="C22" s="11"/>
      <c r="D22" s="11"/>
      <c r="E22" s="636">
        <v>613600</v>
      </c>
      <c r="F22" s="662"/>
      <c r="G22" s="20" t="s">
        <v>207</v>
      </c>
      <c r="H22" s="57">
        <v>0</v>
      </c>
      <c r="I22" s="811">
        <v>0</v>
      </c>
      <c r="J22" s="445">
        <v>0</v>
      </c>
      <c r="K22" s="982">
        <v>0</v>
      </c>
      <c r="L22" s="982">
        <v>0</v>
      </c>
      <c r="M22" s="1062">
        <f t="shared" si="2"/>
        <v>0</v>
      </c>
      <c r="N22" s="677" t="str">
        <f t="shared" si="1"/>
        <v/>
      </c>
    </row>
    <row r="23" spans="1:14" ht="12.95" customHeight="1">
      <c r="B23" s="10"/>
      <c r="C23" s="11"/>
      <c r="D23" s="11"/>
      <c r="E23" s="636">
        <v>613700</v>
      </c>
      <c r="F23" s="662"/>
      <c r="G23" s="11" t="s">
        <v>87</v>
      </c>
      <c r="H23" s="57">
        <v>1000</v>
      </c>
      <c r="I23" s="811">
        <v>300</v>
      </c>
      <c r="J23" s="445">
        <v>43</v>
      </c>
      <c r="K23" s="982">
        <v>300</v>
      </c>
      <c r="L23" s="982">
        <v>0</v>
      </c>
      <c r="M23" s="1062">
        <f t="shared" si="2"/>
        <v>300</v>
      </c>
      <c r="N23" s="677">
        <f t="shared" si="1"/>
        <v>100</v>
      </c>
    </row>
    <row r="24" spans="1:14" ht="12.95" customHeight="1">
      <c r="B24" s="10"/>
      <c r="C24" s="11"/>
      <c r="D24" s="11"/>
      <c r="E24" s="636">
        <v>613800</v>
      </c>
      <c r="F24" s="662"/>
      <c r="G24" s="11" t="s">
        <v>166</v>
      </c>
      <c r="H24" s="57">
        <v>0</v>
      </c>
      <c r="I24" s="811">
        <v>0</v>
      </c>
      <c r="J24" s="445">
        <v>0</v>
      </c>
      <c r="K24" s="982">
        <v>0</v>
      </c>
      <c r="L24" s="982">
        <v>0</v>
      </c>
      <c r="M24" s="1062">
        <f t="shared" si="2"/>
        <v>0</v>
      </c>
      <c r="N24" s="677" t="str">
        <f t="shared" si="1"/>
        <v/>
      </c>
    </row>
    <row r="25" spans="1:14" ht="12.95" customHeight="1">
      <c r="B25" s="10"/>
      <c r="C25" s="11"/>
      <c r="D25" s="11"/>
      <c r="E25" s="636">
        <v>613900</v>
      </c>
      <c r="F25" s="662"/>
      <c r="G25" s="11" t="s">
        <v>167</v>
      </c>
      <c r="H25" s="88">
        <v>65000</v>
      </c>
      <c r="I25" s="813">
        <v>60000</v>
      </c>
      <c r="J25" s="447">
        <v>43065</v>
      </c>
      <c r="K25" s="984">
        <v>60000</v>
      </c>
      <c r="L25" s="984">
        <v>0</v>
      </c>
      <c r="M25" s="1062">
        <f t="shared" si="2"/>
        <v>60000</v>
      </c>
      <c r="N25" s="677">
        <f t="shared" si="1"/>
        <v>100</v>
      </c>
    </row>
    <row r="26" spans="1:14" ht="12.95" customHeight="1">
      <c r="B26" s="10"/>
      <c r="C26" s="11"/>
      <c r="D26" s="11"/>
      <c r="E26" s="636">
        <v>613900</v>
      </c>
      <c r="F26" s="662"/>
      <c r="G26" s="229" t="s">
        <v>548</v>
      </c>
      <c r="H26" s="57">
        <v>0</v>
      </c>
      <c r="I26" s="811">
        <v>0</v>
      </c>
      <c r="J26" s="445">
        <v>0</v>
      </c>
      <c r="K26" s="982">
        <v>0</v>
      </c>
      <c r="L26" s="982">
        <v>0</v>
      </c>
      <c r="M26" s="1062">
        <f t="shared" si="2"/>
        <v>0</v>
      </c>
      <c r="N26" s="677" t="str">
        <f t="shared" si="1"/>
        <v/>
      </c>
    </row>
    <row r="27" spans="1:14" ht="12.95" customHeight="1">
      <c r="B27" s="10"/>
      <c r="C27" s="11"/>
      <c r="D27" s="11"/>
      <c r="E27" s="636"/>
      <c r="F27" s="662"/>
      <c r="G27" s="11"/>
      <c r="H27" s="79"/>
      <c r="I27" s="812"/>
      <c r="J27" s="446"/>
      <c r="K27" s="622"/>
      <c r="L27" s="622"/>
      <c r="M27" s="1064"/>
      <c r="N27" s="677" t="str">
        <f t="shared" si="1"/>
        <v/>
      </c>
    </row>
    <row r="28" spans="1:14" s="1" customFormat="1" ht="12.95" customHeight="1">
      <c r="A28" s="608"/>
      <c r="B28" s="12"/>
      <c r="C28" s="8"/>
      <c r="D28" s="8"/>
      <c r="E28" s="635">
        <v>614000</v>
      </c>
      <c r="F28" s="661"/>
      <c r="G28" s="8" t="s">
        <v>208</v>
      </c>
      <c r="H28" s="79">
        <f>SUM(H29:H32)</f>
        <v>4080000</v>
      </c>
      <c r="I28" s="812">
        <v>4080000</v>
      </c>
      <c r="J28" s="622">
        <f t="shared" ref="J28:M28" si="3">SUM(J29:J32)</f>
        <v>2776502</v>
      </c>
      <c r="K28" s="622">
        <f t="shared" ref="K28:L28" si="4">SUM(K29:K32)</f>
        <v>3734000</v>
      </c>
      <c r="L28" s="622">
        <f t="shared" si="4"/>
        <v>266000</v>
      </c>
      <c r="M28" s="1064">
        <f t="shared" si="3"/>
        <v>4000000</v>
      </c>
      <c r="N28" s="676">
        <f t="shared" si="1"/>
        <v>98.039215686274503</v>
      </c>
    </row>
    <row r="29" spans="1:14" ht="12.95" customHeight="1">
      <c r="B29" s="10"/>
      <c r="C29" s="11"/>
      <c r="D29" s="24"/>
      <c r="E29" s="636">
        <v>614100</v>
      </c>
      <c r="F29" s="662" t="s">
        <v>718</v>
      </c>
      <c r="G29" s="1204" t="s">
        <v>850</v>
      </c>
      <c r="H29" s="88">
        <v>650000</v>
      </c>
      <c r="I29" s="813">
        <v>550000</v>
      </c>
      <c r="J29" s="447">
        <v>486000</v>
      </c>
      <c r="K29" s="623">
        <v>420000</v>
      </c>
      <c r="L29" s="623">
        <v>0</v>
      </c>
      <c r="M29" s="1062">
        <f t="shared" ref="M29:M32" si="5">SUM(K29:L29)</f>
        <v>420000</v>
      </c>
      <c r="N29" s="677">
        <f t="shared" si="1"/>
        <v>76.363636363636374</v>
      </c>
    </row>
    <row r="30" spans="1:14" ht="12.95" customHeight="1">
      <c r="B30" s="10"/>
      <c r="C30" s="11"/>
      <c r="D30" s="11"/>
      <c r="E30" s="636">
        <v>614200</v>
      </c>
      <c r="F30" s="662"/>
      <c r="G30" s="20" t="s">
        <v>105</v>
      </c>
      <c r="H30" s="88">
        <v>3430000</v>
      </c>
      <c r="I30" s="813">
        <v>3530000</v>
      </c>
      <c r="J30" s="447">
        <v>2290502</v>
      </c>
      <c r="K30" s="623">
        <v>0</v>
      </c>
      <c r="L30" s="623">
        <v>0</v>
      </c>
      <c r="M30" s="1062">
        <f>SUM(K30:L30)</f>
        <v>0</v>
      </c>
      <c r="N30" s="677">
        <f t="shared" si="1"/>
        <v>0</v>
      </c>
    </row>
    <row r="31" spans="1:14" s="611" customFormat="1" ht="12.95" customHeight="1">
      <c r="B31" s="612"/>
      <c r="C31" s="613"/>
      <c r="D31" s="613"/>
      <c r="E31" s="636">
        <v>614200</v>
      </c>
      <c r="F31" s="665" t="s">
        <v>856</v>
      </c>
      <c r="G31" s="617" t="s">
        <v>739</v>
      </c>
      <c r="H31" s="623">
        <v>0</v>
      </c>
      <c r="I31" s="623">
        <v>0</v>
      </c>
      <c r="J31" s="623">
        <v>0</v>
      </c>
      <c r="K31" s="623">
        <v>60000</v>
      </c>
      <c r="L31" s="623">
        <v>0</v>
      </c>
      <c r="M31" s="1062">
        <f t="shared" si="5"/>
        <v>60000</v>
      </c>
      <c r="N31" s="677"/>
    </row>
    <row r="32" spans="1:14" s="611" customFormat="1" ht="12.95" customHeight="1">
      <c r="B32" s="612"/>
      <c r="C32" s="613"/>
      <c r="D32" s="613"/>
      <c r="E32" s="636">
        <v>614200</v>
      </c>
      <c r="F32" s="665" t="s">
        <v>857</v>
      </c>
      <c r="G32" s="617" t="s">
        <v>740</v>
      </c>
      <c r="H32" s="623">
        <v>0</v>
      </c>
      <c r="I32" s="623">
        <v>0</v>
      </c>
      <c r="J32" s="623">
        <v>0</v>
      </c>
      <c r="K32" s="623">
        <f>3580000-60000-266000</f>
        <v>3254000</v>
      </c>
      <c r="L32" s="623">
        <v>266000</v>
      </c>
      <c r="M32" s="1062">
        <f t="shared" si="5"/>
        <v>3520000</v>
      </c>
      <c r="N32" s="677"/>
    </row>
    <row r="33" spans="1:15" ht="12.95" customHeight="1">
      <c r="B33" s="10"/>
      <c r="C33" s="11"/>
      <c r="D33" s="11"/>
      <c r="E33" s="636"/>
      <c r="F33" s="662"/>
      <c r="G33" s="11"/>
      <c r="H33" s="57"/>
      <c r="I33" s="57"/>
      <c r="J33" s="445"/>
      <c r="K33" s="595"/>
      <c r="L33" s="595"/>
      <c r="M33" s="1063"/>
      <c r="N33" s="677" t="str">
        <f t="shared" si="1"/>
        <v/>
      </c>
    </row>
    <row r="34" spans="1:15" ht="12.95" customHeight="1">
      <c r="B34" s="12"/>
      <c r="C34" s="8"/>
      <c r="D34" s="8"/>
      <c r="E34" s="635">
        <v>821000</v>
      </c>
      <c r="F34" s="661"/>
      <c r="G34" s="8" t="s">
        <v>90</v>
      </c>
      <c r="H34" s="79">
        <f>H35+H36</f>
        <v>1500</v>
      </c>
      <c r="I34" s="79">
        <f>I35+I36</f>
        <v>1500</v>
      </c>
      <c r="J34" s="446">
        <v>666</v>
      </c>
      <c r="K34" s="622">
        <f>K35+K36</f>
        <v>1500</v>
      </c>
      <c r="L34" s="622">
        <f>L35+L36</f>
        <v>0</v>
      </c>
      <c r="M34" s="1064">
        <f>M35+M36</f>
        <v>1500</v>
      </c>
      <c r="N34" s="676">
        <f t="shared" si="1"/>
        <v>100</v>
      </c>
    </row>
    <row r="35" spans="1:15" s="1" customFormat="1" ht="12.95" customHeight="1">
      <c r="A35" s="608"/>
      <c r="B35" s="10"/>
      <c r="C35" s="11"/>
      <c r="D35" s="11"/>
      <c r="E35" s="636">
        <v>821200</v>
      </c>
      <c r="F35" s="662"/>
      <c r="G35" s="11" t="s">
        <v>91</v>
      </c>
      <c r="H35" s="57">
        <v>0</v>
      </c>
      <c r="I35" s="57">
        <v>0</v>
      </c>
      <c r="J35" s="445">
        <v>0</v>
      </c>
      <c r="K35" s="595">
        <v>0</v>
      </c>
      <c r="L35" s="595">
        <v>0</v>
      </c>
      <c r="M35" s="1062">
        <f t="shared" ref="M35:M36" si="6">SUM(K35:L35)</f>
        <v>0</v>
      </c>
      <c r="N35" s="677" t="str">
        <f t="shared" si="1"/>
        <v/>
      </c>
      <c r="O35" s="1" t="s">
        <v>175</v>
      </c>
    </row>
    <row r="36" spans="1:15" ht="12.95" customHeight="1">
      <c r="B36" s="10"/>
      <c r="C36" s="11"/>
      <c r="D36" s="11"/>
      <c r="E36" s="636">
        <v>821300</v>
      </c>
      <c r="F36" s="662"/>
      <c r="G36" s="11" t="s">
        <v>92</v>
      </c>
      <c r="H36" s="57">
        <v>1500</v>
      </c>
      <c r="I36" s="57">
        <v>1500</v>
      </c>
      <c r="J36" s="445">
        <v>666</v>
      </c>
      <c r="K36" s="595">
        <v>1500</v>
      </c>
      <c r="L36" s="595">
        <v>0</v>
      </c>
      <c r="M36" s="1062">
        <f t="shared" si="6"/>
        <v>1500</v>
      </c>
      <c r="N36" s="677">
        <f t="shared" si="1"/>
        <v>100</v>
      </c>
    </row>
    <row r="37" spans="1:15" ht="12.95" customHeight="1">
      <c r="B37" s="10"/>
      <c r="C37" s="11"/>
      <c r="D37" s="11"/>
      <c r="E37" s="636"/>
      <c r="F37" s="662"/>
      <c r="G37" s="11"/>
      <c r="H37" s="57"/>
      <c r="I37" s="57"/>
      <c r="J37" s="445"/>
      <c r="K37" s="595"/>
      <c r="L37" s="595"/>
      <c r="M37" s="1063"/>
      <c r="N37" s="677" t="str">
        <f t="shared" si="1"/>
        <v/>
      </c>
    </row>
    <row r="38" spans="1:15" ht="12.95" customHeight="1">
      <c r="B38" s="12"/>
      <c r="C38" s="8"/>
      <c r="D38" s="8"/>
      <c r="E38" s="635"/>
      <c r="F38" s="661"/>
      <c r="G38" s="8" t="s">
        <v>93</v>
      </c>
      <c r="H38" s="79">
        <v>9</v>
      </c>
      <c r="I38" s="79">
        <v>9</v>
      </c>
      <c r="J38" s="446">
        <v>9</v>
      </c>
      <c r="K38" s="622">
        <v>10</v>
      </c>
      <c r="L38" s="622"/>
      <c r="M38" s="1064">
        <v>10</v>
      </c>
      <c r="N38" s="677"/>
    </row>
    <row r="39" spans="1:15" s="1" customFormat="1" ht="12.95" customHeight="1">
      <c r="A39" s="608"/>
      <c r="B39" s="12"/>
      <c r="C39" s="8"/>
      <c r="D39" s="8"/>
      <c r="E39" s="635"/>
      <c r="F39" s="661"/>
      <c r="G39" s="8" t="s">
        <v>113</v>
      </c>
      <c r="H39" s="15">
        <f>H8+H13+H16+H28+H34</f>
        <v>4422380</v>
      </c>
      <c r="I39" s="15">
        <f>I8+I13+I16+I28+I34</f>
        <v>4395890</v>
      </c>
      <c r="J39" s="15">
        <f t="shared" ref="J39" si="7">J8+J13+J16+J28+J34</f>
        <v>3001858</v>
      </c>
      <c r="K39" s="615">
        <f>K8+K13+K16+K28+K34</f>
        <v>4094300</v>
      </c>
      <c r="L39" s="615">
        <f>L8+L13+L16+L28+L34</f>
        <v>266000</v>
      </c>
      <c r="M39" s="1064">
        <f>M8+M13+M16+M28+M34</f>
        <v>4360300</v>
      </c>
      <c r="N39" s="676">
        <f t="shared" si="1"/>
        <v>99.190380105052682</v>
      </c>
    </row>
    <row r="40" spans="1:15" s="1" customFormat="1" ht="12.95" customHeight="1">
      <c r="A40" s="608"/>
      <c r="B40" s="12"/>
      <c r="C40" s="8"/>
      <c r="D40" s="8"/>
      <c r="E40" s="635"/>
      <c r="F40" s="661"/>
      <c r="G40" s="8" t="s">
        <v>94</v>
      </c>
      <c r="H40" s="15">
        <f>H39</f>
        <v>4422380</v>
      </c>
      <c r="I40" s="15">
        <f>I39</f>
        <v>4395890</v>
      </c>
      <c r="J40" s="15">
        <f t="shared" ref="J40" si="8">J39</f>
        <v>3001858</v>
      </c>
      <c r="K40" s="615">
        <f t="shared" ref="K40:M41" si="9">K39</f>
        <v>4094300</v>
      </c>
      <c r="L40" s="615">
        <f t="shared" si="9"/>
        <v>266000</v>
      </c>
      <c r="M40" s="1064">
        <f t="shared" si="9"/>
        <v>4360300</v>
      </c>
      <c r="N40" s="676">
        <f t="shared" si="1"/>
        <v>99.190380105052682</v>
      </c>
    </row>
    <row r="41" spans="1:15" s="1" customFormat="1" ht="12.95" customHeight="1">
      <c r="A41" s="608"/>
      <c r="B41" s="12"/>
      <c r="C41" s="8"/>
      <c r="D41" s="8"/>
      <c r="E41" s="635"/>
      <c r="F41" s="661"/>
      <c r="G41" s="8" t="s">
        <v>95</v>
      </c>
      <c r="H41" s="15">
        <f>H40</f>
        <v>4422380</v>
      </c>
      <c r="I41" s="15">
        <f>I40</f>
        <v>4395890</v>
      </c>
      <c r="J41" s="15">
        <f t="shared" ref="J41" si="10">J40</f>
        <v>3001858</v>
      </c>
      <c r="K41" s="615">
        <f t="shared" si="9"/>
        <v>4094300</v>
      </c>
      <c r="L41" s="615">
        <f t="shared" si="9"/>
        <v>266000</v>
      </c>
      <c r="M41" s="1064">
        <f t="shared" si="9"/>
        <v>4360300</v>
      </c>
      <c r="N41" s="676">
        <f t="shared" si="1"/>
        <v>99.190380105052682</v>
      </c>
    </row>
    <row r="42" spans="1:15" s="1" customFormat="1" ht="12.95" customHeight="1" thickBot="1">
      <c r="A42" s="608"/>
      <c r="B42" s="16"/>
      <c r="C42" s="17"/>
      <c r="D42" s="17"/>
      <c r="E42" s="637"/>
      <c r="F42" s="663"/>
      <c r="G42" s="17"/>
      <c r="H42" s="17"/>
      <c r="I42" s="17"/>
      <c r="J42" s="17"/>
      <c r="K42" s="17"/>
      <c r="L42" s="17"/>
      <c r="M42" s="1071"/>
      <c r="N42" s="679"/>
    </row>
    <row r="43" spans="1:15" ht="12.95" customHeight="1">
      <c r="E43" s="638"/>
      <c r="F43" s="664"/>
      <c r="M43" s="1068"/>
    </row>
    <row r="44" spans="1:15" ht="12.95" customHeight="1">
      <c r="E44" s="638"/>
      <c r="F44" s="664"/>
      <c r="M44" s="1068"/>
    </row>
    <row r="45" spans="1:15" ht="12.95" customHeight="1">
      <c r="B45" s="56"/>
      <c r="E45" s="638"/>
      <c r="F45" s="664"/>
      <c r="M45" s="1068"/>
    </row>
    <row r="46" spans="1:15" ht="12.95" customHeight="1">
      <c r="B46" s="56"/>
      <c r="E46" s="638"/>
      <c r="F46" s="664"/>
      <c r="M46" s="1068"/>
    </row>
    <row r="47" spans="1:15" ht="12.95" customHeight="1">
      <c r="B47" s="56"/>
      <c r="E47" s="638"/>
      <c r="F47" s="664"/>
      <c r="M47" s="1068"/>
    </row>
    <row r="48" spans="1:15" ht="12.95" customHeight="1">
      <c r="B48" s="56"/>
      <c r="E48" s="638"/>
      <c r="F48" s="664"/>
      <c r="M48" s="1068"/>
    </row>
    <row r="49" spans="2:13" ht="12.95" customHeight="1">
      <c r="B49" s="56"/>
      <c r="E49" s="638"/>
      <c r="F49" s="664"/>
      <c r="M49" s="1068"/>
    </row>
    <row r="50" spans="2:13" ht="12.95" customHeight="1">
      <c r="E50" s="638"/>
      <c r="F50" s="664"/>
      <c r="M50" s="1068"/>
    </row>
    <row r="51" spans="2:13" ht="12.95" customHeight="1">
      <c r="E51" s="638"/>
      <c r="F51" s="664"/>
      <c r="M51" s="1068"/>
    </row>
    <row r="52" spans="2:13" ht="12.95" customHeight="1">
      <c r="E52" s="638"/>
      <c r="F52" s="664"/>
      <c r="M52" s="1068"/>
    </row>
    <row r="53" spans="2:13" ht="12.95" customHeight="1">
      <c r="E53" s="638"/>
      <c r="F53" s="664"/>
      <c r="M53" s="1068"/>
    </row>
    <row r="54" spans="2:13" ht="12.95" customHeight="1">
      <c r="E54" s="638"/>
      <c r="F54" s="664"/>
      <c r="M54" s="1068"/>
    </row>
    <row r="55" spans="2:13" ht="12.95" customHeight="1">
      <c r="E55" s="638"/>
      <c r="F55" s="664"/>
      <c r="M55" s="1068"/>
    </row>
    <row r="56" spans="2:13" ht="12.95" customHeight="1">
      <c r="E56" s="638"/>
      <c r="F56" s="664"/>
      <c r="M56" s="1068"/>
    </row>
    <row r="57" spans="2:13" ht="12.95" customHeight="1">
      <c r="E57" s="638"/>
      <c r="F57" s="664"/>
      <c r="M57" s="1068"/>
    </row>
    <row r="58" spans="2:13" ht="12.95" customHeight="1">
      <c r="E58" s="638"/>
      <c r="F58" s="664"/>
      <c r="M58" s="1068"/>
    </row>
    <row r="59" spans="2:13" ht="12.95" customHeight="1">
      <c r="E59" s="638"/>
      <c r="F59" s="664"/>
      <c r="M59" s="1068"/>
    </row>
    <row r="60" spans="2:13" ht="17.100000000000001" customHeight="1">
      <c r="E60" s="638"/>
      <c r="F60" s="664"/>
      <c r="M60" s="1068"/>
    </row>
    <row r="61" spans="2:13" ht="17.100000000000001" customHeight="1">
      <c r="E61" s="638"/>
      <c r="F61" s="664"/>
      <c r="M61" s="1068"/>
    </row>
    <row r="62" spans="2:13" ht="17.100000000000001" customHeight="1">
      <c r="E62" s="638"/>
      <c r="F62" s="664"/>
      <c r="M62" s="1068"/>
    </row>
    <row r="63" spans="2:13" ht="14.25">
      <c r="E63" s="638"/>
      <c r="F63" s="664"/>
      <c r="M63" s="1068"/>
    </row>
    <row r="64" spans="2:13" ht="14.25">
      <c r="E64" s="638"/>
      <c r="F64" s="664"/>
      <c r="M64" s="1068"/>
    </row>
    <row r="65" spans="5:13" ht="14.25">
      <c r="E65" s="638"/>
      <c r="F65" s="664"/>
      <c r="M65" s="1068"/>
    </row>
    <row r="66" spans="5:13" ht="14.25">
      <c r="E66" s="638"/>
      <c r="F66" s="664"/>
      <c r="M66" s="1068"/>
    </row>
    <row r="67" spans="5:13" ht="14.25">
      <c r="E67" s="638"/>
      <c r="F67" s="664"/>
      <c r="M67" s="1068"/>
    </row>
    <row r="68" spans="5:13" ht="14.25">
      <c r="E68" s="638"/>
      <c r="F68" s="664"/>
      <c r="M68" s="1068"/>
    </row>
    <row r="69" spans="5:13" ht="14.25">
      <c r="E69" s="638"/>
      <c r="F69" s="664"/>
      <c r="M69" s="1068"/>
    </row>
    <row r="70" spans="5:13" ht="14.25">
      <c r="E70" s="638"/>
      <c r="F70" s="664"/>
      <c r="M70" s="1068"/>
    </row>
    <row r="71" spans="5:13" ht="14.25">
      <c r="E71" s="638"/>
      <c r="F71" s="664"/>
      <c r="M71" s="1068"/>
    </row>
    <row r="72" spans="5:13" ht="14.25">
      <c r="E72" s="638"/>
      <c r="F72" s="664"/>
      <c r="M72" s="1068"/>
    </row>
    <row r="73" spans="5:13" ht="14.25">
      <c r="E73" s="638"/>
      <c r="F73" s="664"/>
      <c r="M73" s="1068"/>
    </row>
    <row r="74" spans="5:13" ht="14.25">
      <c r="E74" s="638"/>
      <c r="F74" s="638"/>
      <c r="M74" s="1068"/>
    </row>
    <row r="75" spans="5:13" ht="14.25">
      <c r="E75" s="638"/>
      <c r="F75" s="638"/>
      <c r="M75" s="1068"/>
    </row>
    <row r="76" spans="5:13" ht="14.25">
      <c r="E76" s="638"/>
      <c r="F76" s="638"/>
      <c r="M76" s="1068"/>
    </row>
    <row r="77" spans="5:13" ht="14.25">
      <c r="E77" s="638"/>
      <c r="F77" s="638"/>
      <c r="M77" s="1068"/>
    </row>
    <row r="78" spans="5:13" ht="14.25">
      <c r="E78" s="638"/>
      <c r="F78" s="638"/>
      <c r="M78" s="1068"/>
    </row>
    <row r="79" spans="5:13" ht="14.25">
      <c r="E79" s="638"/>
      <c r="F79" s="638"/>
      <c r="M79" s="1068"/>
    </row>
    <row r="80" spans="5:13" ht="14.25">
      <c r="E80" s="638"/>
      <c r="F80" s="638"/>
      <c r="M80" s="1068"/>
    </row>
    <row r="81" spans="5:13" ht="14.25">
      <c r="E81" s="638"/>
      <c r="F81" s="638"/>
      <c r="M81" s="1068"/>
    </row>
    <row r="82" spans="5:13" ht="14.25">
      <c r="E82" s="638"/>
      <c r="F82" s="638"/>
      <c r="M82" s="1068"/>
    </row>
    <row r="83" spans="5:13" ht="14.25">
      <c r="E83" s="638"/>
      <c r="F83" s="638"/>
      <c r="M83" s="1068"/>
    </row>
    <row r="84" spans="5:13" ht="14.25">
      <c r="E84" s="638"/>
      <c r="F84" s="638"/>
      <c r="M84" s="1068"/>
    </row>
    <row r="85" spans="5:13" ht="14.25">
      <c r="E85" s="638"/>
      <c r="F85" s="638"/>
      <c r="M85" s="1068"/>
    </row>
    <row r="86" spans="5:13" ht="14.25">
      <c r="E86" s="638"/>
      <c r="F86" s="638"/>
      <c r="M86" s="1068"/>
    </row>
    <row r="87" spans="5:13" ht="14.25">
      <c r="E87" s="638"/>
      <c r="F87" s="638"/>
      <c r="M87" s="1068"/>
    </row>
    <row r="88" spans="5:13" ht="14.25">
      <c r="E88" s="638"/>
      <c r="F88" s="638"/>
      <c r="M88" s="1068"/>
    </row>
    <row r="89" spans="5:13" ht="14.25">
      <c r="E89" s="638"/>
      <c r="F89" s="638"/>
      <c r="M89" s="1068"/>
    </row>
    <row r="90" spans="5:13" ht="14.25">
      <c r="E90" s="638"/>
      <c r="F90" s="638"/>
      <c r="M90" s="1068"/>
    </row>
    <row r="91" spans="5:13">
      <c r="F91" s="638"/>
    </row>
    <row r="92" spans="5:13">
      <c r="F92" s="638"/>
    </row>
    <row r="93" spans="5:13">
      <c r="F93" s="638"/>
    </row>
    <row r="94" spans="5:13">
      <c r="F94" s="638"/>
    </row>
    <row r="95" spans="5:13">
      <c r="F95" s="638"/>
    </row>
    <row r="96" spans="5:13">
      <c r="F96" s="638"/>
    </row>
  </sheetData>
  <mergeCells count="13">
    <mergeCell ref="N4:N5"/>
    <mergeCell ref="G4:G5"/>
    <mergeCell ref="B2:M2"/>
    <mergeCell ref="G3:H3"/>
    <mergeCell ref="K4:M4"/>
    <mergeCell ref="B4:B5"/>
    <mergeCell ref="C4:C5"/>
    <mergeCell ref="D4:D5"/>
    <mergeCell ref="F4:F5"/>
    <mergeCell ref="E4:E5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"/>
  <dimension ref="A1:P96"/>
  <sheetViews>
    <sheetView zoomScaleNormal="100" zoomScaleSheetLayoutView="100" workbookViewId="0">
      <selection activeCell="Q15" sqref="Q15"/>
    </sheetView>
  </sheetViews>
  <sheetFormatPr defaultRowHeight="12.75"/>
  <cols>
    <col min="1" max="1" width="9.140625" style="611"/>
    <col min="2" max="2" width="4.7109375" style="9" customWidth="1"/>
    <col min="3" max="3" width="5.140625" style="9" customWidth="1"/>
    <col min="4" max="4" width="5" style="9" customWidth="1"/>
    <col min="5" max="5" width="8.7109375" style="18" customWidth="1"/>
    <col min="6" max="6" width="8.7109375" style="616" customWidth="1"/>
    <col min="7" max="7" width="50.7109375" style="9" customWidth="1"/>
    <col min="8" max="12" width="14.7109375" style="64" customWidth="1"/>
    <col min="13" max="13" width="15.7109375" style="64" customWidth="1"/>
    <col min="14" max="14" width="7.7109375" style="680" customWidth="1"/>
    <col min="15" max="16384" width="9.140625" style="9"/>
  </cols>
  <sheetData>
    <row r="1" spans="1:16" ht="13.5" thickBot="1"/>
    <row r="2" spans="1:16" s="126" customFormat="1" ht="20.100000000000001" customHeight="1" thickTop="1" thickBot="1">
      <c r="A2" s="1052"/>
      <c r="B2" s="1261" t="s">
        <v>178</v>
      </c>
      <c r="C2" s="1262"/>
      <c r="D2" s="1262"/>
      <c r="E2" s="1262"/>
      <c r="F2" s="1262"/>
      <c r="G2" s="1262"/>
      <c r="H2" s="1262"/>
      <c r="I2" s="1053"/>
      <c r="J2" s="1053"/>
      <c r="K2" s="1054"/>
      <c r="L2" s="1054"/>
      <c r="M2" s="1054"/>
      <c r="N2" s="1057"/>
    </row>
    <row r="3" spans="1:16" s="1" customFormat="1" ht="8.1" customHeight="1" thickTop="1" thickBot="1">
      <c r="A3" s="608"/>
      <c r="E3" s="2"/>
      <c r="F3" s="609"/>
      <c r="G3" s="1264"/>
      <c r="H3" s="1264"/>
      <c r="I3" s="306"/>
      <c r="J3" s="306"/>
      <c r="K3" s="119"/>
      <c r="L3" s="119"/>
      <c r="M3" s="119"/>
      <c r="N3" s="674"/>
    </row>
    <row r="4" spans="1:16" s="1" customFormat="1" ht="39" customHeight="1">
      <c r="A4" s="608"/>
      <c r="B4" s="1268" t="s">
        <v>78</v>
      </c>
      <c r="C4" s="1280" t="s">
        <v>79</v>
      </c>
      <c r="D4" s="1281" t="s">
        <v>110</v>
      </c>
      <c r="E4" s="1282" t="s">
        <v>615</v>
      </c>
      <c r="F4" s="1273" t="s">
        <v>695</v>
      </c>
      <c r="G4" s="1274" t="s">
        <v>80</v>
      </c>
      <c r="H4" s="1283" t="s">
        <v>614</v>
      </c>
      <c r="I4" s="1284" t="s">
        <v>747</v>
      </c>
      <c r="J4" s="1283" t="s">
        <v>667</v>
      </c>
      <c r="K4" s="1265" t="s">
        <v>682</v>
      </c>
      <c r="L4" s="1266"/>
      <c r="M4" s="1267"/>
      <c r="N4" s="1278" t="s">
        <v>756</v>
      </c>
    </row>
    <row r="5" spans="1:16" s="608" customFormat="1" ht="27" customHeight="1">
      <c r="B5" s="1269"/>
      <c r="C5" s="1271"/>
      <c r="D5" s="1271"/>
      <c r="E5" s="1275"/>
      <c r="F5" s="1271"/>
      <c r="G5" s="1275"/>
      <c r="H5" s="1275"/>
      <c r="I5" s="1275"/>
      <c r="J5" s="1275"/>
      <c r="K5" s="1048" t="s">
        <v>753</v>
      </c>
      <c r="L5" s="1048" t="s">
        <v>754</v>
      </c>
      <c r="M5" s="1059" t="s">
        <v>426</v>
      </c>
      <c r="N5" s="1279"/>
    </row>
    <row r="6" spans="1:16" s="2" customFormat="1" ht="12.95" customHeight="1">
      <c r="A6" s="609"/>
      <c r="B6" s="1181">
        <v>1</v>
      </c>
      <c r="C6" s="661">
        <v>2</v>
      </c>
      <c r="D6" s="661">
        <v>3</v>
      </c>
      <c r="E6" s="661">
        <v>4</v>
      </c>
      <c r="F6" s="661">
        <v>5</v>
      </c>
      <c r="G6" s="661">
        <v>6</v>
      </c>
      <c r="H6" s="661">
        <v>7</v>
      </c>
      <c r="I6" s="661">
        <v>8</v>
      </c>
      <c r="J6" s="661">
        <v>9</v>
      </c>
      <c r="K6" s="661">
        <v>10</v>
      </c>
      <c r="L6" s="661">
        <v>11</v>
      </c>
      <c r="M6" s="1201" t="s">
        <v>755</v>
      </c>
      <c r="N6" s="1183">
        <v>13</v>
      </c>
    </row>
    <row r="7" spans="1:16" s="2" customFormat="1" ht="12.95" customHeight="1">
      <c r="A7" s="609"/>
      <c r="B7" s="6" t="s">
        <v>139</v>
      </c>
      <c r="C7" s="7" t="s">
        <v>81</v>
      </c>
      <c r="D7" s="7" t="s">
        <v>82</v>
      </c>
      <c r="E7" s="5"/>
      <c r="F7" s="610"/>
      <c r="G7" s="5"/>
      <c r="H7" s="110"/>
      <c r="I7" s="110"/>
      <c r="J7" s="110"/>
      <c r="K7" s="110"/>
      <c r="L7" s="110"/>
      <c r="M7" s="1069"/>
      <c r="N7" s="675"/>
    </row>
    <row r="8" spans="1:16" s="1" customFormat="1" ht="12.95" customHeight="1">
      <c r="A8" s="608"/>
      <c r="B8" s="12"/>
      <c r="C8" s="8"/>
      <c r="D8" s="8"/>
      <c r="E8" s="635">
        <v>611000</v>
      </c>
      <c r="F8" s="661"/>
      <c r="G8" s="8" t="s">
        <v>163</v>
      </c>
      <c r="H8" s="256">
        <f>SUM(H9:H12)</f>
        <v>230270</v>
      </c>
      <c r="I8" s="821">
        <v>236350</v>
      </c>
      <c r="J8" s="455">
        <v>174083</v>
      </c>
      <c r="K8" s="256">
        <f>SUM(K9:K12)</f>
        <v>247350</v>
      </c>
      <c r="L8" s="256">
        <f>SUM(L9:L12)</f>
        <v>0</v>
      </c>
      <c r="M8" s="1061">
        <f>SUM(M9:M12)</f>
        <v>247350</v>
      </c>
      <c r="N8" s="676">
        <f>IF(I8=0,"",M8/I8*100)</f>
        <v>104.65411466046118</v>
      </c>
    </row>
    <row r="9" spans="1:16" ht="12.95" customHeight="1">
      <c r="B9" s="10"/>
      <c r="C9" s="11"/>
      <c r="D9" s="11"/>
      <c r="E9" s="636">
        <v>611100</v>
      </c>
      <c r="F9" s="662"/>
      <c r="G9" s="20" t="s">
        <v>204</v>
      </c>
      <c r="H9" s="258">
        <f>185300+1500+5560</f>
        <v>192360</v>
      </c>
      <c r="I9" s="822">
        <v>194020</v>
      </c>
      <c r="J9" s="456">
        <v>143647</v>
      </c>
      <c r="K9" s="258">
        <f>197600+1970+11700-4170</f>
        <v>207100</v>
      </c>
      <c r="L9" s="258">
        <v>0</v>
      </c>
      <c r="M9" s="1062">
        <f>SUM(K9:L9)</f>
        <v>207100</v>
      </c>
      <c r="N9" s="677">
        <f>IF(I9=0,"",M9/I9*100)</f>
        <v>106.74157303370787</v>
      </c>
    </row>
    <row r="10" spans="1:16" ht="12.95" customHeight="1">
      <c r="B10" s="10"/>
      <c r="C10" s="11"/>
      <c r="D10" s="11"/>
      <c r="E10" s="636">
        <v>611200</v>
      </c>
      <c r="F10" s="662"/>
      <c r="G10" s="11" t="s">
        <v>205</v>
      </c>
      <c r="H10" s="258">
        <f>36410+1500</f>
        <v>37910</v>
      </c>
      <c r="I10" s="822">
        <v>42330</v>
      </c>
      <c r="J10" s="456">
        <v>30436</v>
      </c>
      <c r="K10" s="258">
        <f>36500+750+3000</f>
        <v>40250</v>
      </c>
      <c r="L10" s="258">
        <v>0</v>
      </c>
      <c r="M10" s="1062">
        <f t="shared" ref="M10:M11" si="0">SUM(K10:L10)</f>
        <v>40250</v>
      </c>
      <c r="N10" s="677">
        <f t="shared" ref="N10:N41" si="1">IF(I10=0,"",M10/I10*100)</f>
        <v>95.086227261989137</v>
      </c>
    </row>
    <row r="11" spans="1:16" ht="12.95" customHeight="1">
      <c r="B11" s="10"/>
      <c r="C11" s="11"/>
      <c r="D11" s="11"/>
      <c r="E11" s="636">
        <v>611200</v>
      </c>
      <c r="F11" s="662"/>
      <c r="G11" s="229" t="s">
        <v>547</v>
      </c>
      <c r="H11" s="255">
        <v>0</v>
      </c>
      <c r="I11" s="820">
        <v>0</v>
      </c>
      <c r="J11" s="454">
        <v>0</v>
      </c>
      <c r="K11" s="255">
        <v>0</v>
      </c>
      <c r="L11" s="255">
        <v>0</v>
      </c>
      <c r="M11" s="1062">
        <f t="shared" si="0"/>
        <v>0</v>
      </c>
      <c r="N11" s="677" t="str">
        <f t="shared" si="1"/>
        <v/>
      </c>
      <c r="P11" s="63"/>
    </row>
    <row r="12" spans="1:16" ht="12.95" customHeight="1">
      <c r="B12" s="10"/>
      <c r="C12" s="11"/>
      <c r="D12" s="11"/>
      <c r="E12" s="636"/>
      <c r="F12" s="662"/>
      <c r="G12" s="20"/>
      <c r="H12" s="258"/>
      <c r="I12" s="822"/>
      <c r="J12" s="456"/>
      <c r="K12" s="258"/>
      <c r="L12" s="258"/>
      <c r="M12" s="1062"/>
      <c r="N12" s="677" t="str">
        <f t="shared" si="1"/>
        <v/>
      </c>
    </row>
    <row r="13" spans="1:16" s="1" customFormat="1" ht="12.95" customHeight="1">
      <c r="A13" s="608"/>
      <c r="B13" s="12"/>
      <c r="C13" s="8"/>
      <c r="D13" s="8"/>
      <c r="E13" s="635">
        <v>612000</v>
      </c>
      <c r="F13" s="661"/>
      <c r="G13" s="8" t="s">
        <v>162</v>
      </c>
      <c r="H13" s="256">
        <f>H14</f>
        <v>21070</v>
      </c>
      <c r="I13" s="821">
        <v>20920</v>
      </c>
      <c r="J13" s="455">
        <v>15283</v>
      </c>
      <c r="K13" s="256">
        <f>K14</f>
        <v>21930</v>
      </c>
      <c r="L13" s="256">
        <f>L14</f>
        <v>0</v>
      </c>
      <c r="M13" s="1061">
        <f>M14</f>
        <v>21930</v>
      </c>
      <c r="N13" s="676">
        <f t="shared" si="1"/>
        <v>104.82791586998088</v>
      </c>
    </row>
    <row r="14" spans="1:16" ht="12.95" customHeight="1">
      <c r="B14" s="10"/>
      <c r="C14" s="11"/>
      <c r="D14" s="11"/>
      <c r="E14" s="636">
        <v>612100</v>
      </c>
      <c r="F14" s="662"/>
      <c r="G14" s="13" t="s">
        <v>83</v>
      </c>
      <c r="H14" s="258">
        <f>19770+700+600</f>
        <v>21070</v>
      </c>
      <c r="I14" s="822">
        <v>20920</v>
      </c>
      <c r="J14" s="456">
        <v>15283</v>
      </c>
      <c r="K14" s="258">
        <f>21020+210+700</f>
        <v>21930</v>
      </c>
      <c r="L14" s="258">
        <v>0</v>
      </c>
      <c r="M14" s="1062">
        <f>SUM(K14:L14)</f>
        <v>21930</v>
      </c>
      <c r="N14" s="677">
        <f t="shared" si="1"/>
        <v>104.82791586998088</v>
      </c>
    </row>
    <row r="15" spans="1:16" ht="12.95" customHeight="1">
      <c r="B15" s="10"/>
      <c r="C15" s="11"/>
      <c r="D15" s="11"/>
      <c r="E15" s="636"/>
      <c r="F15" s="662"/>
      <c r="G15" s="11"/>
      <c r="H15" s="31"/>
      <c r="I15" s="816"/>
      <c r="J15" s="450"/>
      <c r="K15" s="618"/>
      <c r="L15" s="618"/>
      <c r="M15" s="1063"/>
      <c r="N15" s="677" t="str">
        <f t="shared" si="1"/>
        <v/>
      </c>
    </row>
    <row r="16" spans="1:16" s="1" customFormat="1" ht="12.95" customHeight="1">
      <c r="A16" s="608"/>
      <c r="B16" s="12"/>
      <c r="C16" s="8"/>
      <c r="D16" s="8"/>
      <c r="E16" s="635">
        <v>613000</v>
      </c>
      <c r="F16" s="661"/>
      <c r="G16" s="8" t="s">
        <v>164</v>
      </c>
      <c r="H16" s="35">
        <f>SUM(H17:H27)</f>
        <v>217800</v>
      </c>
      <c r="I16" s="817">
        <v>216600</v>
      </c>
      <c r="J16" s="451">
        <v>122716</v>
      </c>
      <c r="K16" s="620">
        <f>SUM(K17:K27)</f>
        <v>19600</v>
      </c>
      <c r="L16" s="620">
        <f>SUM(L17:L27)</f>
        <v>200000</v>
      </c>
      <c r="M16" s="1064">
        <f>SUM(M17:M27)</f>
        <v>219600</v>
      </c>
      <c r="N16" s="676">
        <f t="shared" si="1"/>
        <v>101.38504155124654</v>
      </c>
    </row>
    <row r="17" spans="1:15" ht="12.95" customHeight="1">
      <c r="B17" s="10"/>
      <c r="C17" s="11"/>
      <c r="D17" s="11"/>
      <c r="E17" s="636">
        <v>613100</v>
      </c>
      <c r="F17" s="662"/>
      <c r="G17" s="11" t="s">
        <v>84</v>
      </c>
      <c r="H17" s="31">
        <v>1800</v>
      </c>
      <c r="I17" s="816">
        <v>1800</v>
      </c>
      <c r="J17" s="450">
        <v>781</v>
      </c>
      <c r="K17" s="618">
        <v>1800</v>
      </c>
      <c r="L17" s="618">
        <v>0</v>
      </c>
      <c r="M17" s="1062">
        <f t="shared" ref="M17:M27" si="2">SUM(K17:L17)</f>
        <v>1800</v>
      </c>
      <c r="N17" s="677">
        <f t="shared" si="1"/>
        <v>100</v>
      </c>
    </row>
    <row r="18" spans="1:15" ht="12.95" customHeight="1">
      <c r="B18" s="10"/>
      <c r="C18" s="11"/>
      <c r="D18" s="11"/>
      <c r="E18" s="636">
        <v>613200</v>
      </c>
      <c r="F18" s="662"/>
      <c r="G18" s="11" t="s">
        <v>85</v>
      </c>
      <c r="H18" s="31">
        <v>0</v>
      </c>
      <c r="I18" s="816">
        <v>0</v>
      </c>
      <c r="J18" s="450">
        <v>0</v>
      </c>
      <c r="K18" s="618">
        <v>0</v>
      </c>
      <c r="L18" s="618">
        <v>0</v>
      </c>
      <c r="M18" s="1062">
        <f t="shared" si="2"/>
        <v>0</v>
      </c>
      <c r="N18" s="677" t="str">
        <f t="shared" si="1"/>
        <v/>
      </c>
    </row>
    <row r="19" spans="1:15" ht="12.95" customHeight="1">
      <c r="B19" s="10"/>
      <c r="C19" s="11"/>
      <c r="D19" s="11"/>
      <c r="E19" s="636">
        <v>613300</v>
      </c>
      <c r="F19" s="662"/>
      <c r="G19" s="20" t="s">
        <v>206</v>
      </c>
      <c r="H19" s="31">
        <v>5000</v>
      </c>
      <c r="I19" s="816">
        <v>6800</v>
      </c>
      <c r="J19" s="450">
        <v>4410</v>
      </c>
      <c r="K19" s="978">
        <v>6800</v>
      </c>
      <c r="L19" s="978">
        <v>0</v>
      </c>
      <c r="M19" s="1062">
        <f t="shared" si="2"/>
        <v>6800</v>
      </c>
      <c r="N19" s="677">
        <f t="shared" si="1"/>
        <v>100</v>
      </c>
    </row>
    <row r="20" spans="1:15" ht="12.95" customHeight="1">
      <c r="B20" s="10"/>
      <c r="C20" s="11"/>
      <c r="D20" s="11"/>
      <c r="E20" s="636">
        <v>613400</v>
      </c>
      <c r="F20" s="662"/>
      <c r="G20" s="11" t="s">
        <v>165</v>
      </c>
      <c r="H20" s="31">
        <v>0</v>
      </c>
      <c r="I20" s="816">
        <v>0</v>
      </c>
      <c r="J20" s="450">
        <v>0</v>
      </c>
      <c r="K20" s="978">
        <v>0</v>
      </c>
      <c r="L20" s="978">
        <v>0</v>
      </c>
      <c r="M20" s="1062">
        <f t="shared" si="2"/>
        <v>0</v>
      </c>
      <c r="N20" s="677" t="str">
        <f t="shared" si="1"/>
        <v/>
      </c>
    </row>
    <row r="21" spans="1:15" ht="12.95" customHeight="1">
      <c r="B21" s="10"/>
      <c r="C21" s="11"/>
      <c r="D21" s="11"/>
      <c r="E21" s="636">
        <v>613500</v>
      </c>
      <c r="F21" s="662"/>
      <c r="G21" s="11" t="s">
        <v>86</v>
      </c>
      <c r="H21" s="88">
        <v>0</v>
      </c>
      <c r="I21" s="819">
        <v>0</v>
      </c>
      <c r="J21" s="453">
        <v>0</v>
      </c>
      <c r="K21" s="984">
        <v>0</v>
      </c>
      <c r="L21" s="984">
        <v>0</v>
      </c>
      <c r="M21" s="1062">
        <f t="shared" si="2"/>
        <v>0</v>
      </c>
      <c r="N21" s="677" t="str">
        <f t="shared" si="1"/>
        <v/>
      </c>
    </row>
    <row r="22" spans="1:15" ht="12.95" customHeight="1">
      <c r="B22" s="10"/>
      <c r="C22" s="11"/>
      <c r="D22" s="11"/>
      <c r="E22" s="636">
        <v>613600</v>
      </c>
      <c r="F22" s="662"/>
      <c r="G22" s="20" t="s">
        <v>207</v>
      </c>
      <c r="H22" s="88">
        <v>0</v>
      </c>
      <c r="I22" s="819">
        <v>0</v>
      </c>
      <c r="J22" s="453">
        <v>0</v>
      </c>
      <c r="K22" s="984">
        <v>0</v>
      </c>
      <c r="L22" s="984">
        <v>0</v>
      </c>
      <c r="M22" s="1062">
        <f t="shared" si="2"/>
        <v>0</v>
      </c>
      <c r="N22" s="677" t="str">
        <f t="shared" si="1"/>
        <v/>
      </c>
    </row>
    <row r="23" spans="1:15" ht="12.95" customHeight="1">
      <c r="B23" s="10"/>
      <c r="C23" s="11"/>
      <c r="D23" s="11"/>
      <c r="E23" s="642">
        <v>613700</v>
      </c>
      <c r="F23" s="668"/>
      <c r="G23" s="11" t="s">
        <v>87</v>
      </c>
      <c r="H23" s="88">
        <v>1000</v>
      </c>
      <c r="I23" s="819">
        <v>1000</v>
      </c>
      <c r="J23" s="453">
        <v>759</v>
      </c>
      <c r="K23" s="984">
        <v>1000</v>
      </c>
      <c r="L23" s="984">
        <v>0</v>
      </c>
      <c r="M23" s="1062">
        <f t="shared" si="2"/>
        <v>1000</v>
      </c>
      <c r="N23" s="677">
        <f t="shared" si="1"/>
        <v>100</v>
      </c>
    </row>
    <row r="24" spans="1:15" ht="12.95" customHeight="1">
      <c r="B24" s="10"/>
      <c r="C24" s="11"/>
      <c r="D24" s="24"/>
      <c r="E24" s="636">
        <v>613700</v>
      </c>
      <c r="F24" s="659" t="s">
        <v>719</v>
      </c>
      <c r="G24" s="43" t="s">
        <v>88</v>
      </c>
      <c r="H24" s="88">
        <v>200000</v>
      </c>
      <c r="I24" s="819">
        <v>197000</v>
      </c>
      <c r="J24" s="453">
        <v>110435</v>
      </c>
      <c r="K24" s="984">
        <v>0</v>
      </c>
      <c r="L24" s="984">
        <v>200000</v>
      </c>
      <c r="M24" s="1062">
        <f t="shared" si="2"/>
        <v>200000</v>
      </c>
      <c r="N24" s="677">
        <f t="shared" si="1"/>
        <v>101.5228426395939</v>
      </c>
    </row>
    <row r="25" spans="1:15" ht="12.95" customHeight="1">
      <c r="B25" s="10"/>
      <c r="C25" s="11"/>
      <c r="D25" s="11"/>
      <c r="E25" s="644">
        <v>613800</v>
      </c>
      <c r="F25" s="669"/>
      <c r="G25" s="11" t="s">
        <v>166</v>
      </c>
      <c r="H25" s="88">
        <v>0</v>
      </c>
      <c r="I25" s="819">
        <v>0</v>
      </c>
      <c r="J25" s="453">
        <v>0</v>
      </c>
      <c r="K25" s="984">
        <v>0</v>
      </c>
      <c r="L25" s="984">
        <v>0</v>
      </c>
      <c r="M25" s="1062">
        <f t="shared" si="2"/>
        <v>0</v>
      </c>
      <c r="N25" s="677" t="str">
        <f t="shared" si="1"/>
        <v/>
      </c>
    </row>
    <row r="26" spans="1:15" ht="12.95" customHeight="1">
      <c r="B26" s="10"/>
      <c r="C26" s="11"/>
      <c r="D26" s="11"/>
      <c r="E26" s="636">
        <v>613900</v>
      </c>
      <c r="F26" s="662"/>
      <c r="G26" s="11" t="s">
        <v>167</v>
      </c>
      <c r="H26" s="88">
        <v>10000</v>
      </c>
      <c r="I26" s="819">
        <v>10000</v>
      </c>
      <c r="J26" s="453">
        <v>6331</v>
      </c>
      <c r="K26" s="984">
        <v>10000</v>
      </c>
      <c r="L26" s="984">
        <v>0</v>
      </c>
      <c r="M26" s="1062">
        <f t="shared" si="2"/>
        <v>10000</v>
      </c>
      <c r="N26" s="677">
        <f t="shared" si="1"/>
        <v>100</v>
      </c>
      <c r="O26" s="78"/>
    </row>
    <row r="27" spans="1:15" ht="12.95" customHeight="1">
      <c r="B27" s="10"/>
      <c r="C27" s="11"/>
      <c r="D27" s="11"/>
      <c r="E27" s="636">
        <v>613900</v>
      </c>
      <c r="F27" s="662"/>
      <c r="G27" s="229" t="s">
        <v>548</v>
      </c>
      <c r="H27" s="88">
        <v>0</v>
      </c>
      <c r="I27" s="819">
        <v>0</v>
      </c>
      <c r="J27" s="453">
        <v>0</v>
      </c>
      <c r="K27" s="984">
        <v>0</v>
      </c>
      <c r="L27" s="984">
        <v>0</v>
      </c>
      <c r="M27" s="1062">
        <f t="shared" si="2"/>
        <v>0</v>
      </c>
      <c r="N27" s="677" t="str">
        <f t="shared" si="1"/>
        <v/>
      </c>
    </row>
    <row r="28" spans="1:15" ht="12.95" customHeight="1">
      <c r="B28" s="10"/>
      <c r="C28" s="11"/>
      <c r="D28" s="11"/>
      <c r="E28" s="636"/>
      <c r="F28" s="662"/>
      <c r="G28" s="11"/>
      <c r="H28" s="88"/>
      <c r="I28" s="819"/>
      <c r="J28" s="453"/>
      <c r="K28" s="623"/>
      <c r="L28" s="623"/>
      <c r="M28" s="1063"/>
      <c r="N28" s="677" t="str">
        <f t="shared" si="1"/>
        <v/>
      </c>
    </row>
    <row r="29" spans="1:15" s="1" customFormat="1" ht="12.95" customHeight="1">
      <c r="A29" s="608"/>
      <c r="B29" s="12"/>
      <c r="C29" s="8"/>
      <c r="D29" s="8"/>
      <c r="E29" s="635">
        <v>614000</v>
      </c>
      <c r="F29" s="661"/>
      <c r="G29" s="8" t="s">
        <v>208</v>
      </c>
      <c r="H29" s="79">
        <f>SUM(H30:H31)</f>
        <v>210000</v>
      </c>
      <c r="I29" s="818">
        <v>180000</v>
      </c>
      <c r="J29" s="452">
        <v>40000</v>
      </c>
      <c r="K29" s="622">
        <f>SUM(K30:K31)</f>
        <v>30000</v>
      </c>
      <c r="L29" s="622">
        <f>SUM(L30:L31)</f>
        <v>180000</v>
      </c>
      <c r="M29" s="1064">
        <f>SUM(M30:M31)</f>
        <v>210000</v>
      </c>
      <c r="N29" s="676">
        <f t="shared" si="1"/>
        <v>116.66666666666667</v>
      </c>
    </row>
    <row r="30" spans="1:15" ht="12.95" customHeight="1">
      <c r="B30" s="10"/>
      <c r="C30" s="11"/>
      <c r="D30" s="24"/>
      <c r="E30" s="644">
        <v>614100</v>
      </c>
      <c r="F30" s="669" t="s">
        <v>720</v>
      </c>
      <c r="G30" s="47" t="s">
        <v>176</v>
      </c>
      <c r="H30" s="88">
        <v>180000</v>
      </c>
      <c r="I30" s="819">
        <v>180000</v>
      </c>
      <c r="J30" s="453">
        <v>40000</v>
      </c>
      <c r="K30" s="623">
        <v>0</v>
      </c>
      <c r="L30" s="623">
        <v>180000</v>
      </c>
      <c r="M30" s="1062">
        <f t="shared" ref="M30:M31" si="3">SUM(K30:L30)</f>
        <v>180000</v>
      </c>
      <c r="N30" s="677">
        <f t="shared" si="1"/>
        <v>100</v>
      </c>
    </row>
    <row r="31" spans="1:15" ht="12.95" customHeight="1">
      <c r="B31" s="10"/>
      <c r="C31" s="11"/>
      <c r="D31" s="11"/>
      <c r="E31" s="636">
        <v>614100</v>
      </c>
      <c r="F31" s="662" t="s">
        <v>721</v>
      </c>
      <c r="G31" s="20" t="s">
        <v>224</v>
      </c>
      <c r="H31" s="88">
        <v>30000</v>
      </c>
      <c r="I31" s="819">
        <v>0</v>
      </c>
      <c r="J31" s="453">
        <v>0</v>
      </c>
      <c r="K31" s="623">
        <v>30000</v>
      </c>
      <c r="L31" s="623">
        <v>0</v>
      </c>
      <c r="M31" s="1062">
        <f t="shared" si="3"/>
        <v>30000</v>
      </c>
      <c r="N31" s="677" t="str">
        <f t="shared" si="1"/>
        <v/>
      </c>
    </row>
    <row r="32" spans="1:15" ht="12.95" customHeight="1">
      <c r="B32" s="10"/>
      <c r="C32" s="11"/>
      <c r="D32" s="11"/>
      <c r="E32" s="636"/>
      <c r="F32" s="662"/>
      <c r="G32" s="11"/>
      <c r="H32" s="88"/>
      <c r="I32" s="819"/>
      <c r="J32" s="453"/>
      <c r="K32" s="623"/>
      <c r="L32" s="623"/>
      <c r="M32" s="1063"/>
      <c r="N32" s="677" t="str">
        <f t="shared" si="1"/>
        <v/>
      </c>
    </row>
    <row r="33" spans="1:16" s="1" customFormat="1" ht="12.95" customHeight="1">
      <c r="A33" s="608"/>
      <c r="B33" s="12"/>
      <c r="C33" s="8"/>
      <c r="D33" s="8"/>
      <c r="E33" s="635">
        <v>821000</v>
      </c>
      <c r="F33" s="661"/>
      <c r="G33" s="8" t="s">
        <v>90</v>
      </c>
      <c r="H33" s="79">
        <f>SUM(H34:H36)</f>
        <v>894000</v>
      </c>
      <c r="I33" s="818">
        <v>1109000</v>
      </c>
      <c r="J33" s="452">
        <v>20926</v>
      </c>
      <c r="K33" s="622">
        <f>SUM(K34:K36)</f>
        <v>2000</v>
      </c>
      <c r="L33" s="622">
        <f>SUM(L34:L36)</f>
        <v>892000</v>
      </c>
      <c r="M33" s="1064">
        <f>SUM(M34:M36)</f>
        <v>894000</v>
      </c>
      <c r="N33" s="676">
        <f t="shared" si="1"/>
        <v>80.613165013525702</v>
      </c>
    </row>
    <row r="34" spans="1:16" ht="12.95" customHeight="1">
      <c r="B34" s="10"/>
      <c r="C34" s="11"/>
      <c r="D34" s="11"/>
      <c r="E34" s="636">
        <v>821200</v>
      </c>
      <c r="F34" s="662"/>
      <c r="G34" s="11" t="s">
        <v>91</v>
      </c>
      <c r="H34" s="88">
        <v>0</v>
      </c>
      <c r="I34" s="819">
        <v>0</v>
      </c>
      <c r="J34" s="453">
        <v>0</v>
      </c>
      <c r="K34" s="623">
        <v>0</v>
      </c>
      <c r="L34" s="623">
        <v>0</v>
      </c>
      <c r="M34" s="1062">
        <f t="shared" ref="M34:M36" si="4">SUM(K34:L34)</f>
        <v>0</v>
      </c>
      <c r="N34" s="677" t="str">
        <f t="shared" si="1"/>
        <v/>
      </c>
    </row>
    <row r="35" spans="1:16" ht="12.95" customHeight="1">
      <c r="B35" s="10"/>
      <c r="C35" s="11"/>
      <c r="D35" s="11"/>
      <c r="E35" s="636">
        <v>821300</v>
      </c>
      <c r="F35" s="662"/>
      <c r="G35" s="11" t="s">
        <v>92</v>
      </c>
      <c r="H35" s="88">
        <v>2000</v>
      </c>
      <c r="I35" s="819">
        <v>2000</v>
      </c>
      <c r="J35" s="453">
        <v>543</v>
      </c>
      <c r="K35" s="623">
        <v>2000</v>
      </c>
      <c r="L35" s="623">
        <v>0</v>
      </c>
      <c r="M35" s="1062">
        <f t="shared" si="4"/>
        <v>2000</v>
      </c>
      <c r="N35" s="677">
        <f t="shared" si="1"/>
        <v>100</v>
      </c>
    </row>
    <row r="36" spans="1:16" ht="12.95" customHeight="1">
      <c r="B36" s="10"/>
      <c r="C36" s="11"/>
      <c r="D36" s="11"/>
      <c r="E36" s="639">
        <v>821600</v>
      </c>
      <c r="F36" s="665"/>
      <c r="G36" s="81" t="s">
        <v>104</v>
      </c>
      <c r="H36" s="88">
        <v>892000</v>
      </c>
      <c r="I36" s="819">
        <v>1107000</v>
      </c>
      <c r="J36" s="453">
        <v>20383</v>
      </c>
      <c r="K36" s="623">
        <v>0</v>
      </c>
      <c r="L36" s="623">
        <v>892000</v>
      </c>
      <c r="M36" s="1062">
        <f t="shared" si="4"/>
        <v>892000</v>
      </c>
      <c r="N36" s="677">
        <f t="shared" si="1"/>
        <v>80.578139114724479</v>
      </c>
      <c r="P36" s="64"/>
    </row>
    <row r="37" spans="1:16" ht="12.95" customHeight="1">
      <c r="B37" s="10"/>
      <c r="C37" s="11"/>
      <c r="D37" s="11"/>
      <c r="E37" s="636"/>
      <c r="F37" s="662"/>
      <c r="G37" s="11"/>
      <c r="H37" s="79"/>
      <c r="I37" s="818"/>
      <c r="J37" s="452"/>
      <c r="K37" s="622"/>
      <c r="L37" s="622"/>
      <c r="M37" s="1064"/>
      <c r="N37" s="677" t="str">
        <f t="shared" si="1"/>
        <v/>
      </c>
    </row>
    <row r="38" spans="1:16" s="1" customFormat="1" ht="12.95" customHeight="1">
      <c r="A38" s="608"/>
      <c r="B38" s="12"/>
      <c r="C38" s="8"/>
      <c r="D38" s="8"/>
      <c r="E38" s="635"/>
      <c r="F38" s="661"/>
      <c r="G38" s="8" t="s">
        <v>93</v>
      </c>
      <c r="H38" s="79">
        <v>9</v>
      </c>
      <c r="I38" s="818">
        <v>9</v>
      </c>
      <c r="J38" s="452">
        <v>9</v>
      </c>
      <c r="K38" s="622">
        <v>10</v>
      </c>
      <c r="L38" s="622"/>
      <c r="M38" s="1064">
        <v>10</v>
      </c>
      <c r="N38" s="677"/>
    </row>
    <row r="39" spans="1:16" s="1" customFormat="1" ht="12.95" customHeight="1">
      <c r="A39" s="608"/>
      <c r="B39" s="12"/>
      <c r="C39" s="8"/>
      <c r="D39" s="8"/>
      <c r="E39" s="635"/>
      <c r="F39" s="661"/>
      <c r="G39" s="8" t="s">
        <v>113</v>
      </c>
      <c r="H39" s="15">
        <f>H8+H13+H16+H29+H33</f>
        <v>1573140</v>
      </c>
      <c r="I39" s="15">
        <f>I8+I13+I16+I29+I33</f>
        <v>1762870</v>
      </c>
      <c r="J39" s="15">
        <f t="shared" ref="J39" si="5">J8+J13+J16+J29+J33</f>
        <v>373008</v>
      </c>
      <c r="K39" s="615">
        <f>K8+K13+K16+K29+K33</f>
        <v>320880</v>
      </c>
      <c r="L39" s="615">
        <f>L8+L13+L16+L29+L33</f>
        <v>1272000</v>
      </c>
      <c r="M39" s="1064">
        <f>M8+M13+M16+M29+M33</f>
        <v>1592880</v>
      </c>
      <c r="N39" s="676">
        <f t="shared" si="1"/>
        <v>90.357201608740283</v>
      </c>
    </row>
    <row r="40" spans="1:16" s="1" customFormat="1" ht="12.95" customHeight="1">
      <c r="A40" s="608"/>
      <c r="B40" s="12"/>
      <c r="C40" s="8"/>
      <c r="D40" s="8"/>
      <c r="E40" s="635"/>
      <c r="F40" s="661"/>
      <c r="G40" s="8" t="s">
        <v>94</v>
      </c>
      <c r="H40" s="15">
        <f>H39</f>
        <v>1573140</v>
      </c>
      <c r="I40" s="15">
        <f>I39</f>
        <v>1762870</v>
      </c>
      <c r="J40" s="15">
        <f t="shared" ref="J40" si="6">J39</f>
        <v>373008</v>
      </c>
      <c r="K40" s="615">
        <f t="shared" ref="K40:M41" si="7">K39</f>
        <v>320880</v>
      </c>
      <c r="L40" s="615">
        <f t="shared" si="7"/>
        <v>1272000</v>
      </c>
      <c r="M40" s="1064">
        <f t="shared" si="7"/>
        <v>1592880</v>
      </c>
      <c r="N40" s="676">
        <f t="shared" si="1"/>
        <v>90.357201608740283</v>
      </c>
    </row>
    <row r="41" spans="1:16" s="1" customFormat="1" ht="12.95" customHeight="1">
      <c r="A41" s="608"/>
      <c r="B41" s="12"/>
      <c r="C41" s="8"/>
      <c r="D41" s="8"/>
      <c r="E41" s="635"/>
      <c r="F41" s="661"/>
      <c r="G41" s="8" t="s">
        <v>95</v>
      </c>
      <c r="H41" s="15">
        <f>H40</f>
        <v>1573140</v>
      </c>
      <c r="I41" s="15">
        <f>I40</f>
        <v>1762870</v>
      </c>
      <c r="J41" s="15">
        <f t="shared" ref="J41" si="8">J40</f>
        <v>373008</v>
      </c>
      <c r="K41" s="615">
        <f t="shared" si="7"/>
        <v>320880</v>
      </c>
      <c r="L41" s="615">
        <f t="shared" si="7"/>
        <v>1272000</v>
      </c>
      <c r="M41" s="1064">
        <f t="shared" si="7"/>
        <v>1592880</v>
      </c>
      <c r="N41" s="676">
        <f t="shared" si="1"/>
        <v>90.357201608740283</v>
      </c>
    </row>
    <row r="42" spans="1:16" ht="12.95" customHeight="1" thickBot="1">
      <c r="B42" s="16"/>
      <c r="C42" s="17"/>
      <c r="D42" s="17"/>
      <c r="E42" s="637"/>
      <c r="F42" s="663"/>
      <c r="G42" s="17"/>
      <c r="H42" s="32"/>
      <c r="I42" s="32"/>
      <c r="J42" s="32"/>
      <c r="K42" s="32"/>
      <c r="L42" s="32"/>
      <c r="M42" s="1067"/>
      <c r="N42" s="679"/>
    </row>
    <row r="43" spans="1:16" ht="12.95" customHeight="1">
      <c r="E43" s="638"/>
      <c r="F43" s="664"/>
      <c r="M43" s="1070"/>
    </row>
    <row r="44" spans="1:16" ht="12.95" customHeight="1">
      <c r="B44" s="56"/>
      <c r="E44" s="638"/>
      <c r="F44" s="664"/>
      <c r="M44" s="1070"/>
    </row>
    <row r="45" spans="1:16" ht="12.95" customHeight="1">
      <c r="B45" s="56"/>
      <c r="E45" s="638"/>
      <c r="F45" s="664"/>
      <c r="M45" s="1070"/>
    </row>
    <row r="46" spans="1:16" ht="12.95" customHeight="1">
      <c r="B46" s="56"/>
      <c r="E46" s="638"/>
      <c r="F46" s="664"/>
      <c r="M46" s="1070"/>
    </row>
    <row r="47" spans="1:16" ht="12.95" customHeight="1">
      <c r="E47" s="638"/>
      <c r="F47" s="664"/>
      <c r="M47" s="1070"/>
    </row>
    <row r="48" spans="1:16" ht="12.95" customHeight="1">
      <c r="E48" s="638"/>
      <c r="F48" s="664"/>
      <c r="M48" s="1070"/>
    </row>
    <row r="49" spans="5:13" ht="12.95" customHeight="1">
      <c r="E49" s="638"/>
      <c r="F49" s="664"/>
      <c r="M49" s="1070"/>
    </row>
    <row r="50" spans="5:13" ht="12.95" customHeight="1">
      <c r="E50" s="638"/>
      <c r="F50" s="664"/>
      <c r="M50" s="1070"/>
    </row>
    <row r="51" spans="5:13" ht="12.95" customHeight="1">
      <c r="E51" s="638"/>
      <c r="F51" s="664"/>
      <c r="M51" s="1070"/>
    </row>
    <row r="52" spans="5:13" ht="12.95" customHeight="1">
      <c r="E52" s="638"/>
      <c r="F52" s="664"/>
      <c r="M52" s="1070"/>
    </row>
    <row r="53" spans="5:13" ht="12.95" customHeight="1">
      <c r="E53" s="638"/>
      <c r="F53" s="664"/>
      <c r="M53" s="1070"/>
    </row>
    <row r="54" spans="5:13" ht="12.95" customHeight="1">
      <c r="E54" s="638"/>
      <c r="F54" s="664"/>
      <c r="M54" s="1070"/>
    </row>
    <row r="55" spans="5:13" ht="12.95" customHeight="1">
      <c r="E55" s="638"/>
      <c r="F55" s="664"/>
      <c r="M55" s="1070"/>
    </row>
    <row r="56" spans="5:13" ht="12.95" customHeight="1">
      <c r="E56" s="638"/>
      <c r="F56" s="664"/>
      <c r="M56" s="1070"/>
    </row>
    <row r="57" spans="5:13" ht="12.95" customHeight="1">
      <c r="E57" s="638"/>
      <c r="F57" s="664"/>
      <c r="M57" s="1070"/>
    </row>
    <row r="58" spans="5:13" ht="12.95" customHeight="1">
      <c r="E58" s="638"/>
      <c r="F58" s="664"/>
      <c r="M58" s="1070"/>
    </row>
    <row r="59" spans="5:13" ht="12.95" customHeight="1">
      <c r="E59" s="638"/>
      <c r="F59" s="664"/>
      <c r="M59" s="1070"/>
    </row>
    <row r="60" spans="5:13" ht="17.100000000000001" customHeight="1">
      <c r="E60" s="638"/>
      <c r="F60" s="664"/>
      <c r="M60" s="1070"/>
    </row>
    <row r="61" spans="5:13" ht="14.25">
      <c r="E61" s="638"/>
      <c r="F61" s="664"/>
      <c r="M61" s="1070"/>
    </row>
    <row r="62" spans="5:13" ht="14.25">
      <c r="E62" s="638"/>
      <c r="F62" s="664"/>
      <c r="M62" s="1070"/>
    </row>
    <row r="63" spans="5:13" ht="14.25">
      <c r="E63" s="638"/>
      <c r="F63" s="664"/>
      <c r="M63" s="1070"/>
    </row>
    <row r="64" spans="5:13" ht="14.25">
      <c r="E64" s="638"/>
      <c r="F64" s="664"/>
      <c r="M64" s="1070"/>
    </row>
    <row r="65" spans="5:13" ht="14.25">
      <c r="E65" s="638"/>
      <c r="F65" s="664"/>
      <c r="M65" s="1070"/>
    </row>
    <row r="66" spans="5:13" ht="14.25">
      <c r="E66" s="638"/>
      <c r="F66" s="664"/>
      <c r="M66" s="1070"/>
    </row>
    <row r="67" spans="5:13" ht="14.25">
      <c r="E67" s="638"/>
      <c r="F67" s="664"/>
      <c r="M67" s="1070"/>
    </row>
    <row r="68" spans="5:13" ht="14.25">
      <c r="E68" s="638"/>
      <c r="F68" s="664"/>
      <c r="M68" s="1070"/>
    </row>
    <row r="69" spans="5:13" ht="14.25">
      <c r="E69" s="638"/>
      <c r="F69" s="664"/>
      <c r="M69" s="1070"/>
    </row>
    <row r="70" spans="5:13" ht="14.25">
      <c r="E70" s="638"/>
      <c r="F70" s="664"/>
      <c r="M70" s="1070"/>
    </row>
    <row r="71" spans="5:13" ht="14.25">
      <c r="E71" s="638"/>
      <c r="F71" s="664"/>
      <c r="M71" s="1070"/>
    </row>
    <row r="72" spans="5:13" ht="14.25">
      <c r="E72" s="638"/>
      <c r="F72" s="664"/>
      <c r="M72" s="1070"/>
    </row>
    <row r="73" spans="5:13" ht="14.25">
      <c r="E73" s="638"/>
      <c r="F73" s="664"/>
      <c r="M73" s="1070"/>
    </row>
    <row r="74" spans="5:13" ht="14.25">
      <c r="E74" s="638"/>
      <c r="F74" s="638"/>
      <c r="M74" s="1070"/>
    </row>
    <row r="75" spans="5:13" ht="14.25">
      <c r="E75" s="638"/>
      <c r="F75" s="638"/>
      <c r="M75" s="1070"/>
    </row>
    <row r="76" spans="5:13" ht="14.25">
      <c r="E76" s="638"/>
      <c r="F76" s="638"/>
      <c r="M76" s="1070"/>
    </row>
    <row r="77" spans="5:13" ht="14.25">
      <c r="E77" s="638"/>
      <c r="F77" s="638"/>
      <c r="M77" s="1070"/>
    </row>
    <row r="78" spans="5:13" ht="14.25">
      <c r="E78" s="638"/>
      <c r="F78" s="638"/>
      <c r="M78" s="1070"/>
    </row>
    <row r="79" spans="5:13" ht="14.25">
      <c r="E79" s="638"/>
      <c r="F79" s="638"/>
      <c r="M79" s="1070"/>
    </row>
    <row r="80" spans="5:13" ht="14.25">
      <c r="E80" s="638"/>
      <c r="F80" s="638"/>
      <c r="M80" s="1070"/>
    </row>
    <row r="81" spans="5:13" ht="14.25">
      <c r="E81" s="638"/>
      <c r="F81" s="638"/>
      <c r="M81" s="1070"/>
    </row>
    <row r="82" spans="5:13" ht="14.25">
      <c r="E82" s="638"/>
      <c r="F82" s="638"/>
      <c r="M82" s="1070"/>
    </row>
    <row r="83" spans="5:13" ht="14.25">
      <c r="E83" s="638"/>
      <c r="F83" s="638"/>
      <c r="M83" s="1070"/>
    </row>
    <row r="84" spans="5:13" ht="14.25">
      <c r="E84" s="638"/>
      <c r="F84" s="638"/>
      <c r="M84" s="1070"/>
    </row>
    <row r="85" spans="5:13" ht="14.25">
      <c r="E85" s="638"/>
      <c r="F85" s="638"/>
      <c r="M85" s="1070"/>
    </row>
    <row r="86" spans="5:13" ht="14.25">
      <c r="E86" s="638"/>
      <c r="F86" s="638"/>
      <c r="M86" s="1070"/>
    </row>
    <row r="87" spans="5:13" ht="14.25">
      <c r="E87" s="638"/>
      <c r="F87" s="638"/>
      <c r="M87" s="1070"/>
    </row>
    <row r="88" spans="5:13" ht="14.25">
      <c r="E88" s="638"/>
      <c r="F88" s="638"/>
      <c r="M88" s="1070"/>
    </row>
    <row r="89" spans="5:13" ht="14.25">
      <c r="E89" s="638"/>
      <c r="F89" s="638"/>
      <c r="M89" s="1070"/>
    </row>
    <row r="90" spans="5:13" ht="14.25">
      <c r="E90" s="638"/>
      <c r="F90" s="638"/>
      <c r="M90" s="1070"/>
    </row>
    <row r="91" spans="5:13">
      <c r="F91" s="638"/>
    </row>
    <row r="92" spans="5:13">
      <c r="F92" s="638"/>
    </row>
    <row r="93" spans="5:13">
      <c r="F93" s="638"/>
    </row>
    <row r="94" spans="5:13">
      <c r="F94" s="638"/>
    </row>
    <row r="95" spans="5:13">
      <c r="F95" s="638"/>
    </row>
    <row r="96" spans="5:13">
      <c r="F96" s="638"/>
    </row>
  </sheetData>
  <mergeCells count="13">
    <mergeCell ref="N4:N5"/>
    <mergeCell ref="G4:G5"/>
    <mergeCell ref="B2:H2"/>
    <mergeCell ref="G3:H3"/>
    <mergeCell ref="K4:M4"/>
    <mergeCell ref="B4:B5"/>
    <mergeCell ref="C4:C5"/>
    <mergeCell ref="D4:D5"/>
    <mergeCell ref="F4:F5"/>
    <mergeCell ref="E4:E5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2"/>
  <dimension ref="A1:P96"/>
  <sheetViews>
    <sheetView zoomScaleNormal="100" zoomScaleSheetLayoutView="100" workbookViewId="0">
      <selection activeCell="Q14" sqref="Q14"/>
    </sheetView>
  </sheetViews>
  <sheetFormatPr defaultRowHeight="12.75"/>
  <cols>
    <col min="1" max="1" width="9.140625" style="611"/>
    <col min="2" max="2" width="4.7109375" style="9" customWidth="1"/>
    <col min="3" max="3" width="5.140625" style="9" customWidth="1"/>
    <col min="4" max="4" width="5" style="9" customWidth="1"/>
    <col min="5" max="5" width="8.7109375" style="18" customWidth="1"/>
    <col min="6" max="6" width="8.7109375" style="616" customWidth="1"/>
    <col min="7" max="7" width="50.7109375" style="9" customWidth="1"/>
    <col min="8" max="10" width="14.7109375" style="9" customWidth="1"/>
    <col min="11" max="12" width="14.7109375" style="611" customWidth="1"/>
    <col min="13" max="13" width="15.7109375" style="9" customWidth="1"/>
    <col min="14" max="14" width="7.7109375" style="680" customWidth="1"/>
    <col min="15" max="16384" width="9.140625" style="9"/>
  </cols>
  <sheetData>
    <row r="1" spans="1:16" ht="13.5" thickBot="1"/>
    <row r="2" spans="1:16" s="126" customFormat="1" ht="20.100000000000001" customHeight="1" thickTop="1" thickBot="1">
      <c r="A2" s="1052"/>
      <c r="B2" s="1261" t="s">
        <v>140</v>
      </c>
      <c r="C2" s="1262"/>
      <c r="D2" s="1262"/>
      <c r="E2" s="1262"/>
      <c r="F2" s="1262"/>
      <c r="G2" s="1262"/>
      <c r="H2" s="1262"/>
      <c r="I2" s="1262"/>
      <c r="J2" s="1262"/>
      <c r="K2" s="1262"/>
      <c r="L2" s="1262"/>
      <c r="M2" s="1262"/>
      <c r="N2" s="1056"/>
    </row>
    <row r="3" spans="1:16" s="1" customFormat="1" ht="8.1" customHeight="1" thickTop="1" thickBot="1">
      <c r="A3" s="608"/>
      <c r="E3" s="2"/>
      <c r="F3" s="609"/>
      <c r="G3" s="1264"/>
      <c r="H3" s="1264"/>
      <c r="I3" s="306"/>
      <c r="J3" s="306"/>
      <c r="K3" s="119"/>
      <c r="L3" s="119"/>
      <c r="M3" s="119"/>
      <c r="N3" s="674"/>
    </row>
    <row r="4" spans="1:16" s="1" customFormat="1" ht="39" customHeight="1">
      <c r="A4" s="608"/>
      <c r="B4" s="1268" t="s">
        <v>78</v>
      </c>
      <c r="C4" s="1280" t="s">
        <v>79</v>
      </c>
      <c r="D4" s="1281" t="s">
        <v>110</v>
      </c>
      <c r="E4" s="1282" t="s">
        <v>615</v>
      </c>
      <c r="F4" s="1273" t="s">
        <v>695</v>
      </c>
      <c r="G4" s="1274" t="s">
        <v>80</v>
      </c>
      <c r="H4" s="1283" t="s">
        <v>614</v>
      </c>
      <c r="I4" s="1284" t="s">
        <v>747</v>
      </c>
      <c r="J4" s="1283" t="s">
        <v>667</v>
      </c>
      <c r="K4" s="1265" t="s">
        <v>682</v>
      </c>
      <c r="L4" s="1266"/>
      <c r="M4" s="1267"/>
      <c r="N4" s="1278" t="s">
        <v>756</v>
      </c>
    </row>
    <row r="5" spans="1:16" s="608" customFormat="1" ht="27" customHeight="1">
      <c r="B5" s="1269"/>
      <c r="C5" s="1271"/>
      <c r="D5" s="1271"/>
      <c r="E5" s="1275"/>
      <c r="F5" s="1271"/>
      <c r="G5" s="1275"/>
      <c r="H5" s="1275"/>
      <c r="I5" s="1275"/>
      <c r="J5" s="1275"/>
      <c r="K5" s="1048" t="s">
        <v>753</v>
      </c>
      <c r="L5" s="1048" t="s">
        <v>754</v>
      </c>
      <c r="M5" s="1059" t="s">
        <v>426</v>
      </c>
      <c r="N5" s="1279"/>
    </row>
    <row r="6" spans="1:16" s="2" customFormat="1" ht="12.95" customHeight="1">
      <c r="A6" s="609"/>
      <c r="B6" s="1181">
        <v>1</v>
      </c>
      <c r="C6" s="661">
        <v>2</v>
      </c>
      <c r="D6" s="661">
        <v>3</v>
      </c>
      <c r="E6" s="661">
        <v>4</v>
      </c>
      <c r="F6" s="661">
        <v>5</v>
      </c>
      <c r="G6" s="661">
        <v>6</v>
      </c>
      <c r="H6" s="661">
        <v>7</v>
      </c>
      <c r="I6" s="661">
        <v>8</v>
      </c>
      <c r="J6" s="661">
        <v>9</v>
      </c>
      <c r="K6" s="661">
        <v>10</v>
      </c>
      <c r="L6" s="661">
        <v>11</v>
      </c>
      <c r="M6" s="1201" t="s">
        <v>755</v>
      </c>
      <c r="N6" s="1183">
        <v>13</v>
      </c>
    </row>
    <row r="7" spans="1:16" s="2" customFormat="1" ht="12.95" customHeight="1">
      <c r="A7" s="609"/>
      <c r="B7" s="6" t="s">
        <v>141</v>
      </c>
      <c r="C7" s="7" t="s">
        <v>81</v>
      </c>
      <c r="D7" s="7" t="s">
        <v>82</v>
      </c>
      <c r="E7" s="5"/>
      <c r="F7" s="610"/>
      <c r="G7" s="5"/>
      <c r="H7" s="5"/>
      <c r="I7" s="5"/>
      <c r="J7" s="5"/>
      <c r="K7" s="610"/>
      <c r="L7" s="610"/>
      <c r="M7" s="1060"/>
      <c r="N7" s="675"/>
    </row>
    <row r="8" spans="1:16" s="1" customFormat="1" ht="12.95" customHeight="1">
      <c r="A8" s="608"/>
      <c r="B8" s="12"/>
      <c r="C8" s="8"/>
      <c r="D8" s="8"/>
      <c r="E8" s="635">
        <v>611000</v>
      </c>
      <c r="F8" s="661"/>
      <c r="G8" s="8" t="s">
        <v>163</v>
      </c>
      <c r="H8" s="256">
        <f>SUM(H9:H12)</f>
        <v>563400</v>
      </c>
      <c r="I8" s="830">
        <v>553910</v>
      </c>
      <c r="J8" s="464">
        <v>397870</v>
      </c>
      <c r="K8" s="256">
        <f>SUM(K9:K12)</f>
        <v>608050</v>
      </c>
      <c r="L8" s="256">
        <f>SUM(L9:L12)</f>
        <v>0</v>
      </c>
      <c r="M8" s="1061">
        <f>SUM(M9:M12)</f>
        <v>608050</v>
      </c>
      <c r="N8" s="676">
        <f>IF(I8=0,"",M8/I8*100)</f>
        <v>109.77415103536676</v>
      </c>
    </row>
    <row r="9" spans="1:16" ht="12.95" customHeight="1">
      <c r="B9" s="10"/>
      <c r="C9" s="11"/>
      <c r="D9" s="11"/>
      <c r="E9" s="636">
        <v>611100</v>
      </c>
      <c r="F9" s="662"/>
      <c r="G9" s="20" t="s">
        <v>204</v>
      </c>
      <c r="H9" s="255">
        <f>426130+2500+2*13700+12790+830</f>
        <v>469650</v>
      </c>
      <c r="I9" s="829">
        <v>458100</v>
      </c>
      <c r="J9" s="463">
        <v>332448</v>
      </c>
      <c r="K9" s="255">
        <f>496000+3500+1*9*1430</f>
        <v>512370</v>
      </c>
      <c r="L9" s="255">
        <v>0</v>
      </c>
      <c r="M9" s="1062">
        <f>SUM(K9:L9)</f>
        <v>512370</v>
      </c>
      <c r="N9" s="677">
        <f>IF(I9=0,"",M9/I9*100)</f>
        <v>111.8467583497053</v>
      </c>
    </row>
    <row r="10" spans="1:16" ht="12.95" customHeight="1">
      <c r="B10" s="10"/>
      <c r="C10" s="11"/>
      <c r="D10" s="11"/>
      <c r="E10" s="636">
        <v>611200</v>
      </c>
      <c r="F10" s="662"/>
      <c r="G10" s="11" t="s">
        <v>205</v>
      </c>
      <c r="H10" s="259">
        <f>84170+2500+2*840+2*2700</f>
        <v>93750</v>
      </c>
      <c r="I10" s="831">
        <v>95810</v>
      </c>
      <c r="J10" s="465">
        <v>65422</v>
      </c>
      <c r="K10" s="259">
        <f>91500+1300+9*320</f>
        <v>95680</v>
      </c>
      <c r="L10" s="259">
        <v>0</v>
      </c>
      <c r="M10" s="1062">
        <f t="shared" ref="M10:M11" si="0">SUM(K10:L10)</f>
        <v>95680</v>
      </c>
      <c r="N10" s="677">
        <f t="shared" ref="N10:N41" si="1">IF(I10=0,"",M10/I10*100)</f>
        <v>99.864314789687924</v>
      </c>
    </row>
    <row r="11" spans="1:16" ht="12.95" customHeight="1">
      <c r="B11" s="10"/>
      <c r="C11" s="11"/>
      <c r="D11" s="11"/>
      <c r="E11" s="636">
        <v>611200</v>
      </c>
      <c r="F11" s="662"/>
      <c r="G11" s="229" t="s">
        <v>547</v>
      </c>
      <c r="H11" s="255">
        <v>0</v>
      </c>
      <c r="I11" s="829">
        <v>0</v>
      </c>
      <c r="J11" s="463">
        <v>0</v>
      </c>
      <c r="K11" s="255">
        <v>0</v>
      </c>
      <c r="L11" s="255">
        <v>0</v>
      </c>
      <c r="M11" s="1062">
        <f t="shared" si="0"/>
        <v>0</v>
      </c>
      <c r="N11" s="677" t="str">
        <f t="shared" si="1"/>
        <v/>
      </c>
      <c r="P11" s="63"/>
    </row>
    <row r="12" spans="1:16" ht="12.95" customHeight="1">
      <c r="B12" s="10"/>
      <c r="C12" s="11"/>
      <c r="D12" s="11"/>
      <c r="E12" s="636"/>
      <c r="F12" s="662"/>
      <c r="G12" s="20"/>
      <c r="H12" s="255"/>
      <c r="I12" s="829"/>
      <c r="J12" s="463"/>
      <c r="K12" s="255"/>
      <c r="L12" s="255"/>
      <c r="M12" s="1062"/>
      <c r="N12" s="677" t="str">
        <f t="shared" si="1"/>
        <v/>
      </c>
    </row>
    <row r="13" spans="1:16" s="1" customFormat="1" ht="12.95" customHeight="1">
      <c r="A13" s="608"/>
      <c r="B13" s="12"/>
      <c r="C13" s="8"/>
      <c r="D13" s="8"/>
      <c r="E13" s="635">
        <v>612000</v>
      </c>
      <c r="F13" s="661"/>
      <c r="G13" s="8" t="s">
        <v>162</v>
      </c>
      <c r="H13" s="256">
        <f>H14</f>
        <v>50910</v>
      </c>
      <c r="I13" s="830">
        <v>49130</v>
      </c>
      <c r="J13" s="464">
        <v>35368</v>
      </c>
      <c r="K13" s="256">
        <f>K14</f>
        <v>54570</v>
      </c>
      <c r="L13" s="256">
        <f>L14</f>
        <v>0</v>
      </c>
      <c r="M13" s="1061">
        <f>M14</f>
        <v>54570</v>
      </c>
      <c r="N13" s="676">
        <f t="shared" si="1"/>
        <v>111.07266435986159</v>
      </c>
    </row>
    <row r="14" spans="1:16" ht="12.95" customHeight="1">
      <c r="B14" s="10"/>
      <c r="C14" s="11"/>
      <c r="D14" s="11"/>
      <c r="E14" s="636">
        <v>612100</v>
      </c>
      <c r="F14" s="662"/>
      <c r="G14" s="13" t="s">
        <v>83</v>
      </c>
      <c r="H14" s="255">
        <f>45450+1000+2*1500+1370+90</f>
        <v>50910</v>
      </c>
      <c r="I14" s="829">
        <v>49130</v>
      </c>
      <c r="J14" s="463">
        <v>35368</v>
      </c>
      <c r="K14" s="255">
        <f>52700+430+1*9*160</f>
        <v>54570</v>
      </c>
      <c r="L14" s="255">
        <v>0</v>
      </c>
      <c r="M14" s="1062">
        <f>SUM(K14:L14)</f>
        <v>54570</v>
      </c>
      <c r="N14" s="677">
        <f t="shared" si="1"/>
        <v>111.07266435986159</v>
      </c>
    </row>
    <row r="15" spans="1:16" ht="12.95" customHeight="1">
      <c r="B15" s="10"/>
      <c r="C15" s="11"/>
      <c r="D15" s="11"/>
      <c r="E15" s="636"/>
      <c r="F15" s="662"/>
      <c r="G15" s="11"/>
      <c r="H15" s="30"/>
      <c r="I15" s="824"/>
      <c r="J15" s="458"/>
      <c r="K15" s="593"/>
      <c r="L15" s="593"/>
      <c r="M15" s="1063"/>
      <c r="N15" s="677" t="str">
        <f t="shared" si="1"/>
        <v/>
      </c>
    </row>
    <row r="16" spans="1:16" s="1" customFormat="1" ht="12.95" customHeight="1">
      <c r="A16" s="608"/>
      <c r="B16" s="12"/>
      <c r="C16" s="8"/>
      <c r="D16" s="8"/>
      <c r="E16" s="635">
        <v>613000</v>
      </c>
      <c r="F16" s="661"/>
      <c r="G16" s="8" t="s">
        <v>164</v>
      </c>
      <c r="H16" s="35">
        <f>SUM(H17:H26)</f>
        <v>73990</v>
      </c>
      <c r="I16" s="825">
        <v>94820</v>
      </c>
      <c r="J16" s="459">
        <v>58483</v>
      </c>
      <c r="K16" s="620">
        <f>SUM(K17:K26)</f>
        <v>82610</v>
      </c>
      <c r="L16" s="620">
        <f>SUM(L17:L26)</f>
        <v>0</v>
      </c>
      <c r="M16" s="1064">
        <f>SUM(M17:M26)</f>
        <v>82610</v>
      </c>
      <c r="N16" s="676">
        <f t="shared" si="1"/>
        <v>87.122969837587007</v>
      </c>
    </row>
    <row r="17" spans="1:16" ht="12.95" customHeight="1">
      <c r="B17" s="10"/>
      <c r="C17" s="11"/>
      <c r="D17" s="11"/>
      <c r="E17" s="636">
        <v>613100</v>
      </c>
      <c r="F17" s="662"/>
      <c r="G17" s="11" t="s">
        <v>84</v>
      </c>
      <c r="H17" s="57">
        <v>10500</v>
      </c>
      <c r="I17" s="826">
        <v>11700</v>
      </c>
      <c r="J17" s="460">
        <v>7198</v>
      </c>
      <c r="K17" s="982">
        <v>10500</v>
      </c>
      <c r="L17" s="982">
        <v>0</v>
      </c>
      <c r="M17" s="1062">
        <f t="shared" ref="M17:M26" si="2">SUM(K17:L17)</f>
        <v>10500</v>
      </c>
      <c r="N17" s="677">
        <f t="shared" si="1"/>
        <v>89.743589743589752</v>
      </c>
    </row>
    <row r="18" spans="1:16" ht="12.95" customHeight="1">
      <c r="B18" s="10"/>
      <c r="C18" s="11"/>
      <c r="D18" s="11"/>
      <c r="E18" s="636">
        <v>613200</v>
      </c>
      <c r="F18" s="662"/>
      <c r="G18" s="11" t="s">
        <v>85</v>
      </c>
      <c r="H18" s="57">
        <v>0</v>
      </c>
      <c r="I18" s="826">
        <v>0</v>
      </c>
      <c r="J18" s="460">
        <v>0</v>
      </c>
      <c r="K18" s="982">
        <v>0</v>
      </c>
      <c r="L18" s="982">
        <v>0</v>
      </c>
      <c r="M18" s="1062">
        <f t="shared" si="2"/>
        <v>0</v>
      </c>
      <c r="N18" s="677" t="str">
        <f t="shared" si="1"/>
        <v/>
      </c>
    </row>
    <row r="19" spans="1:16" ht="12.95" customHeight="1">
      <c r="B19" s="10"/>
      <c r="C19" s="11"/>
      <c r="D19" s="11"/>
      <c r="E19" s="636">
        <v>613300</v>
      </c>
      <c r="F19" s="662"/>
      <c r="G19" s="20" t="s">
        <v>206</v>
      </c>
      <c r="H19" s="57">
        <v>6500</v>
      </c>
      <c r="I19" s="826">
        <v>5800</v>
      </c>
      <c r="J19" s="460">
        <v>4686</v>
      </c>
      <c r="K19" s="982">
        <v>5800</v>
      </c>
      <c r="L19" s="982">
        <v>0</v>
      </c>
      <c r="M19" s="1062">
        <f t="shared" si="2"/>
        <v>5800</v>
      </c>
      <c r="N19" s="677">
        <f t="shared" si="1"/>
        <v>100</v>
      </c>
    </row>
    <row r="20" spans="1:16" ht="12.95" customHeight="1">
      <c r="B20" s="10"/>
      <c r="C20" s="11"/>
      <c r="D20" s="11"/>
      <c r="E20" s="636">
        <v>613400</v>
      </c>
      <c r="F20" s="662"/>
      <c r="G20" s="11" t="s">
        <v>165</v>
      </c>
      <c r="H20" s="57">
        <v>2100</v>
      </c>
      <c r="I20" s="826">
        <v>1200</v>
      </c>
      <c r="J20" s="460">
        <v>477</v>
      </c>
      <c r="K20" s="982">
        <v>2100</v>
      </c>
      <c r="L20" s="982">
        <v>0</v>
      </c>
      <c r="M20" s="1062">
        <f t="shared" si="2"/>
        <v>2100</v>
      </c>
      <c r="N20" s="677">
        <f t="shared" si="1"/>
        <v>175</v>
      </c>
    </row>
    <row r="21" spans="1:16" ht="12.95" customHeight="1">
      <c r="B21" s="10"/>
      <c r="C21" s="11"/>
      <c r="D21" s="11"/>
      <c r="E21" s="636">
        <v>613500</v>
      </c>
      <c r="F21" s="662"/>
      <c r="G21" s="11" t="s">
        <v>86</v>
      </c>
      <c r="H21" s="57">
        <v>1890</v>
      </c>
      <c r="I21" s="826">
        <v>410</v>
      </c>
      <c r="J21" s="460">
        <v>362</v>
      </c>
      <c r="K21" s="982">
        <v>500</v>
      </c>
      <c r="L21" s="982">
        <v>0</v>
      </c>
      <c r="M21" s="1062">
        <f t="shared" si="2"/>
        <v>500</v>
      </c>
      <c r="N21" s="677">
        <f t="shared" si="1"/>
        <v>121.95121951219512</v>
      </c>
    </row>
    <row r="22" spans="1:16" ht="12.95" customHeight="1">
      <c r="B22" s="10"/>
      <c r="C22" s="11"/>
      <c r="D22" s="11"/>
      <c r="E22" s="636">
        <v>613600</v>
      </c>
      <c r="F22" s="662"/>
      <c r="G22" s="20" t="s">
        <v>207</v>
      </c>
      <c r="H22" s="57">
        <v>5500</v>
      </c>
      <c r="I22" s="826">
        <v>5500</v>
      </c>
      <c r="J22" s="460">
        <v>2919</v>
      </c>
      <c r="K22" s="982">
        <v>5500</v>
      </c>
      <c r="L22" s="982">
        <v>0</v>
      </c>
      <c r="M22" s="1062">
        <f t="shared" si="2"/>
        <v>5500</v>
      </c>
      <c r="N22" s="677">
        <f t="shared" si="1"/>
        <v>100</v>
      </c>
    </row>
    <row r="23" spans="1:16" ht="12.95" customHeight="1">
      <c r="B23" s="10"/>
      <c r="C23" s="11"/>
      <c r="D23" s="11"/>
      <c r="E23" s="636">
        <v>613700</v>
      </c>
      <c r="F23" s="662"/>
      <c r="G23" s="11" t="s">
        <v>87</v>
      </c>
      <c r="H23" s="57">
        <v>7500</v>
      </c>
      <c r="I23" s="826">
        <v>5500</v>
      </c>
      <c r="J23" s="460">
        <v>2776</v>
      </c>
      <c r="K23" s="982">
        <v>7500</v>
      </c>
      <c r="L23" s="982">
        <v>0</v>
      </c>
      <c r="M23" s="1062">
        <f t="shared" si="2"/>
        <v>7500</v>
      </c>
      <c r="N23" s="677">
        <f t="shared" si="1"/>
        <v>136.36363636363635</v>
      </c>
    </row>
    <row r="24" spans="1:16" ht="12.95" customHeight="1">
      <c r="B24" s="10"/>
      <c r="C24" s="11"/>
      <c r="D24" s="11"/>
      <c r="E24" s="636">
        <v>613800</v>
      </c>
      <c r="F24" s="662"/>
      <c r="G24" s="11" t="s">
        <v>166</v>
      </c>
      <c r="H24" s="57">
        <v>0</v>
      </c>
      <c r="I24" s="826">
        <v>710</v>
      </c>
      <c r="J24" s="460">
        <v>379</v>
      </c>
      <c r="K24" s="982">
        <v>710</v>
      </c>
      <c r="L24" s="982">
        <v>0</v>
      </c>
      <c r="M24" s="1062">
        <f t="shared" si="2"/>
        <v>710</v>
      </c>
      <c r="N24" s="677">
        <f t="shared" si="1"/>
        <v>100</v>
      </c>
    </row>
    <row r="25" spans="1:16" ht="12.95" customHeight="1">
      <c r="B25" s="10"/>
      <c r="C25" s="11"/>
      <c r="D25" s="11"/>
      <c r="E25" s="636">
        <v>613900</v>
      </c>
      <c r="F25" s="662"/>
      <c r="G25" s="11" t="s">
        <v>167</v>
      </c>
      <c r="H25" s="57">
        <v>40000</v>
      </c>
      <c r="I25" s="826">
        <v>64000</v>
      </c>
      <c r="J25" s="460">
        <v>39686</v>
      </c>
      <c r="K25" s="982">
        <v>50000</v>
      </c>
      <c r="L25" s="982">
        <v>0</v>
      </c>
      <c r="M25" s="1062">
        <f t="shared" si="2"/>
        <v>50000</v>
      </c>
      <c r="N25" s="677">
        <f t="shared" si="1"/>
        <v>78.125</v>
      </c>
      <c r="O25" s="78"/>
    </row>
    <row r="26" spans="1:16" ht="12.95" customHeight="1">
      <c r="B26" s="10"/>
      <c r="C26" s="11"/>
      <c r="D26" s="11"/>
      <c r="E26" s="636">
        <v>613900</v>
      </c>
      <c r="F26" s="662"/>
      <c r="G26" s="229" t="s">
        <v>548</v>
      </c>
      <c r="H26" s="57">
        <v>0</v>
      </c>
      <c r="I26" s="826">
        <v>0</v>
      </c>
      <c r="J26" s="460">
        <v>0</v>
      </c>
      <c r="K26" s="982">
        <v>0</v>
      </c>
      <c r="L26" s="982">
        <v>0</v>
      </c>
      <c r="M26" s="1062">
        <f t="shared" si="2"/>
        <v>0</v>
      </c>
      <c r="N26" s="677" t="str">
        <f t="shared" si="1"/>
        <v/>
      </c>
    </row>
    <row r="27" spans="1:16" ht="12.95" customHeight="1">
      <c r="B27" s="10"/>
      <c r="C27" s="11"/>
      <c r="D27" s="11"/>
      <c r="E27" s="636"/>
      <c r="F27" s="662"/>
      <c r="G27" s="11"/>
      <c r="H27" s="79"/>
      <c r="I27" s="827"/>
      <c r="J27" s="461"/>
      <c r="K27" s="622"/>
      <c r="L27" s="622"/>
      <c r="M27" s="1064"/>
      <c r="N27" s="677" t="str">
        <f t="shared" si="1"/>
        <v/>
      </c>
    </row>
    <row r="28" spans="1:16" s="1" customFormat="1" ht="12.95" customHeight="1">
      <c r="A28" s="608"/>
      <c r="B28" s="12"/>
      <c r="C28" s="8"/>
      <c r="D28" s="8"/>
      <c r="E28" s="635">
        <v>614000</v>
      </c>
      <c r="F28" s="661"/>
      <c r="G28" s="8" t="s">
        <v>208</v>
      </c>
      <c r="H28" s="79">
        <f t="shared" ref="H28" si="3">SUM(H29:H32)</f>
        <v>2150000</v>
      </c>
      <c r="I28" s="827">
        <v>2300000</v>
      </c>
      <c r="J28" s="461">
        <v>1298803</v>
      </c>
      <c r="K28" s="622">
        <f t="shared" ref="K28" si="4">SUM(K29:K32)</f>
        <v>1172220</v>
      </c>
      <c r="L28" s="622">
        <f t="shared" ref="L28:M28" si="5">SUM(L29:L32)</f>
        <v>577780</v>
      </c>
      <c r="M28" s="1064">
        <f t="shared" si="5"/>
        <v>1750000</v>
      </c>
      <c r="N28" s="676">
        <f t="shared" si="1"/>
        <v>76.08695652173914</v>
      </c>
    </row>
    <row r="29" spans="1:16" s="1" customFormat="1" ht="12.95" customHeight="1">
      <c r="A29" s="608"/>
      <c r="B29" s="12"/>
      <c r="C29" s="8"/>
      <c r="D29" s="25"/>
      <c r="E29" s="636">
        <v>614100</v>
      </c>
      <c r="F29" s="662" t="s">
        <v>723</v>
      </c>
      <c r="G29" s="13" t="s">
        <v>161</v>
      </c>
      <c r="H29" s="88">
        <v>150000</v>
      </c>
      <c r="I29" s="828">
        <v>150000</v>
      </c>
      <c r="J29" s="462">
        <v>3500</v>
      </c>
      <c r="K29" s="623">
        <v>0</v>
      </c>
      <c r="L29" s="623">
        <v>150000</v>
      </c>
      <c r="M29" s="1062">
        <f t="shared" ref="M29:M32" si="6">SUM(K29:L29)</f>
        <v>150000</v>
      </c>
      <c r="N29" s="677">
        <f t="shared" si="1"/>
        <v>100</v>
      </c>
    </row>
    <row r="30" spans="1:16" ht="12.95" customHeight="1">
      <c r="B30" s="10"/>
      <c r="C30" s="11"/>
      <c r="D30" s="11"/>
      <c r="E30" s="636">
        <v>614500</v>
      </c>
      <c r="F30" s="662" t="s">
        <v>722</v>
      </c>
      <c r="G30" s="23" t="s">
        <v>404</v>
      </c>
      <c r="H30" s="88">
        <v>1100000</v>
      </c>
      <c r="I30" s="828">
        <v>1250000</v>
      </c>
      <c r="J30" s="462">
        <v>959868</v>
      </c>
      <c r="K30" s="623">
        <v>1100000</v>
      </c>
      <c r="L30" s="623">
        <v>0</v>
      </c>
      <c r="M30" s="1062">
        <f t="shared" si="6"/>
        <v>1100000</v>
      </c>
      <c r="N30" s="677">
        <f t="shared" si="1"/>
        <v>88</v>
      </c>
    </row>
    <row r="31" spans="1:16" ht="12.95" customHeight="1">
      <c r="B31" s="10"/>
      <c r="C31" s="11"/>
      <c r="D31" s="11"/>
      <c r="E31" s="636">
        <v>614500</v>
      </c>
      <c r="F31" s="662" t="s">
        <v>724</v>
      </c>
      <c r="G31" s="23" t="s">
        <v>405</v>
      </c>
      <c r="H31" s="88">
        <v>500000</v>
      </c>
      <c r="I31" s="828">
        <v>500000</v>
      </c>
      <c r="J31" s="462">
        <v>263722</v>
      </c>
      <c r="K31" s="623">
        <v>32220</v>
      </c>
      <c r="L31" s="623">
        <f>259680+8100</f>
        <v>267780</v>
      </c>
      <c r="M31" s="1062">
        <f t="shared" si="6"/>
        <v>300000</v>
      </c>
      <c r="N31" s="677">
        <f t="shared" si="1"/>
        <v>60</v>
      </c>
      <c r="P31" s="64"/>
    </row>
    <row r="32" spans="1:16" ht="12.95" customHeight="1">
      <c r="B32" s="10"/>
      <c r="C32" s="11"/>
      <c r="D32" s="11"/>
      <c r="E32" s="636">
        <v>614500</v>
      </c>
      <c r="F32" s="662" t="s">
        <v>725</v>
      </c>
      <c r="G32" s="23" t="s">
        <v>406</v>
      </c>
      <c r="H32" s="88">
        <v>400000</v>
      </c>
      <c r="I32" s="828">
        <v>400000</v>
      </c>
      <c r="J32" s="462">
        <v>71713</v>
      </c>
      <c r="K32" s="623">
        <v>40000</v>
      </c>
      <c r="L32" s="623">
        <f>110000+50000</f>
        <v>160000</v>
      </c>
      <c r="M32" s="1062">
        <f t="shared" si="6"/>
        <v>200000</v>
      </c>
      <c r="N32" s="677">
        <f t="shared" si="1"/>
        <v>50</v>
      </c>
    </row>
    <row r="33" spans="1:14" ht="12.95" customHeight="1">
      <c r="B33" s="10"/>
      <c r="C33" s="11"/>
      <c r="D33" s="11"/>
      <c r="E33" s="636"/>
      <c r="F33" s="662"/>
      <c r="G33" s="20"/>
      <c r="H33" s="57"/>
      <c r="I33" s="826"/>
      <c r="J33" s="460"/>
      <c r="K33" s="595"/>
      <c r="L33" s="595"/>
      <c r="M33" s="1063"/>
      <c r="N33" s="677" t="str">
        <f t="shared" si="1"/>
        <v/>
      </c>
    </row>
    <row r="34" spans="1:14" s="1" customFormat="1" ht="12.95" customHeight="1">
      <c r="A34" s="608"/>
      <c r="B34" s="12"/>
      <c r="C34" s="8"/>
      <c r="D34" s="8"/>
      <c r="E34" s="635">
        <v>821000</v>
      </c>
      <c r="F34" s="661"/>
      <c r="G34" s="8" t="s">
        <v>90</v>
      </c>
      <c r="H34" s="79">
        <f>SUM(H35:H37)</f>
        <v>13000</v>
      </c>
      <c r="I34" s="827">
        <v>8000</v>
      </c>
      <c r="J34" s="461">
        <v>5763</v>
      </c>
      <c r="K34" s="622">
        <f>SUM(K35:K37)</f>
        <v>10000</v>
      </c>
      <c r="L34" s="622">
        <f>SUM(L35:L37)</f>
        <v>30000</v>
      </c>
      <c r="M34" s="1064">
        <f>SUM(M35:M37)</f>
        <v>40000</v>
      </c>
      <c r="N34" s="676">
        <f t="shared" si="1"/>
        <v>500</v>
      </c>
    </row>
    <row r="35" spans="1:14" ht="12.95" customHeight="1">
      <c r="B35" s="10"/>
      <c r="C35" s="11"/>
      <c r="D35" s="11"/>
      <c r="E35" s="636">
        <v>821200</v>
      </c>
      <c r="F35" s="662"/>
      <c r="G35" s="11" t="s">
        <v>91</v>
      </c>
      <c r="H35" s="57">
        <v>0</v>
      </c>
      <c r="I35" s="826">
        <v>0</v>
      </c>
      <c r="J35" s="460">
        <v>0</v>
      </c>
      <c r="K35" s="595">
        <v>0</v>
      </c>
      <c r="L35" s="595">
        <v>0</v>
      </c>
      <c r="M35" s="1062">
        <f t="shared" ref="M35:M36" si="7">SUM(K35:L35)</f>
        <v>0</v>
      </c>
      <c r="N35" s="677" t="str">
        <f t="shared" si="1"/>
        <v/>
      </c>
    </row>
    <row r="36" spans="1:14" ht="12.95" customHeight="1">
      <c r="B36" s="10"/>
      <c r="C36" s="11"/>
      <c r="D36" s="11"/>
      <c r="E36" s="636">
        <v>821300</v>
      </c>
      <c r="F36" s="662"/>
      <c r="G36" s="11" t="s">
        <v>92</v>
      </c>
      <c r="H36" s="57">
        <v>13000</v>
      </c>
      <c r="I36" s="826">
        <v>8000</v>
      </c>
      <c r="J36" s="460">
        <v>5763</v>
      </c>
      <c r="K36" s="595">
        <v>10000</v>
      </c>
      <c r="L36" s="595">
        <v>30000</v>
      </c>
      <c r="M36" s="1062">
        <f t="shared" si="7"/>
        <v>40000</v>
      </c>
      <c r="N36" s="677">
        <f t="shared" si="1"/>
        <v>500</v>
      </c>
    </row>
    <row r="37" spans="1:14" ht="12.95" customHeight="1">
      <c r="B37" s="10"/>
      <c r="C37" s="11"/>
      <c r="D37" s="11"/>
      <c r="E37" s="636"/>
      <c r="F37" s="662"/>
      <c r="G37" s="20"/>
      <c r="H37" s="57"/>
      <c r="I37" s="826"/>
      <c r="J37" s="460"/>
      <c r="K37" s="595"/>
      <c r="L37" s="595"/>
      <c r="M37" s="1063"/>
      <c r="N37" s="677" t="str">
        <f t="shared" si="1"/>
        <v/>
      </c>
    </row>
    <row r="38" spans="1:14" s="1" customFormat="1" ht="12.95" customHeight="1">
      <c r="A38" s="608"/>
      <c r="B38" s="12"/>
      <c r="C38" s="8"/>
      <c r="D38" s="8"/>
      <c r="E38" s="635"/>
      <c r="F38" s="661"/>
      <c r="G38" s="8" t="s">
        <v>93</v>
      </c>
      <c r="H38" s="15">
        <v>23</v>
      </c>
      <c r="I38" s="823">
        <v>23</v>
      </c>
      <c r="J38" s="457">
        <v>23</v>
      </c>
      <c r="K38" s="615">
        <v>24</v>
      </c>
      <c r="L38" s="615"/>
      <c r="M38" s="1064">
        <v>24</v>
      </c>
      <c r="N38" s="677"/>
    </row>
    <row r="39" spans="1:14" s="1" customFormat="1" ht="12.95" customHeight="1">
      <c r="A39" s="608"/>
      <c r="B39" s="12"/>
      <c r="C39" s="8"/>
      <c r="D39" s="8"/>
      <c r="E39" s="635"/>
      <c r="F39" s="661"/>
      <c r="G39" s="8" t="s">
        <v>113</v>
      </c>
      <c r="H39" s="15">
        <f>H8+H13+H16+H28+H34</f>
        <v>2851300</v>
      </c>
      <c r="I39" s="15">
        <f>I8+I13+I16+I28+I34</f>
        <v>3005860</v>
      </c>
      <c r="J39" s="15">
        <f t="shared" ref="J39" si="8">J8+J13+J16+J28+J34</f>
        <v>1796287</v>
      </c>
      <c r="K39" s="615">
        <f>K8+K13+K16+K28+K34</f>
        <v>1927450</v>
      </c>
      <c r="L39" s="615">
        <f>L8+L13+L16+L28+L34</f>
        <v>607780</v>
      </c>
      <c r="M39" s="1064">
        <f>M8+M13+M16+M28+M34</f>
        <v>2535230</v>
      </c>
      <c r="N39" s="676">
        <f t="shared" si="1"/>
        <v>84.342916835780784</v>
      </c>
    </row>
    <row r="40" spans="1:14" s="1" customFormat="1" ht="12.95" customHeight="1">
      <c r="A40" s="608"/>
      <c r="B40" s="12"/>
      <c r="C40" s="8"/>
      <c r="D40" s="8"/>
      <c r="E40" s="635"/>
      <c r="F40" s="661"/>
      <c r="G40" s="8" t="s">
        <v>94</v>
      </c>
      <c r="H40" s="15">
        <f>H39</f>
        <v>2851300</v>
      </c>
      <c r="I40" s="15">
        <f>I39</f>
        <v>3005860</v>
      </c>
      <c r="J40" s="15">
        <f t="shared" ref="J40" si="9">J39</f>
        <v>1796287</v>
      </c>
      <c r="K40" s="615">
        <f t="shared" ref="K40:M41" si="10">K39</f>
        <v>1927450</v>
      </c>
      <c r="L40" s="615">
        <f t="shared" si="10"/>
        <v>607780</v>
      </c>
      <c r="M40" s="1064">
        <f t="shared" si="10"/>
        <v>2535230</v>
      </c>
      <c r="N40" s="676">
        <f t="shared" si="1"/>
        <v>84.342916835780784</v>
      </c>
    </row>
    <row r="41" spans="1:14" s="1" customFormat="1" ht="12.95" customHeight="1">
      <c r="A41" s="608"/>
      <c r="B41" s="12"/>
      <c r="C41" s="8"/>
      <c r="D41" s="8"/>
      <c r="E41" s="635"/>
      <c r="F41" s="661"/>
      <c r="G41" s="8" t="s">
        <v>95</v>
      </c>
      <c r="H41" s="15">
        <f>H40</f>
        <v>2851300</v>
      </c>
      <c r="I41" s="15">
        <f>I40</f>
        <v>3005860</v>
      </c>
      <c r="J41" s="15">
        <f t="shared" ref="J41" si="11">J40</f>
        <v>1796287</v>
      </c>
      <c r="K41" s="615">
        <f t="shared" si="10"/>
        <v>1927450</v>
      </c>
      <c r="L41" s="615">
        <f t="shared" si="10"/>
        <v>607780</v>
      </c>
      <c r="M41" s="1064">
        <f t="shared" si="10"/>
        <v>2535230</v>
      </c>
      <c r="N41" s="676">
        <f t="shared" si="1"/>
        <v>84.342916835780784</v>
      </c>
    </row>
    <row r="42" spans="1:14" ht="12.95" customHeight="1" thickBot="1">
      <c r="B42" s="16"/>
      <c r="C42" s="17"/>
      <c r="D42" s="17"/>
      <c r="E42" s="637"/>
      <c r="F42" s="663"/>
      <c r="G42" s="17"/>
      <c r="H42" s="32"/>
      <c r="I42" s="32"/>
      <c r="J42" s="32"/>
      <c r="K42" s="32"/>
      <c r="L42" s="32"/>
      <c r="M42" s="1067"/>
      <c r="N42" s="679"/>
    </row>
    <row r="43" spans="1:14" ht="12.95" customHeight="1">
      <c r="E43" s="638"/>
      <c r="F43" s="664"/>
      <c r="M43" s="1068"/>
    </row>
    <row r="44" spans="1:14" ht="12.95" customHeight="1">
      <c r="B44" s="56"/>
      <c r="E44" s="638"/>
      <c r="F44" s="664"/>
      <c r="M44" s="1068"/>
    </row>
    <row r="45" spans="1:14" ht="12.95" customHeight="1">
      <c r="B45" s="56"/>
      <c r="E45" s="638"/>
      <c r="F45" s="664"/>
      <c r="M45" s="1068"/>
    </row>
    <row r="46" spans="1:14" ht="12.95" customHeight="1">
      <c r="B46" s="56"/>
      <c r="E46" s="638"/>
      <c r="F46" s="664"/>
      <c r="M46" s="1068"/>
    </row>
    <row r="47" spans="1:14" ht="12.95" customHeight="1">
      <c r="E47" s="638"/>
      <c r="F47" s="664"/>
      <c r="M47" s="1068"/>
    </row>
    <row r="48" spans="1:14" ht="12.95" customHeight="1">
      <c r="E48" s="638"/>
      <c r="F48" s="664"/>
      <c r="M48" s="1068"/>
    </row>
    <row r="49" spans="5:13" ht="12.95" customHeight="1">
      <c r="E49" s="638"/>
      <c r="F49" s="664"/>
      <c r="M49" s="1068"/>
    </row>
    <row r="50" spans="5:13" ht="12.95" customHeight="1">
      <c r="E50" s="638"/>
      <c r="F50" s="664"/>
      <c r="M50" s="1068"/>
    </row>
    <row r="51" spans="5:13" ht="12.95" customHeight="1">
      <c r="E51" s="638"/>
      <c r="F51" s="664"/>
      <c r="M51" s="1068"/>
    </row>
    <row r="52" spans="5:13" ht="12.95" customHeight="1">
      <c r="E52" s="638"/>
      <c r="F52" s="664"/>
      <c r="M52" s="1068"/>
    </row>
    <row r="53" spans="5:13" ht="12.95" customHeight="1">
      <c r="E53" s="638"/>
      <c r="F53" s="664"/>
      <c r="M53" s="1068"/>
    </row>
    <row r="54" spans="5:13" ht="12.95" customHeight="1">
      <c r="E54" s="638"/>
      <c r="F54" s="664"/>
      <c r="M54" s="1068"/>
    </row>
    <row r="55" spans="5:13" ht="12.95" customHeight="1">
      <c r="E55" s="638"/>
      <c r="F55" s="664"/>
      <c r="M55" s="1068"/>
    </row>
    <row r="56" spans="5:13" ht="12.95" customHeight="1">
      <c r="E56" s="638"/>
      <c r="F56" s="664"/>
      <c r="M56" s="1068"/>
    </row>
    <row r="57" spans="5:13" ht="12.95" customHeight="1">
      <c r="E57" s="638"/>
      <c r="F57" s="664"/>
      <c r="M57" s="1068"/>
    </row>
    <row r="58" spans="5:13" ht="12.95" customHeight="1">
      <c r="E58" s="638"/>
      <c r="F58" s="664"/>
      <c r="M58" s="1068"/>
    </row>
    <row r="59" spans="5:13" ht="12.95" customHeight="1">
      <c r="E59" s="638"/>
      <c r="F59" s="664"/>
      <c r="M59" s="1068"/>
    </row>
    <row r="60" spans="5:13" ht="17.100000000000001" customHeight="1">
      <c r="E60" s="638"/>
      <c r="F60" s="664"/>
      <c r="M60" s="1068"/>
    </row>
    <row r="61" spans="5:13" ht="14.25">
      <c r="E61" s="638"/>
      <c r="F61" s="664"/>
      <c r="M61" s="1068"/>
    </row>
    <row r="62" spans="5:13" ht="14.25">
      <c r="E62" s="638"/>
      <c r="F62" s="664"/>
      <c r="M62" s="1068"/>
    </row>
    <row r="63" spans="5:13" ht="14.25">
      <c r="E63" s="638"/>
      <c r="F63" s="664"/>
      <c r="M63" s="1068"/>
    </row>
    <row r="64" spans="5:13" ht="14.25">
      <c r="E64" s="638"/>
      <c r="F64" s="664"/>
      <c r="M64" s="1068"/>
    </row>
    <row r="65" spans="5:13" ht="14.25">
      <c r="E65" s="638"/>
      <c r="F65" s="664"/>
      <c r="M65" s="1068"/>
    </row>
    <row r="66" spans="5:13" ht="14.25">
      <c r="E66" s="638"/>
      <c r="F66" s="664"/>
      <c r="M66" s="1068"/>
    </row>
    <row r="67" spans="5:13" ht="14.25">
      <c r="E67" s="638"/>
      <c r="F67" s="664"/>
      <c r="M67" s="1068"/>
    </row>
    <row r="68" spans="5:13" ht="14.25">
      <c r="E68" s="638"/>
      <c r="F68" s="664"/>
      <c r="M68" s="1068"/>
    </row>
    <row r="69" spans="5:13" ht="14.25">
      <c r="E69" s="638"/>
      <c r="F69" s="664"/>
      <c r="M69" s="1068"/>
    </row>
    <row r="70" spans="5:13" ht="14.25">
      <c r="E70" s="638"/>
      <c r="F70" s="664"/>
      <c r="M70" s="1068"/>
    </row>
    <row r="71" spans="5:13" ht="14.25">
      <c r="E71" s="638"/>
      <c r="F71" s="664"/>
      <c r="M71" s="1068"/>
    </row>
    <row r="72" spans="5:13" ht="14.25">
      <c r="E72" s="638"/>
      <c r="F72" s="664"/>
      <c r="M72" s="1068"/>
    </row>
    <row r="73" spans="5:13" ht="14.25">
      <c r="E73" s="638"/>
      <c r="F73" s="664"/>
      <c r="M73" s="1068"/>
    </row>
    <row r="74" spans="5:13" ht="14.25">
      <c r="E74" s="638"/>
      <c r="F74" s="638"/>
      <c r="M74" s="1068"/>
    </row>
    <row r="75" spans="5:13" ht="14.25">
      <c r="E75" s="638"/>
      <c r="F75" s="638"/>
      <c r="M75" s="1068"/>
    </row>
    <row r="76" spans="5:13" ht="14.25">
      <c r="E76" s="638"/>
      <c r="F76" s="638"/>
      <c r="M76" s="1068"/>
    </row>
    <row r="77" spans="5:13" ht="14.25">
      <c r="E77" s="638"/>
      <c r="F77" s="638"/>
      <c r="M77" s="1068"/>
    </row>
    <row r="78" spans="5:13" ht="14.25">
      <c r="E78" s="638"/>
      <c r="F78" s="638"/>
      <c r="M78" s="1068"/>
    </row>
    <row r="79" spans="5:13" ht="14.25">
      <c r="E79" s="638"/>
      <c r="F79" s="638"/>
      <c r="M79" s="1068"/>
    </row>
    <row r="80" spans="5:13" ht="14.25">
      <c r="E80" s="638"/>
      <c r="F80" s="638"/>
      <c r="M80" s="1068"/>
    </row>
    <row r="81" spans="5:13" ht="14.25">
      <c r="E81" s="638"/>
      <c r="F81" s="638"/>
      <c r="M81" s="1068"/>
    </row>
    <row r="82" spans="5:13" ht="14.25">
      <c r="E82" s="638"/>
      <c r="F82" s="638"/>
      <c r="M82" s="1068"/>
    </row>
    <row r="83" spans="5:13" ht="14.25">
      <c r="E83" s="638"/>
      <c r="F83" s="638"/>
      <c r="M83" s="1068"/>
    </row>
    <row r="84" spans="5:13" ht="14.25">
      <c r="E84" s="638"/>
      <c r="F84" s="638"/>
      <c r="M84" s="1068"/>
    </row>
    <row r="85" spans="5:13" ht="14.25">
      <c r="E85" s="638"/>
      <c r="F85" s="638"/>
      <c r="M85" s="1068"/>
    </row>
    <row r="86" spans="5:13" ht="14.25">
      <c r="E86" s="638"/>
      <c r="F86" s="638"/>
      <c r="M86" s="1068"/>
    </row>
    <row r="87" spans="5:13" ht="14.25">
      <c r="E87" s="638"/>
      <c r="F87" s="638"/>
      <c r="M87" s="1068"/>
    </row>
    <row r="88" spans="5:13" ht="14.25">
      <c r="E88" s="638"/>
      <c r="F88" s="638"/>
      <c r="M88" s="1068"/>
    </row>
    <row r="89" spans="5:13" ht="14.25">
      <c r="E89" s="638"/>
      <c r="F89" s="638"/>
      <c r="M89" s="1068"/>
    </row>
    <row r="90" spans="5:13" ht="14.25">
      <c r="E90" s="638"/>
      <c r="F90" s="638"/>
      <c r="M90" s="1068"/>
    </row>
    <row r="91" spans="5:13">
      <c r="F91" s="638"/>
    </row>
    <row r="92" spans="5:13">
      <c r="F92" s="638"/>
    </row>
    <row r="93" spans="5:13">
      <c r="F93" s="638"/>
    </row>
    <row r="94" spans="5:13">
      <c r="F94" s="638"/>
    </row>
    <row r="95" spans="5:13">
      <c r="F95" s="638"/>
    </row>
    <row r="96" spans="5:13">
      <c r="F96" s="638"/>
    </row>
  </sheetData>
  <mergeCells count="13">
    <mergeCell ref="N4:N5"/>
    <mergeCell ref="G4:G5"/>
    <mergeCell ref="B2:M2"/>
    <mergeCell ref="G3:H3"/>
    <mergeCell ref="K4:M4"/>
    <mergeCell ref="B4:B5"/>
    <mergeCell ref="C4:C5"/>
    <mergeCell ref="D4:D5"/>
    <mergeCell ref="F4:F5"/>
    <mergeCell ref="E4:E5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3"/>
  <dimension ref="A1:P93"/>
  <sheetViews>
    <sheetView topLeftCell="A13" zoomScaleNormal="100" zoomScaleSheetLayoutView="100" workbookViewId="0">
      <selection activeCell="G37" sqref="G37"/>
    </sheetView>
  </sheetViews>
  <sheetFormatPr defaultRowHeight="12.75"/>
  <cols>
    <col min="1" max="1" width="9.140625" style="611"/>
    <col min="2" max="2" width="4.7109375" style="9" customWidth="1"/>
    <col min="3" max="3" width="5.140625" style="9" customWidth="1"/>
    <col min="4" max="4" width="5" style="9" customWidth="1"/>
    <col min="5" max="5" width="8.7109375" style="18" customWidth="1"/>
    <col min="6" max="6" width="8.7109375" style="616" customWidth="1"/>
    <col min="7" max="7" width="50.7109375" style="9" customWidth="1"/>
    <col min="8" max="10" width="14.7109375" style="9" customWidth="1"/>
    <col min="11" max="12" width="14.7109375" style="611" customWidth="1"/>
    <col min="13" max="13" width="15.7109375" style="9" customWidth="1"/>
    <col min="14" max="14" width="7.7109375" style="680" customWidth="1"/>
    <col min="15" max="16384" width="9.140625" style="9"/>
  </cols>
  <sheetData>
    <row r="1" spans="1:16" ht="13.5" thickBot="1"/>
    <row r="2" spans="1:16" s="126" customFormat="1" ht="20.100000000000001" customHeight="1" thickTop="1" thickBot="1">
      <c r="A2" s="1052"/>
      <c r="B2" s="1261" t="s">
        <v>142</v>
      </c>
      <c r="C2" s="1262"/>
      <c r="D2" s="1262"/>
      <c r="E2" s="1262"/>
      <c r="F2" s="1262"/>
      <c r="G2" s="1262"/>
      <c r="H2" s="1262"/>
      <c r="I2" s="1053"/>
      <c r="J2" s="1053"/>
      <c r="K2" s="1055"/>
      <c r="L2" s="1055"/>
      <c r="M2" s="1055"/>
      <c r="N2" s="1057"/>
    </row>
    <row r="3" spans="1:16" s="1" customFormat="1" ht="8.1" customHeight="1" thickTop="1" thickBot="1">
      <c r="A3" s="608"/>
      <c r="E3" s="2"/>
      <c r="F3" s="609"/>
      <c r="G3" s="1264"/>
      <c r="H3" s="1264"/>
      <c r="I3" s="306"/>
      <c r="J3" s="306"/>
      <c r="K3" s="119"/>
      <c r="L3" s="119"/>
      <c r="M3" s="119"/>
      <c r="N3" s="674"/>
    </row>
    <row r="4" spans="1:16" s="1" customFormat="1" ht="39" customHeight="1">
      <c r="A4" s="608"/>
      <c r="B4" s="1268" t="s">
        <v>78</v>
      </c>
      <c r="C4" s="1280" t="s">
        <v>79</v>
      </c>
      <c r="D4" s="1281" t="s">
        <v>110</v>
      </c>
      <c r="E4" s="1282" t="s">
        <v>615</v>
      </c>
      <c r="F4" s="1273" t="s">
        <v>695</v>
      </c>
      <c r="G4" s="1274" t="s">
        <v>80</v>
      </c>
      <c r="H4" s="1283" t="s">
        <v>614</v>
      </c>
      <c r="I4" s="1284" t="s">
        <v>747</v>
      </c>
      <c r="J4" s="1283" t="s">
        <v>667</v>
      </c>
      <c r="K4" s="1265" t="s">
        <v>682</v>
      </c>
      <c r="L4" s="1266"/>
      <c r="M4" s="1267"/>
      <c r="N4" s="1278" t="s">
        <v>756</v>
      </c>
    </row>
    <row r="5" spans="1:16" s="608" customFormat="1" ht="27" customHeight="1">
      <c r="B5" s="1269"/>
      <c r="C5" s="1271"/>
      <c r="D5" s="1271"/>
      <c r="E5" s="1275"/>
      <c r="F5" s="1271"/>
      <c r="G5" s="1275"/>
      <c r="H5" s="1275"/>
      <c r="I5" s="1275"/>
      <c r="J5" s="1275"/>
      <c r="K5" s="1048" t="s">
        <v>753</v>
      </c>
      <c r="L5" s="1048" t="s">
        <v>754</v>
      </c>
      <c r="M5" s="1059" t="s">
        <v>426</v>
      </c>
      <c r="N5" s="1279"/>
    </row>
    <row r="6" spans="1:16" s="1202" customFormat="1" ht="11.1" customHeight="1">
      <c r="B6" s="1181">
        <v>1</v>
      </c>
      <c r="C6" s="661">
        <v>2</v>
      </c>
      <c r="D6" s="661">
        <v>3</v>
      </c>
      <c r="E6" s="661">
        <v>4</v>
      </c>
      <c r="F6" s="661">
        <v>5</v>
      </c>
      <c r="G6" s="661">
        <v>6</v>
      </c>
      <c r="H6" s="661">
        <v>7</v>
      </c>
      <c r="I6" s="661">
        <v>8</v>
      </c>
      <c r="J6" s="661">
        <v>9</v>
      </c>
      <c r="K6" s="661">
        <v>10</v>
      </c>
      <c r="L6" s="661">
        <v>11</v>
      </c>
      <c r="M6" s="1201" t="s">
        <v>755</v>
      </c>
      <c r="N6" s="1183">
        <v>13</v>
      </c>
    </row>
    <row r="7" spans="1:16" s="2" customFormat="1" ht="12.95" customHeight="1">
      <c r="A7" s="609"/>
      <c r="B7" s="6" t="s">
        <v>143</v>
      </c>
      <c r="C7" s="7" t="s">
        <v>81</v>
      </c>
      <c r="D7" s="7" t="s">
        <v>82</v>
      </c>
      <c r="E7" s="5"/>
      <c r="F7" s="610"/>
      <c r="G7" s="5"/>
      <c r="H7" s="5"/>
      <c r="I7" s="5"/>
      <c r="J7" s="5"/>
      <c r="K7" s="610"/>
      <c r="L7" s="610"/>
      <c r="M7" s="1060"/>
      <c r="N7" s="675"/>
    </row>
    <row r="8" spans="1:16" s="1" customFormat="1" ht="12.95" customHeight="1">
      <c r="A8" s="608"/>
      <c r="B8" s="12"/>
      <c r="C8" s="8"/>
      <c r="D8" s="8"/>
      <c r="E8" s="635">
        <v>611000</v>
      </c>
      <c r="F8" s="661"/>
      <c r="G8" s="8" t="s">
        <v>163</v>
      </c>
      <c r="H8" s="272">
        <f>SUM(H9:H12)</f>
        <v>276210</v>
      </c>
      <c r="I8" s="835">
        <v>276200</v>
      </c>
      <c r="J8" s="471">
        <v>201712</v>
      </c>
      <c r="K8" s="272">
        <f>SUM(K9:K12)</f>
        <v>301600</v>
      </c>
      <c r="L8" s="272">
        <f>SUM(L9:L12)</f>
        <v>0</v>
      </c>
      <c r="M8" s="1061">
        <f>SUM(M9:M12)</f>
        <v>301600</v>
      </c>
      <c r="N8" s="676">
        <f>IF(I8=0,"",M8/I8*100)</f>
        <v>109.19623461259957</v>
      </c>
    </row>
    <row r="9" spans="1:16" ht="12.95" customHeight="1">
      <c r="B9" s="10"/>
      <c r="C9" s="11"/>
      <c r="D9" s="11"/>
      <c r="E9" s="636">
        <v>611100</v>
      </c>
      <c r="F9" s="662"/>
      <c r="G9" s="20" t="s">
        <v>204</v>
      </c>
      <c r="H9" s="274">
        <f>229670+1400+6560</f>
        <v>237630</v>
      </c>
      <c r="I9" s="837">
        <v>236500</v>
      </c>
      <c r="J9" s="473">
        <v>174537</v>
      </c>
      <c r="K9" s="274">
        <f>242100+2100+2*500+1*10*1430</f>
        <v>259500</v>
      </c>
      <c r="L9" s="274">
        <v>0</v>
      </c>
      <c r="M9" s="1062">
        <f>SUM(K9:L9)</f>
        <v>259500</v>
      </c>
      <c r="N9" s="677">
        <f>IF(I9=0,"",M9/I9*100)</f>
        <v>109.72515856236787</v>
      </c>
    </row>
    <row r="10" spans="1:16" ht="12.95" customHeight="1">
      <c r="B10" s="10"/>
      <c r="C10" s="11"/>
      <c r="D10" s="11"/>
      <c r="E10" s="636">
        <v>611200</v>
      </c>
      <c r="F10" s="662"/>
      <c r="G10" s="11" t="s">
        <v>205</v>
      </c>
      <c r="H10" s="274">
        <f>36340+1400+840</f>
        <v>38580</v>
      </c>
      <c r="I10" s="837">
        <v>39700</v>
      </c>
      <c r="J10" s="473">
        <v>27175</v>
      </c>
      <c r="K10" s="274">
        <f>36400+750+2*900+1*10*21*15</f>
        <v>42100</v>
      </c>
      <c r="L10" s="274">
        <v>0</v>
      </c>
      <c r="M10" s="1062">
        <f t="shared" ref="M10:M11" si="0">SUM(K10:L10)</f>
        <v>42100</v>
      </c>
      <c r="N10" s="677">
        <f t="shared" ref="N10:N52" si="1">IF(I10=0,"",M10/I10*100)</f>
        <v>106.04534005037782</v>
      </c>
      <c r="P10" s="64"/>
    </row>
    <row r="11" spans="1:16" ht="12.95" customHeight="1">
      <c r="B11" s="10"/>
      <c r="C11" s="11"/>
      <c r="D11" s="11"/>
      <c r="E11" s="636">
        <v>611200</v>
      </c>
      <c r="F11" s="662"/>
      <c r="G11" s="229" t="s">
        <v>547</v>
      </c>
      <c r="H11" s="273">
        <v>0</v>
      </c>
      <c r="I11" s="836">
        <v>0</v>
      </c>
      <c r="J11" s="472">
        <v>0</v>
      </c>
      <c r="K11" s="273">
        <v>0</v>
      </c>
      <c r="L11" s="273">
        <v>0</v>
      </c>
      <c r="M11" s="1062">
        <f t="shared" si="0"/>
        <v>0</v>
      </c>
      <c r="N11" s="677" t="str">
        <f t="shared" si="1"/>
        <v/>
      </c>
      <c r="P11" s="63"/>
    </row>
    <row r="12" spans="1:16" ht="8.1" customHeight="1">
      <c r="B12" s="10"/>
      <c r="C12" s="11"/>
      <c r="D12" s="11"/>
      <c r="E12" s="636"/>
      <c r="F12" s="662"/>
      <c r="G12" s="20"/>
      <c r="H12" s="274"/>
      <c r="I12" s="837"/>
      <c r="J12" s="473"/>
      <c r="K12" s="274"/>
      <c r="L12" s="274"/>
      <c r="M12" s="1062"/>
      <c r="N12" s="677" t="str">
        <f t="shared" si="1"/>
        <v/>
      </c>
    </row>
    <row r="13" spans="1:16" s="1" customFormat="1" ht="12.95" customHeight="1">
      <c r="A13" s="608"/>
      <c r="B13" s="12"/>
      <c r="C13" s="8"/>
      <c r="D13" s="8"/>
      <c r="E13" s="635">
        <v>612000</v>
      </c>
      <c r="F13" s="661"/>
      <c r="G13" s="8" t="s">
        <v>162</v>
      </c>
      <c r="H13" s="272">
        <f>H14</f>
        <v>25030</v>
      </c>
      <c r="I13" s="835">
        <v>25200</v>
      </c>
      <c r="J13" s="471">
        <v>18527</v>
      </c>
      <c r="K13" s="272">
        <f>K14</f>
        <v>27660</v>
      </c>
      <c r="L13" s="272">
        <f>L14</f>
        <v>0</v>
      </c>
      <c r="M13" s="1061">
        <f>M14</f>
        <v>27660</v>
      </c>
      <c r="N13" s="676">
        <f t="shared" si="1"/>
        <v>109.76190476190477</v>
      </c>
    </row>
    <row r="14" spans="1:16" ht="12.95" customHeight="1">
      <c r="B14" s="10"/>
      <c r="C14" s="11"/>
      <c r="D14" s="11"/>
      <c r="E14" s="636">
        <v>612100</v>
      </c>
      <c r="F14" s="662"/>
      <c r="G14" s="13" t="s">
        <v>83</v>
      </c>
      <c r="H14" s="274">
        <f>23620+700+710</f>
        <v>25030</v>
      </c>
      <c r="I14" s="837">
        <v>25200</v>
      </c>
      <c r="J14" s="473">
        <v>18527</v>
      </c>
      <c r="K14" s="274">
        <f>25700+220+2*70+1*10*160</f>
        <v>27660</v>
      </c>
      <c r="L14" s="274">
        <v>0</v>
      </c>
      <c r="M14" s="1062">
        <f>SUM(K14:L14)</f>
        <v>27660</v>
      </c>
      <c r="N14" s="677">
        <f t="shared" si="1"/>
        <v>109.76190476190477</v>
      </c>
    </row>
    <row r="15" spans="1:16" ht="8.1" customHeight="1">
      <c r="B15" s="10"/>
      <c r="C15" s="11"/>
      <c r="D15" s="11"/>
      <c r="E15" s="636"/>
      <c r="F15" s="662"/>
      <c r="G15" s="11"/>
      <c r="H15" s="88"/>
      <c r="I15" s="833"/>
      <c r="J15" s="469"/>
      <c r="K15" s="623"/>
      <c r="L15" s="623"/>
      <c r="M15" s="1063"/>
      <c r="N15" s="677" t="str">
        <f t="shared" si="1"/>
        <v/>
      </c>
    </row>
    <row r="16" spans="1:16" s="1" customFormat="1" ht="12.95" customHeight="1">
      <c r="A16" s="608"/>
      <c r="B16" s="12"/>
      <c r="C16" s="8"/>
      <c r="D16" s="8"/>
      <c r="E16" s="635">
        <v>613000</v>
      </c>
      <c r="F16" s="661"/>
      <c r="G16" s="8" t="s">
        <v>164</v>
      </c>
      <c r="H16" s="79">
        <f>SUM(H17:H28)</f>
        <v>91300</v>
      </c>
      <c r="I16" s="832">
        <v>108400</v>
      </c>
      <c r="J16" s="468">
        <v>85292</v>
      </c>
      <c r="K16" s="622">
        <f>SUM(K17:K28)</f>
        <v>87900</v>
      </c>
      <c r="L16" s="622">
        <f>SUM(L17:L28)</f>
        <v>0</v>
      </c>
      <c r="M16" s="1064">
        <f>SUM(M17:M28)</f>
        <v>87900</v>
      </c>
      <c r="N16" s="676">
        <f t="shared" si="1"/>
        <v>81.088560885608857</v>
      </c>
    </row>
    <row r="17" spans="1:15" ht="12.95" customHeight="1">
      <c r="B17" s="10"/>
      <c r="C17" s="11"/>
      <c r="D17" s="11"/>
      <c r="E17" s="636">
        <v>613100</v>
      </c>
      <c r="F17" s="662"/>
      <c r="G17" s="11" t="s">
        <v>84</v>
      </c>
      <c r="H17" s="88">
        <v>4500</v>
      </c>
      <c r="I17" s="833">
        <v>4500</v>
      </c>
      <c r="J17" s="469">
        <v>2361</v>
      </c>
      <c r="K17" s="984">
        <v>4500</v>
      </c>
      <c r="L17" s="984">
        <v>0</v>
      </c>
      <c r="M17" s="1062">
        <f t="shared" ref="M17:M28" si="2">SUM(K17:L17)</f>
        <v>4500</v>
      </c>
      <c r="N17" s="677">
        <f t="shared" si="1"/>
        <v>100</v>
      </c>
    </row>
    <row r="18" spans="1:15" ht="12.95" customHeight="1">
      <c r="B18" s="10"/>
      <c r="C18" s="11"/>
      <c r="D18" s="11"/>
      <c r="E18" s="636">
        <v>613200</v>
      </c>
      <c r="F18" s="662"/>
      <c r="G18" s="11" t="s">
        <v>85</v>
      </c>
      <c r="H18" s="88">
        <v>0</v>
      </c>
      <c r="I18" s="833">
        <v>0</v>
      </c>
      <c r="J18" s="469">
        <v>0</v>
      </c>
      <c r="K18" s="984">
        <v>0</v>
      </c>
      <c r="L18" s="984">
        <v>0</v>
      </c>
      <c r="M18" s="1062">
        <f t="shared" si="2"/>
        <v>0</v>
      </c>
      <c r="N18" s="677" t="str">
        <f t="shared" si="1"/>
        <v/>
      </c>
    </row>
    <row r="19" spans="1:15" ht="12.95" customHeight="1">
      <c r="B19" s="10"/>
      <c r="C19" s="11"/>
      <c r="D19" s="11"/>
      <c r="E19" s="636">
        <v>613300</v>
      </c>
      <c r="F19" s="662"/>
      <c r="G19" s="20" t="s">
        <v>206</v>
      </c>
      <c r="H19" s="88">
        <v>4100</v>
      </c>
      <c r="I19" s="833">
        <v>3700</v>
      </c>
      <c r="J19" s="469">
        <v>2617</v>
      </c>
      <c r="K19" s="984">
        <v>3700</v>
      </c>
      <c r="L19" s="984">
        <v>0</v>
      </c>
      <c r="M19" s="1062">
        <f t="shared" si="2"/>
        <v>3700</v>
      </c>
      <c r="N19" s="677">
        <f t="shared" si="1"/>
        <v>100</v>
      </c>
    </row>
    <row r="20" spans="1:15" ht="12.95" customHeight="1">
      <c r="B20" s="10"/>
      <c r="C20" s="11"/>
      <c r="D20" s="11"/>
      <c r="E20" s="636">
        <v>613400</v>
      </c>
      <c r="F20" s="662"/>
      <c r="G20" s="11" t="s">
        <v>165</v>
      </c>
      <c r="H20" s="88">
        <v>7700</v>
      </c>
      <c r="I20" s="833">
        <v>17500</v>
      </c>
      <c r="J20" s="469">
        <v>16695</v>
      </c>
      <c r="K20" s="984">
        <v>7700</v>
      </c>
      <c r="L20" s="984">
        <v>0</v>
      </c>
      <c r="M20" s="1062">
        <f t="shared" si="2"/>
        <v>7700</v>
      </c>
      <c r="N20" s="677">
        <f t="shared" si="1"/>
        <v>44</v>
      </c>
    </row>
    <row r="21" spans="1:15" ht="12.95" customHeight="1">
      <c r="B21" s="10"/>
      <c r="C21" s="11"/>
      <c r="D21" s="11"/>
      <c r="E21" s="636">
        <v>613500</v>
      </c>
      <c r="F21" s="662"/>
      <c r="G21" s="11" t="s">
        <v>86</v>
      </c>
      <c r="H21" s="88">
        <v>0</v>
      </c>
      <c r="I21" s="833">
        <v>0</v>
      </c>
      <c r="J21" s="469">
        <v>0</v>
      </c>
      <c r="K21" s="984">
        <v>0</v>
      </c>
      <c r="L21" s="984">
        <v>0</v>
      </c>
      <c r="M21" s="1062">
        <f t="shared" si="2"/>
        <v>0</v>
      </c>
      <c r="N21" s="677" t="str">
        <f t="shared" si="1"/>
        <v/>
      </c>
    </row>
    <row r="22" spans="1:15" ht="12.95" customHeight="1">
      <c r="B22" s="10"/>
      <c r="C22" s="11"/>
      <c r="D22" s="11"/>
      <c r="E22" s="636">
        <v>613600</v>
      </c>
      <c r="F22" s="662"/>
      <c r="G22" s="20" t="s">
        <v>207</v>
      </c>
      <c r="H22" s="88">
        <v>0</v>
      </c>
      <c r="I22" s="833">
        <v>0</v>
      </c>
      <c r="J22" s="469">
        <v>0</v>
      </c>
      <c r="K22" s="984">
        <v>0</v>
      </c>
      <c r="L22" s="984">
        <v>0</v>
      </c>
      <c r="M22" s="1062">
        <f t="shared" si="2"/>
        <v>0</v>
      </c>
      <c r="N22" s="677" t="str">
        <f t="shared" si="1"/>
        <v/>
      </c>
    </row>
    <row r="23" spans="1:15" ht="12.95" customHeight="1">
      <c r="B23" s="10"/>
      <c r="C23" s="11"/>
      <c r="D23" s="11"/>
      <c r="E23" s="636">
        <v>613700</v>
      </c>
      <c r="F23" s="662"/>
      <c r="G23" s="11" t="s">
        <v>87</v>
      </c>
      <c r="H23" s="88">
        <v>1000</v>
      </c>
      <c r="I23" s="833">
        <v>700</v>
      </c>
      <c r="J23" s="469">
        <v>245</v>
      </c>
      <c r="K23" s="984">
        <v>1000</v>
      </c>
      <c r="L23" s="984">
        <v>0</v>
      </c>
      <c r="M23" s="1062">
        <f t="shared" si="2"/>
        <v>1000</v>
      </c>
      <c r="N23" s="677">
        <f t="shared" si="1"/>
        <v>142.85714285714286</v>
      </c>
    </row>
    <row r="24" spans="1:15" ht="12.95" customHeight="1">
      <c r="B24" s="10"/>
      <c r="C24" s="11"/>
      <c r="D24" s="11"/>
      <c r="E24" s="636">
        <v>613800</v>
      </c>
      <c r="F24" s="662"/>
      <c r="G24" s="11" t="s">
        <v>166</v>
      </c>
      <c r="H24" s="88">
        <v>0</v>
      </c>
      <c r="I24" s="833">
        <v>0</v>
      </c>
      <c r="J24" s="469">
        <v>0</v>
      </c>
      <c r="K24" s="984">
        <v>0</v>
      </c>
      <c r="L24" s="984">
        <v>0</v>
      </c>
      <c r="M24" s="1062">
        <f t="shared" si="2"/>
        <v>0</v>
      </c>
      <c r="N24" s="677" t="str">
        <f t="shared" si="1"/>
        <v/>
      </c>
    </row>
    <row r="25" spans="1:15" ht="12.95" customHeight="1">
      <c r="B25" s="10"/>
      <c r="C25" s="11"/>
      <c r="D25" s="11"/>
      <c r="E25" s="636">
        <v>613800</v>
      </c>
      <c r="F25" s="662"/>
      <c r="G25" s="20" t="s">
        <v>186</v>
      </c>
      <c r="H25" s="88">
        <v>0</v>
      </c>
      <c r="I25" s="833">
        <v>0</v>
      </c>
      <c r="J25" s="469">
        <v>0</v>
      </c>
      <c r="K25" s="984">
        <v>0</v>
      </c>
      <c r="L25" s="984">
        <v>0</v>
      </c>
      <c r="M25" s="1062">
        <f t="shared" si="2"/>
        <v>0</v>
      </c>
      <c r="N25" s="677" t="str">
        <f t="shared" si="1"/>
        <v/>
      </c>
    </row>
    <row r="26" spans="1:15" ht="12.95" customHeight="1">
      <c r="B26" s="10"/>
      <c r="C26" s="11"/>
      <c r="D26" s="11"/>
      <c r="E26" s="636">
        <v>613900</v>
      </c>
      <c r="F26" s="662"/>
      <c r="G26" s="20" t="s">
        <v>167</v>
      </c>
      <c r="H26" s="88">
        <v>19000</v>
      </c>
      <c r="I26" s="833">
        <v>22000</v>
      </c>
      <c r="J26" s="469">
        <v>14862</v>
      </c>
      <c r="K26" s="984">
        <v>11000</v>
      </c>
      <c r="L26" s="984">
        <v>0</v>
      </c>
      <c r="M26" s="1062">
        <f t="shared" si="2"/>
        <v>11000</v>
      </c>
      <c r="N26" s="677">
        <f t="shared" si="1"/>
        <v>50</v>
      </c>
    </row>
    <row r="27" spans="1:15" ht="12.95" customHeight="1">
      <c r="B27" s="10"/>
      <c r="C27" s="11"/>
      <c r="D27" s="11"/>
      <c r="E27" s="636">
        <v>613900</v>
      </c>
      <c r="F27" s="662" t="s">
        <v>726</v>
      </c>
      <c r="G27" s="20" t="s">
        <v>180</v>
      </c>
      <c r="H27" s="88">
        <v>55000</v>
      </c>
      <c r="I27" s="833">
        <v>60000</v>
      </c>
      <c r="J27" s="469">
        <v>48512</v>
      </c>
      <c r="K27" s="984">
        <v>60000</v>
      </c>
      <c r="L27" s="984">
        <v>0</v>
      </c>
      <c r="M27" s="1062">
        <f t="shared" si="2"/>
        <v>60000</v>
      </c>
      <c r="N27" s="677">
        <f t="shared" si="1"/>
        <v>100</v>
      </c>
    </row>
    <row r="28" spans="1:15" ht="12.95" customHeight="1">
      <c r="B28" s="10"/>
      <c r="C28" s="11"/>
      <c r="D28" s="11"/>
      <c r="E28" s="636">
        <v>613900</v>
      </c>
      <c r="F28" s="662"/>
      <c r="G28" s="229" t="s">
        <v>548</v>
      </c>
      <c r="H28" s="88">
        <v>0</v>
      </c>
      <c r="I28" s="833">
        <v>0</v>
      </c>
      <c r="J28" s="469">
        <v>0</v>
      </c>
      <c r="K28" s="984">
        <v>0</v>
      </c>
      <c r="L28" s="984">
        <v>0</v>
      </c>
      <c r="M28" s="1062">
        <f t="shared" si="2"/>
        <v>0</v>
      </c>
      <c r="N28" s="677" t="str">
        <f t="shared" si="1"/>
        <v/>
      </c>
    </row>
    <row r="29" spans="1:15" ht="8.1" customHeight="1">
      <c r="B29" s="10"/>
      <c r="C29" s="11"/>
      <c r="D29" s="11"/>
      <c r="E29" s="636"/>
      <c r="F29" s="662"/>
      <c r="G29" s="11"/>
      <c r="H29" s="88"/>
      <c r="I29" s="833"/>
      <c r="J29" s="469"/>
      <c r="K29" s="623"/>
      <c r="L29" s="623"/>
      <c r="M29" s="1063"/>
      <c r="N29" s="677" t="str">
        <f t="shared" si="1"/>
        <v/>
      </c>
    </row>
    <row r="30" spans="1:15" s="1" customFormat="1" ht="12.95" customHeight="1">
      <c r="A30" s="608"/>
      <c r="B30" s="12"/>
      <c r="C30" s="8"/>
      <c r="D30" s="8"/>
      <c r="E30" s="635">
        <v>614000</v>
      </c>
      <c r="F30" s="661"/>
      <c r="G30" s="8" t="s">
        <v>208</v>
      </c>
      <c r="H30" s="79">
        <f>SUM(H31:H39)</f>
        <v>1210000</v>
      </c>
      <c r="I30" s="832">
        <v>1227000</v>
      </c>
      <c r="J30" s="468">
        <v>919010</v>
      </c>
      <c r="K30" s="622">
        <f>SUM(K31:K39)</f>
        <v>1180000</v>
      </c>
      <c r="L30" s="622">
        <f>SUM(L31:L39)</f>
        <v>0</v>
      </c>
      <c r="M30" s="1064">
        <f>SUM(M31:M39)</f>
        <v>1180000</v>
      </c>
      <c r="N30" s="676">
        <f t="shared" si="1"/>
        <v>96.169519152404234</v>
      </c>
    </row>
    <row r="31" spans="1:15" s="126" customFormat="1" ht="28.5" customHeight="1">
      <c r="B31" s="120"/>
      <c r="C31" s="121"/>
      <c r="D31" s="122"/>
      <c r="E31" s="640">
        <v>614100</v>
      </c>
      <c r="F31" s="666" t="s">
        <v>727</v>
      </c>
      <c r="G31" s="123" t="s">
        <v>227</v>
      </c>
      <c r="H31" s="124">
        <v>160000</v>
      </c>
      <c r="I31" s="834">
        <v>127000</v>
      </c>
      <c r="J31" s="470">
        <v>111950</v>
      </c>
      <c r="K31" s="470">
        <v>150000</v>
      </c>
      <c r="L31" s="470">
        <v>0</v>
      </c>
      <c r="M31" s="1062">
        <f t="shared" ref="M31:M39" si="3">SUM(K31:L31)</f>
        <v>150000</v>
      </c>
      <c r="N31" s="677">
        <f t="shared" si="1"/>
        <v>118.11023622047243</v>
      </c>
      <c r="O31" s="125"/>
    </row>
    <row r="32" spans="1:15" ht="12.95" customHeight="1">
      <c r="B32" s="10"/>
      <c r="C32" s="11"/>
      <c r="D32" s="11"/>
      <c r="E32" s="641">
        <v>614100</v>
      </c>
      <c r="F32" s="667"/>
      <c r="G32" s="86" t="s">
        <v>100</v>
      </c>
      <c r="H32" s="88">
        <v>350000</v>
      </c>
      <c r="I32" s="833">
        <v>350000</v>
      </c>
      <c r="J32" s="469">
        <v>264550</v>
      </c>
      <c r="K32" s="623">
        <v>0</v>
      </c>
      <c r="L32" s="623">
        <v>0</v>
      </c>
      <c r="M32" s="1062">
        <f t="shared" si="3"/>
        <v>0</v>
      </c>
      <c r="N32" s="677">
        <f t="shared" si="1"/>
        <v>0</v>
      </c>
    </row>
    <row r="33" spans="1:15" s="611" customFormat="1" ht="12.95" customHeight="1">
      <c r="B33" s="612"/>
      <c r="C33" s="613"/>
      <c r="D33" s="613"/>
      <c r="E33" s="641">
        <v>614100</v>
      </c>
      <c r="F33" s="667" t="s">
        <v>854</v>
      </c>
      <c r="G33" s="289" t="s">
        <v>728</v>
      </c>
      <c r="H33" s="623">
        <v>0</v>
      </c>
      <c r="I33" s="623">
        <v>0</v>
      </c>
      <c r="J33" s="623">
        <v>0</v>
      </c>
      <c r="K33" s="623">
        <v>280000</v>
      </c>
      <c r="L33" s="623">
        <v>0</v>
      </c>
      <c r="M33" s="1062">
        <f t="shared" si="3"/>
        <v>280000</v>
      </c>
      <c r="N33" s="677" t="str">
        <f t="shared" si="1"/>
        <v/>
      </c>
    </row>
    <row r="34" spans="1:15" s="611" customFormat="1" ht="12.95" customHeight="1">
      <c r="B34" s="612"/>
      <c r="C34" s="613"/>
      <c r="D34" s="613"/>
      <c r="E34" s="641">
        <v>614100</v>
      </c>
      <c r="F34" s="667" t="s">
        <v>855</v>
      </c>
      <c r="G34" s="289" t="s">
        <v>729</v>
      </c>
      <c r="H34" s="623">
        <v>0</v>
      </c>
      <c r="I34" s="623">
        <v>0</v>
      </c>
      <c r="J34" s="623">
        <v>0</v>
      </c>
      <c r="K34" s="623">
        <v>60000</v>
      </c>
      <c r="L34" s="623">
        <v>0</v>
      </c>
      <c r="M34" s="1062">
        <f t="shared" si="3"/>
        <v>60000</v>
      </c>
      <c r="N34" s="677"/>
    </row>
    <row r="35" spans="1:15" ht="12.95" customHeight="1">
      <c r="B35" s="10"/>
      <c r="C35" s="11"/>
      <c r="D35" s="11"/>
      <c r="E35" s="641">
        <v>614100</v>
      </c>
      <c r="F35" s="667" t="s">
        <v>730</v>
      </c>
      <c r="G35" s="86" t="s">
        <v>407</v>
      </c>
      <c r="H35" s="88">
        <v>295000</v>
      </c>
      <c r="I35" s="841">
        <v>345000</v>
      </c>
      <c r="J35" s="469">
        <v>199110</v>
      </c>
      <c r="K35" s="623">
        <v>335000</v>
      </c>
      <c r="L35" s="623">
        <v>0</v>
      </c>
      <c r="M35" s="1062">
        <f t="shared" si="3"/>
        <v>335000</v>
      </c>
      <c r="N35" s="677">
        <f t="shared" si="1"/>
        <v>97.101449275362313</v>
      </c>
    </row>
    <row r="36" spans="1:15" ht="12.95" customHeight="1">
      <c r="B36" s="10"/>
      <c r="C36" s="11"/>
      <c r="D36" s="11"/>
      <c r="E36" s="636">
        <v>614200</v>
      </c>
      <c r="F36" s="662" t="s">
        <v>731</v>
      </c>
      <c r="G36" s="23" t="s">
        <v>112</v>
      </c>
      <c r="H36" s="88">
        <v>150000</v>
      </c>
      <c r="I36" s="841">
        <v>150000</v>
      </c>
      <c r="J36" s="469">
        <v>116400</v>
      </c>
      <c r="K36" s="623">
        <v>150000</v>
      </c>
      <c r="L36" s="623">
        <v>0</v>
      </c>
      <c r="M36" s="1062">
        <f t="shared" si="3"/>
        <v>150000</v>
      </c>
      <c r="N36" s="677">
        <f t="shared" si="1"/>
        <v>100</v>
      </c>
    </row>
    <row r="37" spans="1:15" s="126" customFormat="1" ht="27.75" customHeight="1">
      <c r="B37" s="120"/>
      <c r="C37" s="121"/>
      <c r="D37" s="121"/>
      <c r="E37" s="640">
        <v>614200</v>
      </c>
      <c r="F37" s="666" t="s">
        <v>732</v>
      </c>
      <c r="G37" s="127" t="s">
        <v>838</v>
      </c>
      <c r="H37" s="124">
        <v>15000</v>
      </c>
      <c r="I37" s="842">
        <v>15000</v>
      </c>
      <c r="J37" s="470">
        <v>10000</v>
      </c>
      <c r="K37" s="470">
        <v>15000</v>
      </c>
      <c r="L37" s="470">
        <v>0</v>
      </c>
      <c r="M37" s="1062">
        <f t="shared" si="3"/>
        <v>15000</v>
      </c>
      <c r="N37" s="677">
        <f t="shared" si="1"/>
        <v>100</v>
      </c>
    </row>
    <row r="38" spans="1:15" ht="12.95" customHeight="1">
      <c r="B38" s="10"/>
      <c r="C38" s="11"/>
      <c r="D38" s="11"/>
      <c r="E38" s="636">
        <v>614300</v>
      </c>
      <c r="F38" s="662" t="s">
        <v>733</v>
      </c>
      <c r="G38" s="23" t="s">
        <v>101</v>
      </c>
      <c r="H38" s="88">
        <v>40000</v>
      </c>
      <c r="I38" s="841">
        <v>40000</v>
      </c>
      <c r="J38" s="469">
        <v>28500</v>
      </c>
      <c r="K38" s="623">
        <v>40000</v>
      </c>
      <c r="L38" s="623">
        <v>0</v>
      </c>
      <c r="M38" s="1062">
        <f t="shared" si="3"/>
        <v>40000</v>
      </c>
      <c r="N38" s="677">
        <f t="shared" si="1"/>
        <v>100</v>
      </c>
    </row>
    <row r="39" spans="1:15" ht="12.95" customHeight="1">
      <c r="B39" s="10"/>
      <c r="C39" s="11"/>
      <c r="D39" s="11"/>
      <c r="E39" s="636">
        <v>614300</v>
      </c>
      <c r="F39" s="662" t="s">
        <v>734</v>
      </c>
      <c r="G39" s="23" t="s">
        <v>102</v>
      </c>
      <c r="H39" s="88">
        <v>200000</v>
      </c>
      <c r="I39" s="841">
        <v>200000</v>
      </c>
      <c r="J39" s="469">
        <v>188500</v>
      </c>
      <c r="K39" s="623">
        <v>150000</v>
      </c>
      <c r="L39" s="623">
        <v>0</v>
      </c>
      <c r="M39" s="1062">
        <f t="shared" si="3"/>
        <v>150000</v>
      </c>
      <c r="N39" s="677">
        <f t="shared" si="1"/>
        <v>75</v>
      </c>
      <c r="O39" s="78"/>
    </row>
    <row r="40" spans="1:15" ht="8.1" customHeight="1">
      <c r="B40" s="10"/>
      <c r="C40" s="11"/>
      <c r="D40" s="11"/>
      <c r="E40" s="636"/>
      <c r="F40" s="662"/>
      <c r="G40" s="23"/>
      <c r="H40" s="88"/>
      <c r="I40" s="841"/>
      <c r="J40" s="469"/>
      <c r="K40" s="623"/>
      <c r="L40" s="623"/>
      <c r="M40" s="1063"/>
      <c r="N40" s="677" t="str">
        <f t="shared" si="1"/>
        <v/>
      </c>
      <c r="O40" s="78"/>
    </row>
    <row r="41" spans="1:15" ht="12.95" customHeight="1">
      <c r="B41" s="10"/>
      <c r="C41" s="11"/>
      <c r="D41" s="11"/>
      <c r="E41" s="635">
        <v>616000</v>
      </c>
      <c r="F41" s="661"/>
      <c r="G41" s="26" t="s">
        <v>209</v>
      </c>
      <c r="H41" s="79">
        <f>H42</f>
        <v>6500</v>
      </c>
      <c r="I41" s="840">
        <v>5440</v>
      </c>
      <c r="J41" s="468">
        <v>5438</v>
      </c>
      <c r="K41" s="622">
        <f>K42</f>
        <v>2560</v>
      </c>
      <c r="L41" s="622">
        <f>L42</f>
        <v>0</v>
      </c>
      <c r="M41" s="1064">
        <f>M42</f>
        <v>2560</v>
      </c>
      <c r="N41" s="676">
        <f t="shared" si="1"/>
        <v>47.058823529411761</v>
      </c>
    </row>
    <row r="42" spans="1:15" ht="12.95" customHeight="1">
      <c r="B42" s="10"/>
      <c r="C42" s="11"/>
      <c r="D42" s="11"/>
      <c r="E42" s="636">
        <v>616300</v>
      </c>
      <c r="F42" s="662"/>
      <c r="G42" s="45" t="s">
        <v>218</v>
      </c>
      <c r="H42" s="88">
        <v>6500</v>
      </c>
      <c r="I42" s="841">
        <v>5440</v>
      </c>
      <c r="J42" s="469">
        <v>5438</v>
      </c>
      <c r="K42" s="623">
        <v>2560</v>
      </c>
      <c r="L42" s="623">
        <v>0</v>
      </c>
      <c r="M42" s="1062">
        <f>SUM(K42:L42)</f>
        <v>2560</v>
      </c>
      <c r="N42" s="677">
        <f t="shared" si="1"/>
        <v>47.058823529411761</v>
      </c>
    </row>
    <row r="43" spans="1:15" ht="8.1" customHeight="1">
      <c r="B43" s="10"/>
      <c r="C43" s="11"/>
      <c r="D43" s="11"/>
      <c r="E43" s="636"/>
      <c r="F43" s="662"/>
      <c r="G43" s="11"/>
      <c r="H43" s="57"/>
      <c r="I43" s="839"/>
      <c r="J43" s="467"/>
      <c r="K43" s="595"/>
      <c r="L43" s="595"/>
      <c r="M43" s="1063"/>
      <c r="N43" s="677" t="str">
        <f t="shared" si="1"/>
        <v/>
      </c>
    </row>
    <row r="44" spans="1:15" s="1" customFormat="1" ht="12.95" customHeight="1">
      <c r="A44" s="608"/>
      <c r="B44" s="12"/>
      <c r="C44" s="8"/>
      <c r="D44" s="8"/>
      <c r="E44" s="635">
        <v>821000</v>
      </c>
      <c r="F44" s="661"/>
      <c r="G44" s="8" t="s">
        <v>90</v>
      </c>
      <c r="H44" s="79">
        <f>SUM(H45:H46)</f>
        <v>1000</v>
      </c>
      <c r="I44" s="840">
        <v>990</v>
      </c>
      <c r="J44" s="468">
        <v>989</v>
      </c>
      <c r="K44" s="622">
        <f>SUM(K45:K46)</f>
        <v>2500</v>
      </c>
      <c r="L44" s="622">
        <f>SUM(L45:L46)</f>
        <v>0</v>
      </c>
      <c r="M44" s="1064">
        <f>SUM(M45:M46)</f>
        <v>2500</v>
      </c>
      <c r="N44" s="676">
        <f t="shared" si="1"/>
        <v>252.52525252525251</v>
      </c>
    </row>
    <row r="45" spans="1:15" ht="12.95" customHeight="1">
      <c r="B45" s="10"/>
      <c r="C45" s="11"/>
      <c r="D45" s="11"/>
      <c r="E45" s="636">
        <v>821200</v>
      </c>
      <c r="F45" s="662"/>
      <c r="G45" s="11" t="s">
        <v>91</v>
      </c>
      <c r="H45" s="57">
        <v>0</v>
      </c>
      <c r="I45" s="839">
        <v>0</v>
      </c>
      <c r="J45" s="467">
        <v>0</v>
      </c>
      <c r="K45" s="595">
        <v>0</v>
      </c>
      <c r="L45" s="595">
        <v>0</v>
      </c>
      <c r="M45" s="1062">
        <f t="shared" ref="M45:M46" si="4">SUM(K45:L45)</f>
        <v>0</v>
      </c>
      <c r="N45" s="677" t="str">
        <f t="shared" si="1"/>
        <v/>
      </c>
    </row>
    <row r="46" spans="1:15" ht="12.95" customHeight="1">
      <c r="B46" s="10"/>
      <c r="C46" s="11"/>
      <c r="D46" s="11"/>
      <c r="E46" s="636">
        <v>821300</v>
      </c>
      <c r="F46" s="662"/>
      <c r="G46" s="11" t="s">
        <v>92</v>
      </c>
      <c r="H46" s="88">
        <v>1000</v>
      </c>
      <c r="I46" s="841">
        <v>990</v>
      </c>
      <c r="J46" s="469">
        <v>989</v>
      </c>
      <c r="K46" s="623">
        <v>2500</v>
      </c>
      <c r="L46" s="623">
        <v>0</v>
      </c>
      <c r="M46" s="1062">
        <f t="shared" si="4"/>
        <v>2500</v>
      </c>
      <c r="N46" s="677">
        <f t="shared" si="1"/>
        <v>252.52525252525251</v>
      </c>
    </row>
    <row r="47" spans="1:15" ht="8.1" customHeight="1">
      <c r="B47" s="10"/>
      <c r="C47" s="11"/>
      <c r="D47" s="11"/>
      <c r="E47" s="636"/>
      <c r="F47" s="662"/>
      <c r="G47" s="11"/>
      <c r="H47" s="57"/>
      <c r="I47" s="839"/>
      <c r="J47" s="467"/>
      <c r="K47" s="595"/>
      <c r="L47" s="595"/>
      <c r="M47" s="1063"/>
      <c r="N47" s="677" t="str">
        <f t="shared" si="1"/>
        <v/>
      </c>
    </row>
    <row r="48" spans="1:15" ht="12.95" customHeight="1">
      <c r="B48" s="10"/>
      <c r="C48" s="11"/>
      <c r="D48" s="11"/>
      <c r="E48" s="635">
        <v>823000</v>
      </c>
      <c r="F48" s="661"/>
      <c r="G48" s="8" t="s">
        <v>210</v>
      </c>
      <c r="H48" s="79">
        <f>H49</f>
        <v>75000</v>
      </c>
      <c r="I48" s="840">
        <v>69160</v>
      </c>
      <c r="J48" s="468">
        <v>69152</v>
      </c>
      <c r="K48" s="622">
        <f>K49</f>
        <v>75000</v>
      </c>
      <c r="L48" s="622">
        <f>L49</f>
        <v>0</v>
      </c>
      <c r="M48" s="1064">
        <f>M49</f>
        <v>75000</v>
      </c>
      <c r="N48" s="676">
        <f t="shared" si="1"/>
        <v>108.44418739155581</v>
      </c>
    </row>
    <row r="49" spans="1:14" ht="12.95" customHeight="1">
      <c r="B49" s="10"/>
      <c r="C49" s="11"/>
      <c r="D49" s="11"/>
      <c r="E49" s="636">
        <v>823300</v>
      </c>
      <c r="F49" s="662"/>
      <c r="G49" s="20" t="s">
        <v>185</v>
      </c>
      <c r="H49" s="88">
        <v>75000</v>
      </c>
      <c r="I49" s="841">
        <v>69160</v>
      </c>
      <c r="J49" s="469">
        <v>69152</v>
      </c>
      <c r="K49" s="623">
        <v>75000</v>
      </c>
      <c r="L49" s="623">
        <v>0</v>
      </c>
      <c r="M49" s="1062">
        <f>SUM(K49:L49)</f>
        <v>75000</v>
      </c>
      <c r="N49" s="677">
        <f t="shared" si="1"/>
        <v>108.44418739155581</v>
      </c>
    </row>
    <row r="50" spans="1:14" ht="8.1" customHeight="1">
      <c r="B50" s="10"/>
      <c r="C50" s="11"/>
      <c r="D50" s="11"/>
      <c r="E50" s="636"/>
      <c r="F50" s="662"/>
      <c r="G50" s="20"/>
      <c r="H50" s="57"/>
      <c r="I50" s="839"/>
      <c r="J50" s="467"/>
      <c r="K50" s="595"/>
      <c r="L50" s="595"/>
      <c r="M50" s="1063"/>
      <c r="N50" s="677" t="str">
        <f t="shared" si="1"/>
        <v/>
      </c>
    </row>
    <row r="51" spans="1:14" s="1" customFormat="1" ht="12.95" customHeight="1">
      <c r="A51" s="608"/>
      <c r="B51" s="12"/>
      <c r="C51" s="8"/>
      <c r="D51" s="8"/>
      <c r="E51" s="635"/>
      <c r="F51" s="661"/>
      <c r="G51" s="8" t="s">
        <v>93</v>
      </c>
      <c r="H51" s="15">
        <v>10</v>
      </c>
      <c r="I51" s="838">
        <v>11</v>
      </c>
      <c r="J51" s="466">
        <v>10</v>
      </c>
      <c r="K51" s="615">
        <v>11</v>
      </c>
      <c r="L51" s="615"/>
      <c r="M51" s="1064">
        <v>11</v>
      </c>
      <c r="N51" s="677"/>
    </row>
    <row r="52" spans="1:14" s="1" customFormat="1" ht="12.95" customHeight="1">
      <c r="A52" s="608"/>
      <c r="B52" s="12"/>
      <c r="C52" s="8"/>
      <c r="D52" s="8"/>
      <c r="E52" s="635"/>
      <c r="F52" s="661"/>
      <c r="G52" s="8" t="s">
        <v>113</v>
      </c>
      <c r="H52" s="15">
        <f>H8+H13+H16+H30+H41+H44+H48</f>
        <v>1685040</v>
      </c>
      <c r="I52" s="615">
        <f t="shared" ref="I52:L52" si="5">I8+I13+I16+I30+I41+I44+I48</f>
        <v>1712390</v>
      </c>
      <c r="J52" s="615">
        <f t="shared" si="5"/>
        <v>1300120</v>
      </c>
      <c r="K52" s="615">
        <f t="shared" si="5"/>
        <v>1677220</v>
      </c>
      <c r="L52" s="615">
        <f t="shared" si="5"/>
        <v>0</v>
      </c>
      <c r="M52" s="1064">
        <f>M8+M13+M16+M30+M41+M44+M48</f>
        <v>1677220</v>
      </c>
      <c r="N52" s="676">
        <f t="shared" si="1"/>
        <v>97.946145445838866</v>
      </c>
    </row>
    <row r="53" spans="1:14" s="1" customFormat="1" ht="12.95" customHeight="1">
      <c r="A53" s="608"/>
      <c r="B53" s="12"/>
      <c r="C53" s="8"/>
      <c r="D53" s="8"/>
      <c r="E53" s="635"/>
      <c r="F53" s="661"/>
      <c r="G53" s="8" t="s">
        <v>94</v>
      </c>
      <c r="H53" s="11"/>
      <c r="I53" s="11"/>
      <c r="J53" s="11"/>
      <c r="K53" s="613"/>
      <c r="L53" s="613"/>
      <c r="M53" s="1074"/>
      <c r="N53" s="678"/>
    </row>
    <row r="54" spans="1:14" s="1" customFormat="1" ht="12.95" customHeight="1">
      <c r="A54" s="608"/>
      <c r="B54" s="12"/>
      <c r="C54" s="8"/>
      <c r="D54" s="8"/>
      <c r="E54" s="635"/>
      <c r="F54" s="661"/>
      <c r="G54" s="8" t="s">
        <v>95</v>
      </c>
      <c r="H54" s="11"/>
      <c r="I54" s="11"/>
      <c r="J54" s="11"/>
      <c r="K54" s="613"/>
      <c r="L54" s="613"/>
      <c r="M54" s="1074"/>
      <c r="N54" s="678"/>
    </row>
    <row r="55" spans="1:14" ht="8.1" customHeight="1" thickBot="1">
      <c r="B55" s="16"/>
      <c r="C55" s="17"/>
      <c r="D55" s="17"/>
      <c r="E55" s="637"/>
      <c r="F55" s="663"/>
      <c r="G55" s="17"/>
      <c r="H55" s="17"/>
      <c r="I55" s="17"/>
      <c r="J55" s="17"/>
      <c r="K55" s="17"/>
      <c r="L55" s="17"/>
      <c r="M55" s="1071"/>
      <c r="N55" s="679"/>
    </row>
    <row r="56" spans="1:14" ht="12.95" customHeight="1">
      <c r="E56" s="638"/>
      <c r="F56" s="664"/>
      <c r="M56" s="1068"/>
    </row>
    <row r="57" spans="1:14" ht="17.100000000000001" customHeight="1">
      <c r="E57" s="638"/>
      <c r="F57" s="664"/>
      <c r="M57" s="1068"/>
    </row>
    <row r="58" spans="1:14" ht="17.100000000000001" customHeight="1">
      <c r="B58" s="56"/>
      <c r="E58" s="638"/>
      <c r="F58" s="664"/>
      <c r="M58" s="1068"/>
    </row>
    <row r="59" spans="1:14" ht="17.100000000000001" customHeight="1">
      <c r="B59" s="56"/>
      <c r="E59" s="638"/>
      <c r="F59" s="664"/>
      <c r="M59" s="1068"/>
    </row>
    <row r="60" spans="1:14" ht="14.25">
      <c r="B60" s="56"/>
      <c r="E60" s="638"/>
      <c r="F60" s="664"/>
      <c r="M60" s="1068"/>
    </row>
    <row r="61" spans="1:14" ht="14.25">
      <c r="B61" s="56"/>
      <c r="E61" s="638"/>
      <c r="F61" s="664"/>
      <c r="M61" s="1068"/>
    </row>
    <row r="62" spans="1:14" ht="14.25">
      <c r="E62" s="638"/>
      <c r="F62" s="664"/>
      <c r="M62" s="1068"/>
    </row>
    <row r="63" spans="1:14" ht="14.25">
      <c r="E63" s="638"/>
      <c r="F63" s="664"/>
      <c r="M63" s="1068"/>
    </row>
    <row r="64" spans="1:14" ht="14.25">
      <c r="E64" s="638"/>
      <c r="F64" s="664"/>
      <c r="M64" s="1068"/>
    </row>
    <row r="65" spans="5:13" ht="14.25">
      <c r="E65" s="638"/>
      <c r="F65" s="664"/>
      <c r="M65" s="1068"/>
    </row>
    <row r="66" spans="5:13" ht="14.25">
      <c r="E66" s="638"/>
      <c r="F66" s="664"/>
      <c r="M66" s="1068"/>
    </row>
    <row r="67" spans="5:13" ht="14.25">
      <c r="E67" s="638"/>
      <c r="F67" s="664"/>
      <c r="M67" s="1068"/>
    </row>
    <row r="68" spans="5:13" ht="14.25">
      <c r="E68" s="638"/>
      <c r="F68" s="664"/>
      <c r="M68" s="1068"/>
    </row>
    <row r="69" spans="5:13" ht="14.25">
      <c r="E69" s="638"/>
      <c r="F69" s="664"/>
      <c r="M69" s="1068"/>
    </row>
    <row r="70" spans="5:13" ht="14.25">
      <c r="E70" s="638"/>
      <c r="F70" s="664"/>
      <c r="M70" s="1068"/>
    </row>
    <row r="71" spans="5:13" ht="14.25">
      <c r="E71" s="638"/>
      <c r="F71" s="638"/>
      <c r="M71" s="1068"/>
    </row>
    <row r="72" spans="5:13" ht="14.25">
      <c r="E72" s="638"/>
      <c r="F72" s="638"/>
      <c r="M72" s="1068"/>
    </row>
    <row r="73" spans="5:13" ht="14.25">
      <c r="E73" s="638"/>
      <c r="F73" s="638"/>
      <c r="M73" s="1068"/>
    </row>
    <row r="74" spans="5:13" ht="14.25">
      <c r="E74" s="638"/>
      <c r="F74" s="638"/>
      <c r="M74" s="1068"/>
    </row>
    <row r="75" spans="5:13" ht="14.25">
      <c r="E75" s="638"/>
      <c r="F75" s="638"/>
      <c r="M75" s="1068"/>
    </row>
    <row r="76" spans="5:13" ht="14.25">
      <c r="E76" s="638"/>
      <c r="F76" s="638"/>
      <c r="M76" s="1068"/>
    </row>
    <row r="77" spans="5:13" ht="14.25">
      <c r="E77" s="638"/>
      <c r="F77" s="638"/>
      <c r="M77" s="1068"/>
    </row>
    <row r="78" spans="5:13" ht="14.25">
      <c r="E78" s="638"/>
      <c r="F78" s="638"/>
      <c r="M78" s="1068"/>
    </row>
    <row r="79" spans="5:13" ht="14.25">
      <c r="E79" s="638"/>
      <c r="F79" s="638"/>
      <c r="M79" s="1068"/>
    </row>
    <row r="80" spans="5:13" ht="14.25">
      <c r="E80" s="638"/>
      <c r="F80" s="638"/>
      <c r="M80" s="1068"/>
    </row>
    <row r="81" spans="5:13" ht="14.25">
      <c r="E81" s="638"/>
      <c r="F81" s="638"/>
      <c r="M81" s="1068"/>
    </row>
    <row r="82" spans="5:13" ht="14.25">
      <c r="E82" s="638"/>
      <c r="F82" s="638"/>
      <c r="M82" s="1068"/>
    </row>
    <row r="83" spans="5:13" ht="14.25">
      <c r="E83" s="638"/>
      <c r="F83" s="638"/>
      <c r="M83" s="1068"/>
    </row>
    <row r="84" spans="5:13" ht="14.25">
      <c r="E84" s="638"/>
      <c r="F84" s="638"/>
      <c r="M84" s="1068"/>
    </row>
    <row r="85" spans="5:13" ht="14.25">
      <c r="E85" s="638"/>
      <c r="F85" s="638"/>
      <c r="M85" s="1068"/>
    </row>
    <row r="86" spans="5:13" ht="14.25">
      <c r="E86" s="638"/>
      <c r="F86" s="638"/>
      <c r="M86" s="1068"/>
    </row>
    <row r="87" spans="5:13" ht="14.25">
      <c r="E87" s="638"/>
      <c r="F87" s="638"/>
      <c r="M87" s="1068"/>
    </row>
    <row r="88" spans="5:13">
      <c r="F88" s="638"/>
    </row>
    <row r="89" spans="5:13">
      <c r="F89" s="638"/>
    </row>
    <row r="90" spans="5:13">
      <c r="F90" s="638"/>
    </row>
    <row r="91" spans="5:13">
      <c r="F91" s="638"/>
    </row>
    <row r="92" spans="5:13">
      <c r="F92" s="638"/>
    </row>
    <row r="93" spans="5:13">
      <c r="F93" s="638"/>
    </row>
  </sheetData>
  <mergeCells count="13">
    <mergeCell ref="N4:N5"/>
    <mergeCell ref="G4:G5"/>
    <mergeCell ref="B2:H2"/>
    <mergeCell ref="G3:H3"/>
    <mergeCell ref="K4:M4"/>
    <mergeCell ref="B4:B5"/>
    <mergeCell ref="C4:C5"/>
    <mergeCell ref="D4:D5"/>
    <mergeCell ref="F4:F5"/>
    <mergeCell ref="E4:E5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A1:Q96"/>
  <sheetViews>
    <sheetView zoomScaleNormal="100" zoomScaleSheetLayoutView="100" workbookViewId="0">
      <selection activeCell="Q14" sqref="Q14"/>
    </sheetView>
  </sheetViews>
  <sheetFormatPr defaultRowHeight="12.75"/>
  <cols>
    <col min="1" max="1" width="9.140625" style="611"/>
    <col min="2" max="2" width="4.7109375" style="9" customWidth="1"/>
    <col min="3" max="3" width="5.140625" style="9" customWidth="1"/>
    <col min="4" max="4" width="5" style="9" customWidth="1"/>
    <col min="5" max="5" width="8.7109375" style="18" customWidth="1"/>
    <col min="6" max="6" width="8.7109375" style="616" customWidth="1"/>
    <col min="7" max="7" width="50.7109375" style="9" customWidth="1"/>
    <col min="8" max="12" width="14.7109375" style="64" customWidth="1"/>
    <col min="13" max="13" width="15.7109375" style="64" customWidth="1"/>
    <col min="14" max="14" width="7.7109375" style="680" customWidth="1"/>
    <col min="15" max="15" width="9.140625" style="9"/>
    <col min="16" max="16" width="10.140625" style="9" bestFit="1" customWidth="1"/>
    <col min="17" max="16384" width="9.140625" style="9"/>
  </cols>
  <sheetData>
    <row r="1" spans="1:17" ht="13.5" thickBot="1"/>
    <row r="2" spans="1:17" s="126" customFormat="1" ht="20.100000000000001" customHeight="1" thickTop="1" thickBot="1">
      <c r="B2" s="1261" t="s">
        <v>168</v>
      </c>
      <c r="C2" s="1262"/>
      <c r="D2" s="1262"/>
      <c r="E2" s="1262"/>
      <c r="F2" s="1262"/>
      <c r="G2" s="1262"/>
      <c r="H2" s="1262"/>
      <c r="I2" s="1053"/>
      <c r="J2" s="1053"/>
      <c r="K2" s="1054"/>
      <c r="L2" s="1054"/>
      <c r="M2" s="1054"/>
      <c r="N2" s="1057"/>
    </row>
    <row r="3" spans="1:17" s="1" customFormat="1" ht="8.1" customHeight="1" thickTop="1" thickBot="1">
      <c r="A3" s="608"/>
      <c r="E3" s="2"/>
      <c r="F3" s="609"/>
      <c r="G3" s="1264"/>
      <c r="H3" s="1264"/>
      <c r="I3" s="306"/>
      <c r="J3" s="306"/>
      <c r="K3" s="119"/>
      <c r="L3" s="119"/>
      <c r="M3" s="119"/>
      <c r="N3" s="674"/>
    </row>
    <row r="4" spans="1:17" s="1" customFormat="1" ht="39" customHeight="1">
      <c r="A4" s="608"/>
      <c r="B4" s="1268" t="s">
        <v>78</v>
      </c>
      <c r="C4" s="1280" t="s">
        <v>79</v>
      </c>
      <c r="D4" s="1281" t="s">
        <v>110</v>
      </c>
      <c r="E4" s="1282" t="s">
        <v>615</v>
      </c>
      <c r="F4" s="1273" t="s">
        <v>695</v>
      </c>
      <c r="G4" s="1274" t="s">
        <v>80</v>
      </c>
      <c r="H4" s="1283" t="s">
        <v>614</v>
      </c>
      <c r="I4" s="1284" t="s">
        <v>747</v>
      </c>
      <c r="J4" s="1283" t="s">
        <v>667</v>
      </c>
      <c r="K4" s="1265" t="s">
        <v>682</v>
      </c>
      <c r="L4" s="1266"/>
      <c r="M4" s="1267"/>
      <c r="N4" s="1278" t="s">
        <v>756</v>
      </c>
    </row>
    <row r="5" spans="1:17" s="608" customFormat="1" ht="27" customHeight="1">
      <c r="B5" s="1269"/>
      <c r="C5" s="1271"/>
      <c r="D5" s="1271"/>
      <c r="E5" s="1275"/>
      <c r="F5" s="1271"/>
      <c r="G5" s="1275"/>
      <c r="H5" s="1275"/>
      <c r="I5" s="1275"/>
      <c r="J5" s="1275"/>
      <c r="K5" s="1048" t="s">
        <v>753</v>
      </c>
      <c r="L5" s="1048" t="s">
        <v>754</v>
      </c>
      <c r="M5" s="1059" t="s">
        <v>426</v>
      </c>
      <c r="N5" s="1279"/>
    </row>
    <row r="6" spans="1:17" s="2" customFormat="1" ht="12.95" customHeight="1">
      <c r="A6" s="609"/>
      <c r="B6" s="1181">
        <v>1</v>
      </c>
      <c r="C6" s="661">
        <v>2</v>
      </c>
      <c r="D6" s="661">
        <v>3</v>
      </c>
      <c r="E6" s="661">
        <v>4</v>
      </c>
      <c r="F6" s="661">
        <v>5</v>
      </c>
      <c r="G6" s="661">
        <v>6</v>
      </c>
      <c r="H6" s="661">
        <v>7</v>
      </c>
      <c r="I6" s="661">
        <v>8</v>
      </c>
      <c r="J6" s="661">
        <v>9</v>
      </c>
      <c r="K6" s="661">
        <v>10</v>
      </c>
      <c r="L6" s="661">
        <v>11</v>
      </c>
      <c r="M6" s="1201" t="s">
        <v>755</v>
      </c>
      <c r="N6" s="1183">
        <v>13</v>
      </c>
    </row>
    <row r="7" spans="1:17" s="2" customFormat="1" ht="12.95" customHeight="1">
      <c r="A7" s="609"/>
      <c r="B7" s="6" t="s">
        <v>143</v>
      </c>
      <c r="C7" s="7" t="s">
        <v>132</v>
      </c>
      <c r="D7" s="7" t="s">
        <v>117</v>
      </c>
      <c r="E7" s="5"/>
      <c r="F7" s="610"/>
      <c r="G7" s="5"/>
      <c r="H7" s="110"/>
      <c r="I7" s="110"/>
      <c r="J7" s="110"/>
      <c r="K7" s="110"/>
      <c r="L7" s="110"/>
      <c r="M7" s="1069"/>
      <c r="N7" s="675"/>
    </row>
    <row r="8" spans="1:17" s="1" customFormat="1" ht="12.95" customHeight="1">
      <c r="A8" s="608"/>
      <c r="B8" s="12"/>
      <c r="C8" s="8"/>
      <c r="D8" s="8"/>
      <c r="E8" s="635">
        <v>611000</v>
      </c>
      <c r="F8" s="661"/>
      <c r="G8" s="8" t="s">
        <v>163</v>
      </c>
      <c r="H8" s="256">
        <f>SUM(H9:H12)</f>
        <v>1104340</v>
      </c>
      <c r="I8" s="850">
        <v>1095580</v>
      </c>
      <c r="J8" s="481">
        <v>793500</v>
      </c>
      <c r="K8" s="256">
        <f>SUM(K9:K12)</f>
        <v>1130030</v>
      </c>
      <c r="L8" s="256">
        <f>SUM(L9:L12)</f>
        <v>0</v>
      </c>
      <c r="M8" s="1061">
        <f>SUM(M9:M12)</f>
        <v>1130030</v>
      </c>
      <c r="N8" s="676">
        <f>IF(I8=0,"",M8/I8*100)</f>
        <v>103.14445316635937</v>
      </c>
      <c r="P8" s="65"/>
      <c r="Q8" s="65"/>
    </row>
    <row r="9" spans="1:17" ht="12.95" customHeight="1">
      <c r="B9" s="10"/>
      <c r="C9" s="11"/>
      <c r="D9" s="11"/>
      <c r="E9" s="636">
        <v>611100</v>
      </c>
      <c r="F9" s="662"/>
      <c r="G9" s="20" t="s">
        <v>204</v>
      </c>
      <c r="H9" s="258">
        <f>856320+2000+8230+25690</f>
        <v>892240</v>
      </c>
      <c r="I9" s="851">
        <v>885300</v>
      </c>
      <c r="J9" s="482">
        <v>649480</v>
      </c>
      <c r="K9" s="258">
        <f>899200+0+11310+4*500</f>
        <v>912510</v>
      </c>
      <c r="L9" s="258">
        <v>0</v>
      </c>
      <c r="M9" s="1062">
        <f>SUM(K9:L9)</f>
        <v>912510</v>
      </c>
      <c r="N9" s="677">
        <f>IF(I9=0,"",M9/I9*100)</f>
        <v>103.0735343951203</v>
      </c>
    </row>
    <row r="10" spans="1:17" ht="12.95" customHeight="1">
      <c r="B10" s="10"/>
      <c r="C10" s="11"/>
      <c r="D10" s="11"/>
      <c r="E10" s="636">
        <v>611200</v>
      </c>
      <c r="F10" s="662"/>
      <c r="G10" s="11" t="s">
        <v>205</v>
      </c>
      <c r="H10" s="258">
        <f>194450+1500+4*1470+3*840+7750</f>
        <v>212100</v>
      </c>
      <c r="I10" s="851">
        <v>210280</v>
      </c>
      <c r="J10" s="482">
        <v>144020</v>
      </c>
      <c r="K10" s="258">
        <f>199200+3000+11720+4*900</f>
        <v>217520</v>
      </c>
      <c r="L10" s="258">
        <v>0</v>
      </c>
      <c r="M10" s="1062">
        <f t="shared" ref="M10:M11" si="0">SUM(K10:L10)</f>
        <v>217520</v>
      </c>
      <c r="N10" s="677">
        <f t="shared" ref="N10:N35" si="1">IF(I10=0,"",M10/I10*100)</f>
        <v>103.4430283431615</v>
      </c>
      <c r="P10" s="64"/>
    </row>
    <row r="11" spans="1:17" ht="12.95" customHeight="1">
      <c r="B11" s="10"/>
      <c r="C11" s="11"/>
      <c r="D11" s="11"/>
      <c r="E11" s="636">
        <v>611200</v>
      </c>
      <c r="F11" s="662"/>
      <c r="G11" s="229" t="s">
        <v>547</v>
      </c>
      <c r="H11" s="255">
        <v>0</v>
      </c>
      <c r="I11" s="849">
        <v>0</v>
      </c>
      <c r="J11" s="480">
        <v>0</v>
      </c>
      <c r="K11" s="255">
        <v>0</v>
      </c>
      <c r="L11" s="255">
        <v>0</v>
      </c>
      <c r="M11" s="1062">
        <f t="shared" si="0"/>
        <v>0</v>
      </c>
      <c r="N11" s="677" t="str">
        <f t="shared" si="1"/>
        <v/>
      </c>
      <c r="P11" s="63"/>
    </row>
    <row r="12" spans="1:17" ht="12.95" customHeight="1">
      <c r="B12" s="10"/>
      <c r="C12" s="11"/>
      <c r="D12" s="11"/>
      <c r="E12" s="636"/>
      <c r="F12" s="662"/>
      <c r="G12" s="20"/>
      <c r="H12" s="258"/>
      <c r="I12" s="851"/>
      <c r="J12" s="482"/>
      <c r="K12" s="258"/>
      <c r="L12" s="258"/>
      <c r="M12" s="1062"/>
      <c r="N12" s="677" t="str">
        <f t="shared" si="1"/>
        <v/>
      </c>
    </row>
    <row r="13" spans="1:17" s="1" customFormat="1" ht="12.95" customHeight="1">
      <c r="A13" s="608"/>
      <c r="B13" s="12"/>
      <c r="C13" s="8"/>
      <c r="D13" s="8"/>
      <c r="E13" s="635">
        <v>612000</v>
      </c>
      <c r="F13" s="661"/>
      <c r="G13" s="8" t="s">
        <v>162</v>
      </c>
      <c r="H13" s="256">
        <f>H14</f>
        <v>98200</v>
      </c>
      <c r="I13" s="850">
        <v>96900</v>
      </c>
      <c r="J13" s="481">
        <v>71482</v>
      </c>
      <c r="K13" s="256">
        <f>K14</f>
        <v>95990</v>
      </c>
      <c r="L13" s="256">
        <f>L14</f>
        <v>0</v>
      </c>
      <c r="M13" s="1061">
        <f>M14</f>
        <v>95990</v>
      </c>
      <c r="N13" s="676">
        <f t="shared" si="1"/>
        <v>99.060887512899896</v>
      </c>
    </row>
    <row r="14" spans="1:17" ht="12.95" customHeight="1">
      <c r="B14" s="10"/>
      <c r="C14" s="11"/>
      <c r="D14" s="11"/>
      <c r="E14" s="636">
        <v>612100</v>
      </c>
      <c r="F14" s="662"/>
      <c r="G14" s="13" t="s">
        <v>83</v>
      </c>
      <c r="H14" s="258">
        <f>94850+500+2850</f>
        <v>98200</v>
      </c>
      <c r="I14" s="851">
        <v>96900</v>
      </c>
      <c r="J14" s="482">
        <v>71482</v>
      </c>
      <c r="K14" s="258">
        <f>95200+510+4*70</f>
        <v>95990</v>
      </c>
      <c r="L14" s="258">
        <v>0</v>
      </c>
      <c r="M14" s="1062">
        <f>SUM(K14:L14)</f>
        <v>95990</v>
      </c>
      <c r="N14" s="677">
        <f t="shared" si="1"/>
        <v>99.060887512899896</v>
      </c>
    </row>
    <row r="15" spans="1:17" ht="12.95" customHeight="1">
      <c r="B15" s="10"/>
      <c r="C15" s="11"/>
      <c r="D15" s="11"/>
      <c r="E15" s="636"/>
      <c r="F15" s="662"/>
      <c r="G15" s="11"/>
      <c r="H15" s="31"/>
      <c r="I15" s="845"/>
      <c r="J15" s="476"/>
      <c r="K15" s="618"/>
      <c r="L15" s="618"/>
      <c r="M15" s="1063"/>
      <c r="N15" s="677" t="str">
        <f t="shared" si="1"/>
        <v/>
      </c>
    </row>
    <row r="16" spans="1:17" s="1" customFormat="1" ht="12.95" customHeight="1">
      <c r="A16" s="608"/>
      <c r="B16" s="12"/>
      <c r="C16" s="8"/>
      <c r="D16" s="8"/>
      <c r="E16" s="635">
        <v>613000</v>
      </c>
      <c r="F16" s="661"/>
      <c r="G16" s="8" t="s">
        <v>164</v>
      </c>
      <c r="H16" s="35">
        <f>SUM(H17:H26)</f>
        <v>155500</v>
      </c>
      <c r="I16" s="846">
        <v>151500</v>
      </c>
      <c r="J16" s="477">
        <v>83150</v>
      </c>
      <c r="K16" s="620">
        <f>SUM(K17:K26)</f>
        <v>153500</v>
      </c>
      <c r="L16" s="620">
        <f>SUM(L17:L26)</f>
        <v>0</v>
      </c>
      <c r="M16" s="1064">
        <f>SUM(M17:M26)</f>
        <v>153500</v>
      </c>
      <c r="N16" s="676">
        <f t="shared" si="1"/>
        <v>101.32013201320132</v>
      </c>
    </row>
    <row r="17" spans="1:15" ht="12.95" customHeight="1">
      <c r="B17" s="10"/>
      <c r="C17" s="11"/>
      <c r="D17" s="11"/>
      <c r="E17" s="636">
        <v>613100</v>
      </c>
      <c r="F17" s="662"/>
      <c r="G17" s="11" t="s">
        <v>84</v>
      </c>
      <c r="H17" s="31">
        <v>6000</v>
      </c>
      <c r="I17" s="845">
        <v>5000</v>
      </c>
      <c r="J17" s="476">
        <v>1732</v>
      </c>
      <c r="K17" s="978">
        <v>5000</v>
      </c>
      <c r="L17" s="978">
        <v>0</v>
      </c>
      <c r="M17" s="1062">
        <f t="shared" ref="M17:M26" si="2">SUM(K17:L17)</f>
        <v>5000</v>
      </c>
      <c r="N17" s="677">
        <f t="shared" si="1"/>
        <v>100</v>
      </c>
    </row>
    <row r="18" spans="1:15" ht="12.95" customHeight="1">
      <c r="B18" s="10"/>
      <c r="C18" s="11"/>
      <c r="D18" s="11"/>
      <c r="E18" s="636">
        <v>613200</v>
      </c>
      <c r="F18" s="662"/>
      <c r="G18" s="11" t="s">
        <v>85</v>
      </c>
      <c r="H18" s="31">
        <v>60000</v>
      </c>
      <c r="I18" s="845">
        <v>60000</v>
      </c>
      <c r="J18" s="476">
        <v>22686</v>
      </c>
      <c r="K18" s="978">
        <v>60000</v>
      </c>
      <c r="L18" s="978">
        <v>0</v>
      </c>
      <c r="M18" s="1062">
        <f t="shared" si="2"/>
        <v>60000</v>
      </c>
      <c r="N18" s="677">
        <f t="shared" si="1"/>
        <v>100</v>
      </c>
    </row>
    <row r="19" spans="1:15" ht="12.95" customHeight="1">
      <c r="B19" s="10"/>
      <c r="C19" s="11"/>
      <c r="D19" s="11"/>
      <c r="E19" s="636">
        <v>613300</v>
      </c>
      <c r="F19" s="662"/>
      <c r="G19" s="20" t="s">
        <v>206</v>
      </c>
      <c r="H19" s="31">
        <v>8000</v>
      </c>
      <c r="I19" s="845">
        <v>10500</v>
      </c>
      <c r="J19" s="476">
        <v>6525</v>
      </c>
      <c r="K19" s="978">
        <v>10500</v>
      </c>
      <c r="L19" s="978">
        <v>0</v>
      </c>
      <c r="M19" s="1062">
        <f t="shared" si="2"/>
        <v>10500</v>
      </c>
      <c r="N19" s="677">
        <f t="shared" si="1"/>
        <v>100</v>
      </c>
    </row>
    <row r="20" spans="1:15" ht="12.95" customHeight="1">
      <c r="B20" s="10"/>
      <c r="C20" s="11"/>
      <c r="D20" s="11"/>
      <c r="E20" s="636">
        <v>613400</v>
      </c>
      <c r="F20" s="662"/>
      <c r="G20" s="11" t="s">
        <v>165</v>
      </c>
      <c r="H20" s="31">
        <v>22000</v>
      </c>
      <c r="I20" s="845">
        <v>22000</v>
      </c>
      <c r="J20" s="476">
        <v>15280</v>
      </c>
      <c r="K20" s="978">
        <v>22000</v>
      </c>
      <c r="L20" s="978">
        <v>0</v>
      </c>
      <c r="M20" s="1062">
        <f t="shared" si="2"/>
        <v>22000</v>
      </c>
      <c r="N20" s="677">
        <f t="shared" si="1"/>
        <v>100</v>
      </c>
    </row>
    <row r="21" spans="1:15" ht="12.95" customHeight="1">
      <c r="B21" s="10"/>
      <c r="C21" s="11"/>
      <c r="D21" s="11"/>
      <c r="E21" s="636">
        <v>613500</v>
      </c>
      <c r="F21" s="662"/>
      <c r="G21" s="11" t="s">
        <v>86</v>
      </c>
      <c r="H21" s="88">
        <v>2500</v>
      </c>
      <c r="I21" s="848">
        <v>2000</v>
      </c>
      <c r="J21" s="479">
        <v>1108</v>
      </c>
      <c r="K21" s="984">
        <v>2000</v>
      </c>
      <c r="L21" s="984">
        <v>0</v>
      </c>
      <c r="M21" s="1062">
        <f t="shared" si="2"/>
        <v>2000</v>
      </c>
      <c r="N21" s="677">
        <f t="shared" si="1"/>
        <v>100</v>
      </c>
    </row>
    <row r="22" spans="1:15" ht="12.95" customHeight="1">
      <c r="B22" s="10"/>
      <c r="C22" s="11"/>
      <c r="D22" s="11"/>
      <c r="E22" s="636">
        <v>613600</v>
      </c>
      <c r="F22" s="662"/>
      <c r="G22" s="20" t="s">
        <v>207</v>
      </c>
      <c r="H22" s="31">
        <v>0</v>
      </c>
      <c r="I22" s="845">
        <v>0</v>
      </c>
      <c r="J22" s="476">
        <v>0</v>
      </c>
      <c r="K22" s="978">
        <v>0</v>
      </c>
      <c r="L22" s="978">
        <v>0</v>
      </c>
      <c r="M22" s="1062">
        <f t="shared" si="2"/>
        <v>0</v>
      </c>
      <c r="N22" s="677" t="str">
        <f t="shared" si="1"/>
        <v/>
      </c>
    </row>
    <row r="23" spans="1:15" ht="12.95" customHeight="1">
      <c r="B23" s="10"/>
      <c r="C23" s="11"/>
      <c r="D23" s="11"/>
      <c r="E23" s="636">
        <v>613700</v>
      </c>
      <c r="F23" s="662"/>
      <c r="G23" s="11" t="s">
        <v>87</v>
      </c>
      <c r="H23" s="31">
        <v>17000</v>
      </c>
      <c r="I23" s="845">
        <v>13000</v>
      </c>
      <c r="J23" s="476">
        <v>6360</v>
      </c>
      <c r="K23" s="978">
        <v>15000</v>
      </c>
      <c r="L23" s="978">
        <v>0</v>
      </c>
      <c r="M23" s="1062">
        <f t="shared" si="2"/>
        <v>15000</v>
      </c>
      <c r="N23" s="677">
        <f t="shared" si="1"/>
        <v>115.38461538461537</v>
      </c>
    </row>
    <row r="24" spans="1:15" ht="12.95" customHeight="1">
      <c r="B24" s="10"/>
      <c r="C24" s="11"/>
      <c r="D24" s="11"/>
      <c r="E24" s="636">
        <v>613800</v>
      </c>
      <c r="F24" s="662"/>
      <c r="G24" s="11" t="s">
        <v>166</v>
      </c>
      <c r="H24" s="31">
        <v>0</v>
      </c>
      <c r="I24" s="845">
        <v>0</v>
      </c>
      <c r="J24" s="476">
        <v>0</v>
      </c>
      <c r="K24" s="978">
        <v>0</v>
      </c>
      <c r="L24" s="978">
        <v>0</v>
      </c>
      <c r="M24" s="1062">
        <f t="shared" si="2"/>
        <v>0</v>
      </c>
      <c r="N24" s="677" t="str">
        <f t="shared" si="1"/>
        <v/>
      </c>
    </row>
    <row r="25" spans="1:15" ht="12.95" customHeight="1">
      <c r="B25" s="10"/>
      <c r="C25" s="11"/>
      <c r="D25" s="11"/>
      <c r="E25" s="636">
        <v>613900</v>
      </c>
      <c r="F25" s="662"/>
      <c r="G25" s="11" t="s">
        <v>167</v>
      </c>
      <c r="H25" s="88">
        <v>40000</v>
      </c>
      <c r="I25" s="848">
        <v>39000</v>
      </c>
      <c r="J25" s="479">
        <v>29459</v>
      </c>
      <c r="K25" s="984">
        <v>39000</v>
      </c>
      <c r="L25" s="984">
        <v>0</v>
      </c>
      <c r="M25" s="1062">
        <f t="shared" si="2"/>
        <v>39000</v>
      </c>
      <c r="N25" s="677">
        <f t="shared" si="1"/>
        <v>100</v>
      </c>
    </row>
    <row r="26" spans="1:15" ht="12.95" customHeight="1">
      <c r="B26" s="10"/>
      <c r="C26" s="11"/>
      <c r="D26" s="11"/>
      <c r="E26" s="636">
        <v>613900</v>
      </c>
      <c r="F26" s="662"/>
      <c r="G26" s="229" t="s">
        <v>548</v>
      </c>
      <c r="H26" s="80">
        <v>0</v>
      </c>
      <c r="I26" s="847">
        <v>0</v>
      </c>
      <c r="J26" s="478">
        <v>0</v>
      </c>
      <c r="K26" s="847">
        <v>0</v>
      </c>
      <c r="L26" s="847">
        <v>0</v>
      </c>
      <c r="M26" s="1062">
        <f t="shared" si="2"/>
        <v>0</v>
      </c>
      <c r="N26" s="677" t="str">
        <f t="shared" si="1"/>
        <v/>
      </c>
    </row>
    <row r="27" spans="1:15" s="1" customFormat="1" ht="12.95" customHeight="1">
      <c r="A27" s="608"/>
      <c r="B27" s="12"/>
      <c r="C27" s="8"/>
      <c r="D27" s="8"/>
      <c r="E27" s="635"/>
      <c r="F27" s="661"/>
      <c r="G27" s="8"/>
      <c r="H27" s="31"/>
      <c r="I27" s="845"/>
      <c r="J27" s="476"/>
      <c r="K27" s="618"/>
      <c r="L27" s="618"/>
      <c r="M27" s="1063"/>
      <c r="N27" s="677" t="str">
        <f t="shared" si="1"/>
        <v/>
      </c>
    </row>
    <row r="28" spans="1:15" s="1" customFormat="1" ht="12.95" customHeight="1">
      <c r="A28" s="608"/>
      <c r="B28" s="12"/>
      <c r="C28" s="8"/>
      <c r="D28" s="8"/>
      <c r="E28" s="635">
        <v>821000</v>
      </c>
      <c r="F28" s="661"/>
      <c r="G28" s="8" t="s">
        <v>90</v>
      </c>
      <c r="H28" s="15">
        <f>SUM(H29:H31)</f>
        <v>30000</v>
      </c>
      <c r="I28" s="843">
        <v>50250</v>
      </c>
      <c r="J28" s="474">
        <v>24840</v>
      </c>
      <c r="K28" s="615">
        <f>SUM(K29:K31)</f>
        <v>10000</v>
      </c>
      <c r="L28" s="615">
        <f>SUM(L29:L31)</f>
        <v>0</v>
      </c>
      <c r="M28" s="1064">
        <f>SUM(M29:M31)</f>
        <v>10000</v>
      </c>
      <c r="N28" s="676">
        <f t="shared" si="1"/>
        <v>19.900497512437813</v>
      </c>
    </row>
    <row r="29" spans="1:15" ht="12.95" customHeight="1">
      <c r="B29" s="10"/>
      <c r="C29" s="11"/>
      <c r="D29" s="11"/>
      <c r="E29" s="636">
        <v>821200</v>
      </c>
      <c r="F29" s="662"/>
      <c r="G29" s="11" t="s">
        <v>91</v>
      </c>
      <c r="H29" s="88">
        <v>25000</v>
      </c>
      <c r="I29" s="848">
        <v>29000</v>
      </c>
      <c r="J29" s="479">
        <v>17419</v>
      </c>
      <c r="K29" s="623">
        <v>5000</v>
      </c>
      <c r="L29" s="623">
        <v>0</v>
      </c>
      <c r="M29" s="1062">
        <f t="shared" ref="M29:M30" si="3">SUM(K29:L29)</f>
        <v>5000</v>
      </c>
      <c r="N29" s="677">
        <f t="shared" si="1"/>
        <v>17.241379310344829</v>
      </c>
      <c r="O29" s="56"/>
    </row>
    <row r="30" spans="1:15" ht="12.95" customHeight="1">
      <c r="B30" s="10"/>
      <c r="C30" s="11"/>
      <c r="D30" s="11"/>
      <c r="E30" s="636">
        <v>821300</v>
      </c>
      <c r="F30" s="662"/>
      <c r="G30" s="11" t="s">
        <v>92</v>
      </c>
      <c r="H30" s="88">
        <v>5000</v>
      </c>
      <c r="I30" s="848">
        <v>21250</v>
      </c>
      <c r="J30" s="479">
        <v>7421</v>
      </c>
      <c r="K30" s="623">
        <v>5000</v>
      </c>
      <c r="L30" s="623">
        <v>0</v>
      </c>
      <c r="M30" s="1062">
        <f t="shared" si="3"/>
        <v>5000</v>
      </c>
      <c r="N30" s="677">
        <f t="shared" si="1"/>
        <v>23.52941176470588</v>
      </c>
    </row>
    <row r="31" spans="1:15" ht="12.95" customHeight="1">
      <c r="B31" s="10"/>
      <c r="C31" s="11"/>
      <c r="D31" s="11"/>
      <c r="E31" s="636"/>
      <c r="F31" s="662"/>
      <c r="G31" s="20"/>
      <c r="H31" s="31"/>
      <c r="I31" s="845"/>
      <c r="J31" s="476"/>
      <c r="K31" s="618"/>
      <c r="L31" s="618"/>
      <c r="M31" s="1063"/>
      <c r="N31" s="677" t="str">
        <f t="shared" si="1"/>
        <v/>
      </c>
    </row>
    <row r="32" spans="1:15" s="1" customFormat="1" ht="12.95" customHeight="1">
      <c r="A32" s="608"/>
      <c r="B32" s="12"/>
      <c r="C32" s="8"/>
      <c r="D32" s="8"/>
      <c r="E32" s="635"/>
      <c r="F32" s="661"/>
      <c r="G32" s="8" t="s">
        <v>93</v>
      </c>
      <c r="H32" s="19" t="s">
        <v>617</v>
      </c>
      <c r="I32" s="844" t="s">
        <v>633</v>
      </c>
      <c r="J32" s="475" t="s">
        <v>633</v>
      </c>
      <c r="K32" s="556" t="s">
        <v>633</v>
      </c>
      <c r="L32" s="556"/>
      <c r="M32" s="1066" t="s">
        <v>633</v>
      </c>
      <c r="N32" s="677"/>
    </row>
    <row r="33" spans="1:17" s="1" customFormat="1" ht="12.95" customHeight="1">
      <c r="A33" s="608"/>
      <c r="B33" s="12"/>
      <c r="C33" s="8"/>
      <c r="D33" s="8"/>
      <c r="E33" s="635"/>
      <c r="F33" s="661"/>
      <c r="G33" s="8" t="s">
        <v>113</v>
      </c>
      <c r="H33" s="15">
        <f>H8+H13+H16+H28</f>
        <v>1388040</v>
      </c>
      <c r="I33" s="15">
        <f>I8+I13+I16+I28</f>
        <v>1394230</v>
      </c>
      <c r="J33" s="15">
        <f t="shared" ref="J33" si="4">J8+J13+J16+J28</f>
        <v>972972</v>
      </c>
      <c r="K33" s="615">
        <f>K8+K13+K16+K28</f>
        <v>1389520</v>
      </c>
      <c r="L33" s="615">
        <f>L8+L13+L16+L28</f>
        <v>0</v>
      </c>
      <c r="M33" s="1064">
        <f>M8+M13+M16+M28</f>
        <v>1389520</v>
      </c>
      <c r="N33" s="676">
        <f t="shared" si="1"/>
        <v>99.662179123960897</v>
      </c>
    </row>
    <row r="34" spans="1:17" s="1" customFormat="1" ht="12.95" customHeight="1">
      <c r="A34" s="608"/>
      <c r="B34" s="12"/>
      <c r="C34" s="8"/>
      <c r="D34" s="8"/>
      <c r="E34" s="635"/>
      <c r="F34" s="661"/>
      <c r="G34" s="8" t="s">
        <v>94</v>
      </c>
      <c r="H34" s="15"/>
      <c r="I34" s="15"/>
      <c r="J34" s="15"/>
      <c r="K34" s="615"/>
      <c r="L34" s="615"/>
      <c r="M34" s="1064"/>
      <c r="N34" s="677" t="str">
        <f>IF(I34=0,"",M34/I34*100)</f>
        <v/>
      </c>
      <c r="Q34" s="1" t="s">
        <v>175</v>
      </c>
    </row>
    <row r="35" spans="1:17" s="1" customFormat="1" ht="12.95" customHeight="1">
      <c r="A35" s="608"/>
      <c r="B35" s="12"/>
      <c r="C35" s="8"/>
      <c r="D35" s="8"/>
      <c r="E35" s="635"/>
      <c r="F35" s="661"/>
      <c r="G35" s="8" t="s">
        <v>95</v>
      </c>
      <c r="H35" s="30"/>
      <c r="I35" s="30"/>
      <c r="J35" s="30"/>
      <c r="K35" s="593"/>
      <c r="L35" s="593"/>
      <c r="M35" s="1063"/>
      <c r="N35" s="677" t="str">
        <f t="shared" si="1"/>
        <v/>
      </c>
    </row>
    <row r="36" spans="1:17" ht="12.95" customHeight="1" thickBot="1">
      <c r="B36" s="16"/>
      <c r="C36" s="17"/>
      <c r="D36" s="17"/>
      <c r="E36" s="637"/>
      <c r="F36" s="663"/>
      <c r="G36" s="17"/>
      <c r="H36" s="32"/>
      <c r="I36" s="32"/>
      <c r="J36" s="32"/>
      <c r="K36" s="32"/>
      <c r="L36" s="32"/>
      <c r="M36" s="1067"/>
      <c r="N36" s="679"/>
    </row>
    <row r="37" spans="1:17" ht="12.95" customHeight="1">
      <c r="E37" s="638"/>
      <c r="F37" s="664"/>
      <c r="M37" s="1070"/>
    </row>
    <row r="38" spans="1:17" ht="12.95" customHeight="1">
      <c r="B38" s="56"/>
      <c r="E38" s="638"/>
      <c r="F38" s="664"/>
      <c r="M38" s="1070"/>
    </row>
    <row r="39" spans="1:17" ht="12.95" customHeight="1">
      <c r="B39" s="56"/>
      <c r="E39" s="638"/>
      <c r="F39" s="664"/>
      <c r="M39" s="1070"/>
    </row>
    <row r="40" spans="1:17" ht="12.95" customHeight="1">
      <c r="B40" s="56"/>
      <c r="E40" s="638"/>
      <c r="F40" s="664"/>
      <c r="M40" s="1070"/>
    </row>
    <row r="41" spans="1:17" ht="12.95" customHeight="1">
      <c r="B41" s="56"/>
      <c r="E41" s="638"/>
      <c r="F41" s="664"/>
      <c r="M41" s="1070"/>
    </row>
    <row r="42" spans="1:17" ht="12.95" customHeight="1">
      <c r="B42" s="56"/>
      <c r="E42" s="638"/>
      <c r="F42" s="664"/>
      <c r="M42" s="1070"/>
    </row>
    <row r="43" spans="1:17" ht="12.95" customHeight="1">
      <c r="B43" s="56"/>
      <c r="E43" s="638"/>
      <c r="F43" s="664"/>
      <c r="M43" s="1070"/>
    </row>
    <row r="44" spans="1:17" ht="12.95" customHeight="1">
      <c r="B44" s="56"/>
      <c r="E44" s="638"/>
      <c r="F44" s="664"/>
      <c r="M44" s="1070"/>
    </row>
    <row r="45" spans="1:17" ht="12.95" customHeight="1">
      <c r="B45" s="56"/>
      <c r="E45" s="638"/>
      <c r="F45" s="664"/>
      <c r="M45" s="1070"/>
    </row>
    <row r="46" spans="1:17" ht="12.95" customHeight="1">
      <c r="B46" s="56"/>
      <c r="E46" s="638"/>
      <c r="F46" s="664"/>
      <c r="M46" s="1070"/>
    </row>
    <row r="47" spans="1:17" ht="12.95" customHeight="1">
      <c r="B47" s="56"/>
      <c r="E47" s="638"/>
      <c r="F47" s="664"/>
      <c r="M47" s="1070"/>
    </row>
    <row r="48" spans="1:17" ht="12.95" customHeight="1">
      <c r="B48" s="56"/>
      <c r="E48" s="638"/>
      <c r="F48" s="664"/>
      <c r="M48" s="1070"/>
    </row>
    <row r="49" spans="2:13" ht="12.95" customHeight="1">
      <c r="B49" s="56"/>
      <c r="E49" s="638"/>
      <c r="F49" s="664"/>
      <c r="M49" s="1070"/>
    </row>
    <row r="50" spans="2:13" ht="12.95" customHeight="1">
      <c r="B50" s="56"/>
      <c r="E50" s="638"/>
      <c r="F50" s="664"/>
      <c r="M50" s="1070"/>
    </row>
    <row r="51" spans="2:13" ht="12.95" customHeight="1">
      <c r="B51" s="56"/>
      <c r="E51" s="638"/>
      <c r="F51" s="664"/>
      <c r="M51" s="1070"/>
    </row>
    <row r="52" spans="2:13" ht="12.95" customHeight="1">
      <c r="E52" s="638"/>
      <c r="F52" s="664"/>
      <c r="M52" s="1070"/>
    </row>
    <row r="53" spans="2:13" ht="12.95" customHeight="1">
      <c r="E53" s="638"/>
      <c r="F53" s="664"/>
      <c r="M53" s="1070"/>
    </row>
    <row r="54" spans="2:13" ht="12.95" customHeight="1">
      <c r="E54" s="638"/>
      <c r="F54" s="664"/>
      <c r="M54" s="1070"/>
    </row>
    <row r="55" spans="2:13" ht="12.95" customHeight="1">
      <c r="E55" s="638"/>
      <c r="F55" s="664"/>
      <c r="M55" s="1070"/>
    </row>
    <row r="56" spans="2:13" ht="12.95" customHeight="1">
      <c r="E56" s="638"/>
      <c r="F56" s="664"/>
      <c r="M56" s="1070"/>
    </row>
    <row r="57" spans="2:13" ht="12.95" customHeight="1">
      <c r="E57" s="638"/>
      <c r="F57" s="664"/>
      <c r="M57" s="1070"/>
    </row>
    <row r="58" spans="2:13" ht="12.95" customHeight="1">
      <c r="E58" s="638"/>
      <c r="F58" s="664"/>
      <c r="M58" s="1070"/>
    </row>
    <row r="59" spans="2:13" ht="12.95" customHeight="1">
      <c r="E59" s="638"/>
      <c r="F59" s="664"/>
      <c r="M59" s="1070"/>
    </row>
    <row r="60" spans="2:13" ht="17.100000000000001" customHeight="1">
      <c r="E60" s="638"/>
      <c r="F60" s="664"/>
      <c r="M60" s="1070"/>
    </row>
    <row r="61" spans="2:13" ht="14.25">
      <c r="E61" s="638"/>
      <c r="F61" s="664"/>
      <c r="M61" s="1070"/>
    </row>
    <row r="62" spans="2:13" ht="14.25">
      <c r="E62" s="638"/>
      <c r="F62" s="664"/>
      <c r="M62" s="1070"/>
    </row>
    <row r="63" spans="2:13" ht="14.25">
      <c r="E63" s="638"/>
      <c r="F63" s="664"/>
      <c r="M63" s="1070"/>
    </row>
    <row r="64" spans="2:13" ht="14.25">
      <c r="E64" s="638"/>
      <c r="F64" s="664"/>
      <c r="M64" s="1070"/>
    </row>
    <row r="65" spans="5:13" ht="14.25">
      <c r="E65" s="638"/>
      <c r="F65" s="664"/>
      <c r="M65" s="1070"/>
    </row>
    <row r="66" spans="5:13" ht="14.25">
      <c r="E66" s="638"/>
      <c r="F66" s="664"/>
      <c r="M66" s="1070"/>
    </row>
    <row r="67" spans="5:13" ht="14.25">
      <c r="E67" s="638"/>
      <c r="F67" s="664"/>
      <c r="M67" s="1070"/>
    </row>
    <row r="68" spans="5:13" ht="14.25">
      <c r="E68" s="638"/>
      <c r="F68" s="664"/>
      <c r="M68" s="1070"/>
    </row>
    <row r="69" spans="5:13" ht="14.25">
      <c r="E69" s="638"/>
      <c r="F69" s="664"/>
      <c r="M69" s="1070"/>
    </row>
    <row r="70" spans="5:13" ht="14.25">
      <c r="E70" s="638"/>
      <c r="F70" s="664"/>
      <c r="M70" s="1070"/>
    </row>
    <row r="71" spans="5:13" ht="14.25">
      <c r="E71" s="638"/>
      <c r="F71" s="664"/>
      <c r="M71" s="1070"/>
    </row>
    <row r="72" spans="5:13" ht="14.25">
      <c r="E72" s="638"/>
      <c r="F72" s="664"/>
      <c r="M72" s="1070"/>
    </row>
    <row r="73" spans="5:13" ht="14.25">
      <c r="E73" s="638"/>
      <c r="F73" s="664"/>
      <c r="M73" s="1070"/>
    </row>
    <row r="74" spans="5:13" ht="14.25">
      <c r="E74" s="638"/>
      <c r="F74" s="638"/>
      <c r="M74" s="1070"/>
    </row>
    <row r="75" spans="5:13" ht="14.25">
      <c r="E75" s="638"/>
      <c r="F75" s="638"/>
      <c r="M75" s="1070"/>
    </row>
    <row r="76" spans="5:13" ht="14.25">
      <c r="E76" s="638"/>
      <c r="F76" s="638"/>
      <c r="M76" s="1070"/>
    </row>
    <row r="77" spans="5:13" ht="14.25">
      <c r="E77" s="638"/>
      <c r="F77" s="638"/>
      <c r="M77" s="1070"/>
    </row>
    <row r="78" spans="5:13" ht="14.25">
      <c r="E78" s="638"/>
      <c r="F78" s="638"/>
      <c r="M78" s="1070"/>
    </row>
    <row r="79" spans="5:13" ht="14.25">
      <c r="E79" s="638"/>
      <c r="F79" s="638"/>
      <c r="M79" s="1070"/>
    </row>
    <row r="80" spans="5:13" ht="14.25">
      <c r="E80" s="638"/>
      <c r="F80" s="638"/>
      <c r="M80" s="1070"/>
    </row>
    <row r="81" spans="5:13" ht="14.25">
      <c r="E81" s="638"/>
      <c r="F81" s="638"/>
      <c r="M81" s="1070"/>
    </row>
    <row r="82" spans="5:13" ht="14.25">
      <c r="E82" s="638"/>
      <c r="F82" s="638"/>
      <c r="M82" s="1070"/>
    </row>
    <row r="83" spans="5:13" ht="14.25">
      <c r="E83" s="638"/>
      <c r="F83" s="638"/>
      <c r="M83" s="1070"/>
    </row>
    <row r="84" spans="5:13" ht="14.25">
      <c r="E84" s="638"/>
      <c r="F84" s="638"/>
      <c r="M84" s="1070"/>
    </row>
    <row r="85" spans="5:13" ht="14.25">
      <c r="E85" s="638"/>
      <c r="F85" s="638"/>
      <c r="M85" s="1070"/>
    </row>
    <row r="86" spans="5:13" ht="14.25">
      <c r="E86" s="638"/>
      <c r="F86" s="638"/>
      <c r="M86" s="1070"/>
    </row>
    <row r="87" spans="5:13" ht="14.25">
      <c r="E87" s="638"/>
      <c r="F87" s="638"/>
      <c r="M87" s="1070"/>
    </row>
    <row r="88" spans="5:13" ht="14.25">
      <c r="E88" s="638"/>
      <c r="F88" s="638"/>
      <c r="M88" s="1070"/>
    </row>
    <row r="89" spans="5:13" ht="14.25">
      <c r="E89" s="638"/>
      <c r="F89" s="638"/>
      <c r="M89" s="1070"/>
    </row>
    <row r="90" spans="5:13" ht="14.25">
      <c r="E90" s="638"/>
      <c r="F90" s="638"/>
      <c r="M90" s="1070"/>
    </row>
    <row r="91" spans="5:13">
      <c r="F91" s="638"/>
    </row>
    <row r="92" spans="5:13">
      <c r="F92" s="638"/>
    </row>
    <row r="93" spans="5:13">
      <c r="F93" s="638"/>
    </row>
    <row r="94" spans="5:13">
      <c r="F94" s="638"/>
    </row>
    <row r="95" spans="5:13">
      <c r="F95" s="638"/>
    </row>
    <row r="96" spans="5:13">
      <c r="F96" s="638"/>
    </row>
  </sheetData>
  <mergeCells count="13">
    <mergeCell ref="N4:N5"/>
    <mergeCell ref="G4:G5"/>
    <mergeCell ref="B2:H2"/>
    <mergeCell ref="G3:H3"/>
    <mergeCell ref="K4:M4"/>
    <mergeCell ref="B4:B5"/>
    <mergeCell ref="C4:C5"/>
    <mergeCell ref="D4:D5"/>
    <mergeCell ref="F4:F5"/>
    <mergeCell ref="E4:E5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4"/>
  <dimension ref="A1:P96"/>
  <sheetViews>
    <sheetView zoomScaleNormal="100" zoomScaleSheetLayoutView="100" workbookViewId="0">
      <selection activeCell="Q14" sqref="Q14"/>
    </sheetView>
  </sheetViews>
  <sheetFormatPr defaultRowHeight="12.75"/>
  <cols>
    <col min="1" max="1" width="9.140625" style="611"/>
    <col min="2" max="2" width="4.7109375" style="9" customWidth="1"/>
    <col min="3" max="3" width="5.140625" style="9" customWidth="1"/>
    <col min="4" max="4" width="5" style="9" customWidth="1"/>
    <col min="5" max="5" width="8.7109375" style="18" customWidth="1"/>
    <col min="6" max="6" width="8.7109375" style="616" customWidth="1"/>
    <col min="7" max="7" width="50.7109375" style="9" customWidth="1"/>
    <col min="8" max="10" width="14.7109375" style="9" customWidth="1"/>
    <col min="11" max="12" width="14.7109375" style="611" customWidth="1"/>
    <col min="13" max="13" width="15.7109375" style="9" customWidth="1"/>
    <col min="14" max="14" width="7.7109375" style="680" customWidth="1"/>
    <col min="15" max="16384" width="9.140625" style="9"/>
  </cols>
  <sheetData>
    <row r="1" spans="1:16" ht="13.5" thickBot="1"/>
    <row r="2" spans="1:16" s="126" customFormat="1" ht="20.100000000000001" customHeight="1" thickTop="1" thickBot="1">
      <c r="A2" s="1052"/>
      <c r="B2" s="1261" t="s">
        <v>278</v>
      </c>
      <c r="C2" s="1262"/>
      <c r="D2" s="1262"/>
      <c r="E2" s="1262"/>
      <c r="F2" s="1262"/>
      <c r="G2" s="1262"/>
      <c r="H2" s="1262"/>
      <c r="I2" s="1053"/>
      <c r="J2" s="1053"/>
      <c r="K2" s="1055"/>
      <c r="L2" s="1055"/>
      <c r="M2" s="1055"/>
      <c r="N2" s="1057"/>
    </row>
    <row r="3" spans="1:16" s="1" customFormat="1" ht="8.1" customHeight="1" thickTop="1" thickBot="1">
      <c r="A3" s="608"/>
      <c r="E3" s="2"/>
      <c r="F3" s="609"/>
      <c r="G3" s="1264"/>
      <c r="H3" s="1264"/>
      <c r="I3" s="306"/>
      <c r="J3" s="306"/>
      <c r="K3" s="119"/>
      <c r="L3" s="119"/>
      <c r="M3" s="119"/>
      <c r="N3" s="674"/>
    </row>
    <row r="4" spans="1:16" s="1" customFormat="1" ht="39" customHeight="1">
      <c r="A4" s="608"/>
      <c r="B4" s="1268" t="s">
        <v>78</v>
      </c>
      <c r="C4" s="1280" t="s">
        <v>79</v>
      </c>
      <c r="D4" s="1281" t="s">
        <v>110</v>
      </c>
      <c r="E4" s="1282" t="s">
        <v>615</v>
      </c>
      <c r="F4" s="1273" t="s">
        <v>695</v>
      </c>
      <c r="G4" s="1274" t="s">
        <v>80</v>
      </c>
      <c r="H4" s="1283" t="s">
        <v>614</v>
      </c>
      <c r="I4" s="1284" t="s">
        <v>747</v>
      </c>
      <c r="J4" s="1283" t="s">
        <v>667</v>
      </c>
      <c r="K4" s="1265" t="s">
        <v>682</v>
      </c>
      <c r="L4" s="1266"/>
      <c r="M4" s="1267"/>
      <c r="N4" s="1278" t="s">
        <v>756</v>
      </c>
    </row>
    <row r="5" spans="1:16" s="608" customFormat="1" ht="27" customHeight="1">
      <c r="B5" s="1269"/>
      <c r="C5" s="1271"/>
      <c r="D5" s="1271"/>
      <c r="E5" s="1275"/>
      <c r="F5" s="1271"/>
      <c r="G5" s="1275"/>
      <c r="H5" s="1275"/>
      <c r="I5" s="1275"/>
      <c r="J5" s="1275"/>
      <c r="K5" s="1048" t="s">
        <v>753</v>
      </c>
      <c r="L5" s="1048" t="s">
        <v>754</v>
      </c>
      <c r="M5" s="1059" t="s">
        <v>426</v>
      </c>
      <c r="N5" s="1279"/>
    </row>
    <row r="6" spans="1:16" s="2" customFormat="1" ht="12.95" customHeight="1">
      <c r="A6" s="609"/>
      <c r="B6" s="1181">
        <v>1</v>
      </c>
      <c r="C6" s="661">
        <v>2</v>
      </c>
      <c r="D6" s="661">
        <v>3</v>
      </c>
      <c r="E6" s="661">
        <v>4</v>
      </c>
      <c r="F6" s="661">
        <v>5</v>
      </c>
      <c r="G6" s="661">
        <v>6</v>
      </c>
      <c r="H6" s="661">
        <v>7</v>
      </c>
      <c r="I6" s="661">
        <v>8</v>
      </c>
      <c r="J6" s="661">
        <v>9</v>
      </c>
      <c r="K6" s="661">
        <v>10</v>
      </c>
      <c r="L6" s="661">
        <v>11</v>
      </c>
      <c r="M6" s="1201" t="s">
        <v>755</v>
      </c>
      <c r="N6" s="1183">
        <v>13</v>
      </c>
    </row>
    <row r="7" spans="1:16" s="2" customFormat="1" ht="12.95" customHeight="1">
      <c r="A7" s="609"/>
      <c r="B7" s="93" t="s">
        <v>143</v>
      </c>
      <c r="C7" s="94" t="s">
        <v>132</v>
      </c>
      <c r="D7" s="94" t="s">
        <v>124</v>
      </c>
      <c r="E7" s="5"/>
      <c r="F7" s="610"/>
      <c r="G7" s="5"/>
      <c r="H7" s="5"/>
      <c r="I7" s="5"/>
      <c r="J7" s="5"/>
      <c r="K7" s="610"/>
      <c r="L7" s="610"/>
      <c r="M7" s="1060"/>
      <c r="N7" s="675"/>
    </row>
    <row r="8" spans="1:16" s="1" customFormat="1" ht="12.95" customHeight="1">
      <c r="A8" s="608"/>
      <c r="B8" s="12"/>
      <c r="C8" s="8"/>
      <c r="D8" s="8"/>
      <c r="E8" s="635">
        <v>611000</v>
      </c>
      <c r="F8" s="661"/>
      <c r="G8" s="8" t="s">
        <v>163</v>
      </c>
      <c r="H8" s="256">
        <f>SUM(H9:H12)</f>
        <v>999600</v>
      </c>
      <c r="I8" s="859">
        <v>1011880</v>
      </c>
      <c r="J8" s="490">
        <v>731646</v>
      </c>
      <c r="K8" s="256">
        <f>SUM(K9:K12)</f>
        <v>1051100</v>
      </c>
      <c r="L8" s="256">
        <f>SUM(L9:L12)</f>
        <v>0</v>
      </c>
      <c r="M8" s="1061">
        <f>SUM(M9:M12)</f>
        <v>1051100</v>
      </c>
      <c r="N8" s="676">
        <f>IF(I8=0,"",M8/I8*100)</f>
        <v>103.8759536703957</v>
      </c>
    </row>
    <row r="9" spans="1:16" ht="12.95" customHeight="1">
      <c r="B9" s="10"/>
      <c r="C9" s="11"/>
      <c r="D9" s="11"/>
      <c r="E9" s="636">
        <v>611100</v>
      </c>
      <c r="F9" s="662"/>
      <c r="G9" s="20" t="s">
        <v>204</v>
      </c>
      <c r="H9" s="258">
        <f>743160+0+1200+2*8280+9120+22300+770</f>
        <v>793110</v>
      </c>
      <c r="I9" s="860">
        <v>808400</v>
      </c>
      <c r="J9" s="491">
        <v>593747</v>
      </c>
      <c r="K9" s="258">
        <f>834200+1500+2000+2*500</f>
        <v>838700</v>
      </c>
      <c r="L9" s="258">
        <v>0</v>
      </c>
      <c r="M9" s="1062">
        <f>SUM(K9:L9)</f>
        <v>838700</v>
      </c>
      <c r="N9" s="677">
        <f>IF(I9=0,"",M9/I9*100)</f>
        <v>103.74814448292923</v>
      </c>
    </row>
    <row r="10" spans="1:16" ht="12.95" customHeight="1">
      <c r="B10" s="10"/>
      <c r="C10" s="11"/>
      <c r="D10" s="11"/>
      <c r="E10" s="636">
        <v>611200</v>
      </c>
      <c r="F10" s="662"/>
      <c r="G10" s="11" t="s">
        <v>205</v>
      </c>
      <c r="H10" s="258">
        <f>185030+3000+2*1470+3*840+3500+9500</f>
        <v>206490</v>
      </c>
      <c r="I10" s="860">
        <v>203480</v>
      </c>
      <c r="J10" s="491">
        <v>137899</v>
      </c>
      <c r="K10" s="258">
        <f>204400+2700+3500+2*900</f>
        <v>212400</v>
      </c>
      <c r="L10" s="258">
        <v>0</v>
      </c>
      <c r="M10" s="1062">
        <f t="shared" ref="M10:M11" si="0">SUM(K10:L10)</f>
        <v>212400</v>
      </c>
      <c r="N10" s="677">
        <f t="shared" ref="N10:N35" si="1">IF(I10=0,"",M10/I10*100)</f>
        <v>104.38372321604088</v>
      </c>
      <c r="P10" s="56"/>
    </row>
    <row r="11" spans="1:16" ht="12.95" customHeight="1">
      <c r="B11" s="10"/>
      <c r="C11" s="11"/>
      <c r="D11" s="11"/>
      <c r="E11" s="636">
        <v>611200</v>
      </c>
      <c r="F11" s="662"/>
      <c r="G11" s="229" t="s">
        <v>547</v>
      </c>
      <c r="H11" s="255">
        <v>0</v>
      </c>
      <c r="I11" s="858">
        <v>0</v>
      </c>
      <c r="J11" s="489">
        <v>0</v>
      </c>
      <c r="K11" s="255">
        <v>0</v>
      </c>
      <c r="L11" s="255">
        <v>0</v>
      </c>
      <c r="M11" s="1062">
        <f t="shared" si="0"/>
        <v>0</v>
      </c>
      <c r="N11" s="677" t="str">
        <f t="shared" si="1"/>
        <v/>
      </c>
      <c r="P11" s="63"/>
    </row>
    <row r="12" spans="1:16" ht="12.95" customHeight="1">
      <c r="B12" s="10"/>
      <c r="C12" s="11"/>
      <c r="D12" s="11"/>
      <c r="E12" s="636"/>
      <c r="F12" s="662"/>
      <c r="G12" s="20"/>
      <c r="H12" s="258"/>
      <c r="I12" s="860"/>
      <c r="J12" s="491"/>
      <c r="K12" s="258"/>
      <c r="L12" s="258"/>
      <c r="M12" s="1062"/>
      <c r="N12" s="677" t="str">
        <f t="shared" si="1"/>
        <v/>
      </c>
    </row>
    <row r="13" spans="1:16" s="1" customFormat="1" ht="12.95" customHeight="1">
      <c r="A13" s="608"/>
      <c r="B13" s="12"/>
      <c r="C13" s="8"/>
      <c r="D13" s="8"/>
      <c r="E13" s="635">
        <v>612000</v>
      </c>
      <c r="F13" s="661"/>
      <c r="G13" s="8" t="s">
        <v>162</v>
      </c>
      <c r="H13" s="256">
        <f>H14</f>
        <v>84970</v>
      </c>
      <c r="I13" s="859">
        <v>88500</v>
      </c>
      <c r="J13" s="490">
        <v>64596</v>
      </c>
      <c r="K13" s="256">
        <f>K14</f>
        <v>89570</v>
      </c>
      <c r="L13" s="256">
        <f>L14</f>
        <v>0</v>
      </c>
      <c r="M13" s="1061">
        <f>M14</f>
        <v>89570</v>
      </c>
      <c r="N13" s="676">
        <f t="shared" si="1"/>
        <v>101.2090395480226</v>
      </c>
    </row>
    <row r="14" spans="1:16" ht="12.95" customHeight="1">
      <c r="B14" s="10"/>
      <c r="C14" s="11"/>
      <c r="D14" s="11"/>
      <c r="E14" s="636">
        <v>612100</v>
      </c>
      <c r="F14" s="662"/>
      <c r="G14" s="13" t="s">
        <v>83</v>
      </c>
      <c r="H14" s="258">
        <f>79660+0+2*910+1010+2390+90</f>
        <v>84970</v>
      </c>
      <c r="I14" s="860">
        <v>88500</v>
      </c>
      <c r="J14" s="491">
        <v>64596</v>
      </c>
      <c r="K14" s="258">
        <f>88980+450+2*70</f>
        <v>89570</v>
      </c>
      <c r="L14" s="258">
        <v>0</v>
      </c>
      <c r="M14" s="1062">
        <f>SUM(K14:L14)</f>
        <v>89570</v>
      </c>
      <c r="N14" s="677">
        <f t="shared" si="1"/>
        <v>101.2090395480226</v>
      </c>
    </row>
    <row r="15" spans="1:16" ht="12.95" customHeight="1">
      <c r="B15" s="10"/>
      <c r="C15" s="11"/>
      <c r="D15" s="11"/>
      <c r="E15" s="636"/>
      <c r="F15" s="662"/>
      <c r="G15" s="11"/>
      <c r="H15" s="31"/>
      <c r="I15" s="853"/>
      <c r="J15" s="484"/>
      <c r="K15" s="618"/>
      <c r="L15" s="618"/>
      <c r="M15" s="1063"/>
      <c r="N15" s="677" t="str">
        <f t="shared" si="1"/>
        <v/>
      </c>
    </row>
    <row r="16" spans="1:16" s="1" customFormat="1" ht="12.95" customHeight="1">
      <c r="A16" s="608"/>
      <c r="B16" s="12"/>
      <c r="C16" s="8"/>
      <c r="D16" s="8"/>
      <c r="E16" s="635">
        <v>613000</v>
      </c>
      <c r="F16" s="661"/>
      <c r="G16" s="8" t="s">
        <v>164</v>
      </c>
      <c r="H16" s="35">
        <f>SUM(H17:H26)</f>
        <v>206700</v>
      </c>
      <c r="I16" s="854">
        <v>217850</v>
      </c>
      <c r="J16" s="485">
        <v>159275</v>
      </c>
      <c r="K16" s="620">
        <f>SUM(K17:K26)</f>
        <v>211950</v>
      </c>
      <c r="L16" s="620">
        <f>SUM(L17:L26)</f>
        <v>0</v>
      </c>
      <c r="M16" s="1064">
        <f>SUM(M17:M26)</f>
        <v>211950</v>
      </c>
      <c r="N16" s="676">
        <f t="shared" si="1"/>
        <v>97.291714482442046</v>
      </c>
    </row>
    <row r="17" spans="1:15" ht="12.95" customHeight="1">
      <c r="B17" s="10"/>
      <c r="C17" s="11"/>
      <c r="D17" s="11"/>
      <c r="E17" s="636">
        <v>613100</v>
      </c>
      <c r="F17" s="662"/>
      <c r="G17" s="11" t="s">
        <v>84</v>
      </c>
      <c r="H17" s="88">
        <v>6000</v>
      </c>
      <c r="I17" s="856">
        <v>5500</v>
      </c>
      <c r="J17" s="487">
        <v>3837</v>
      </c>
      <c r="K17" s="984">
        <v>5500</v>
      </c>
      <c r="L17" s="984">
        <v>0</v>
      </c>
      <c r="M17" s="1062">
        <f t="shared" ref="M17:M26" si="2">SUM(K17:L17)</f>
        <v>5500</v>
      </c>
      <c r="N17" s="677">
        <f t="shared" si="1"/>
        <v>100</v>
      </c>
    </row>
    <row r="18" spans="1:15" ht="12.95" customHeight="1">
      <c r="B18" s="10"/>
      <c r="C18" s="11"/>
      <c r="D18" s="11"/>
      <c r="E18" s="636">
        <v>613200</v>
      </c>
      <c r="F18" s="662"/>
      <c r="G18" s="11" t="s">
        <v>85</v>
      </c>
      <c r="H18" s="31">
        <v>100000</v>
      </c>
      <c r="I18" s="853">
        <v>109400</v>
      </c>
      <c r="J18" s="484">
        <v>82884</v>
      </c>
      <c r="K18" s="978">
        <v>109400</v>
      </c>
      <c r="L18" s="978">
        <v>0</v>
      </c>
      <c r="M18" s="1062">
        <f t="shared" si="2"/>
        <v>109400</v>
      </c>
      <c r="N18" s="677">
        <f t="shared" si="1"/>
        <v>100</v>
      </c>
    </row>
    <row r="19" spans="1:15" ht="12.95" customHeight="1">
      <c r="B19" s="10"/>
      <c r="C19" s="11"/>
      <c r="D19" s="11"/>
      <c r="E19" s="636">
        <v>613300</v>
      </c>
      <c r="F19" s="662"/>
      <c r="G19" s="20" t="s">
        <v>206</v>
      </c>
      <c r="H19" s="88">
        <v>18000</v>
      </c>
      <c r="I19" s="856">
        <v>13900</v>
      </c>
      <c r="J19" s="487">
        <v>9761</v>
      </c>
      <c r="K19" s="984">
        <v>13900</v>
      </c>
      <c r="L19" s="984">
        <v>0</v>
      </c>
      <c r="M19" s="1062">
        <f t="shared" si="2"/>
        <v>13900</v>
      </c>
      <c r="N19" s="677">
        <f t="shared" si="1"/>
        <v>100</v>
      </c>
    </row>
    <row r="20" spans="1:15" ht="12.95" customHeight="1">
      <c r="B20" s="10"/>
      <c r="C20" s="11"/>
      <c r="D20" s="11"/>
      <c r="E20" s="636">
        <v>613400</v>
      </c>
      <c r="F20" s="662"/>
      <c r="G20" s="11" t="s">
        <v>165</v>
      </c>
      <c r="H20" s="88">
        <v>30000</v>
      </c>
      <c r="I20" s="856">
        <v>28750</v>
      </c>
      <c r="J20" s="487">
        <v>21152</v>
      </c>
      <c r="K20" s="984">
        <v>28750</v>
      </c>
      <c r="L20" s="984">
        <v>0</v>
      </c>
      <c r="M20" s="1062">
        <f t="shared" si="2"/>
        <v>28750</v>
      </c>
      <c r="N20" s="677">
        <f t="shared" si="1"/>
        <v>100</v>
      </c>
    </row>
    <row r="21" spans="1:15" ht="12.95" customHeight="1">
      <c r="B21" s="10"/>
      <c r="C21" s="11"/>
      <c r="D21" s="11"/>
      <c r="E21" s="636">
        <v>613500</v>
      </c>
      <c r="F21" s="662"/>
      <c r="G21" s="11" t="s">
        <v>86</v>
      </c>
      <c r="H21" s="88">
        <v>700</v>
      </c>
      <c r="I21" s="856">
        <v>400</v>
      </c>
      <c r="J21" s="487">
        <v>214</v>
      </c>
      <c r="K21" s="984">
        <v>400</v>
      </c>
      <c r="L21" s="984">
        <v>0</v>
      </c>
      <c r="M21" s="1062">
        <f t="shared" si="2"/>
        <v>400</v>
      </c>
      <c r="N21" s="677">
        <f t="shared" si="1"/>
        <v>100</v>
      </c>
    </row>
    <row r="22" spans="1:15" ht="12.95" customHeight="1">
      <c r="B22" s="10"/>
      <c r="C22" s="11"/>
      <c r="D22" s="11"/>
      <c r="E22" s="636">
        <v>613600</v>
      </c>
      <c r="F22" s="662"/>
      <c r="G22" s="20" t="s">
        <v>207</v>
      </c>
      <c r="H22" s="88">
        <v>0</v>
      </c>
      <c r="I22" s="856">
        <v>0</v>
      </c>
      <c r="J22" s="487">
        <v>0</v>
      </c>
      <c r="K22" s="984">
        <v>0</v>
      </c>
      <c r="L22" s="984">
        <v>0</v>
      </c>
      <c r="M22" s="1062">
        <f t="shared" si="2"/>
        <v>0</v>
      </c>
      <c r="N22" s="677" t="str">
        <f t="shared" si="1"/>
        <v/>
      </c>
    </row>
    <row r="23" spans="1:15" ht="12.95" customHeight="1">
      <c r="B23" s="10"/>
      <c r="C23" s="11"/>
      <c r="D23" s="11"/>
      <c r="E23" s="636">
        <v>613700</v>
      </c>
      <c r="F23" s="662"/>
      <c r="G23" s="11" t="s">
        <v>87</v>
      </c>
      <c r="H23" s="88">
        <v>32000</v>
      </c>
      <c r="I23" s="856">
        <v>31000</v>
      </c>
      <c r="J23" s="487">
        <v>17510</v>
      </c>
      <c r="K23" s="984">
        <v>30000</v>
      </c>
      <c r="L23" s="984">
        <v>0</v>
      </c>
      <c r="M23" s="1062">
        <f t="shared" si="2"/>
        <v>30000</v>
      </c>
      <c r="N23" s="677">
        <f t="shared" si="1"/>
        <v>96.774193548387103</v>
      </c>
    </row>
    <row r="24" spans="1:15" ht="12.95" customHeight="1">
      <c r="B24" s="10"/>
      <c r="C24" s="11"/>
      <c r="D24" s="11"/>
      <c r="E24" s="636">
        <v>613800</v>
      </c>
      <c r="F24" s="662"/>
      <c r="G24" s="11" t="s">
        <v>166</v>
      </c>
      <c r="H24" s="88">
        <v>0</v>
      </c>
      <c r="I24" s="856">
        <v>0</v>
      </c>
      <c r="J24" s="487">
        <v>0</v>
      </c>
      <c r="K24" s="984">
        <v>0</v>
      </c>
      <c r="L24" s="984">
        <v>0</v>
      </c>
      <c r="M24" s="1062">
        <f t="shared" si="2"/>
        <v>0</v>
      </c>
      <c r="N24" s="677" t="str">
        <f t="shared" si="1"/>
        <v/>
      </c>
    </row>
    <row r="25" spans="1:15" ht="12.95" customHeight="1">
      <c r="B25" s="10"/>
      <c r="C25" s="11"/>
      <c r="D25" s="11"/>
      <c r="E25" s="636">
        <v>613900</v>
      </c>
      <c r="F25" s="662"/>
      <c r="G25" s="11" t="s">
        <v>167</v>
      </c>
      <c r="H25" s="88">
        <v>20000</v>
      </c>
      <c r="I25" s="856">
        <v>28900</v>
      </c>
      <c r="J25" s="487">
        <v>23917</v>
      </c>
      <c r="K25" s="984">
        <v>24000</v>
      </c>
      <c r="L25" s="984">
        <v>0</v>
      </c>
      <c r="M25" s="1062">
        <f t="shared" si="2"/>
        <v>24000</v>
      </c>
      <c r="N25" s="677">
        <f t="shared" si="1"/>
        <v>83.044982698961931</v>
      </c>
    </row>
    <row r="26" spans="1:15" ht="12.95" customHeight="1">
      <c r="B26" s="10"/>
      <c r="C26" s="11"/>
      <c r="D26" s="11"/>
      <c r="E26" s="636">
        <v>613900</v>
      </c>
      <c r="F26" s="662"/>
      <c r="G26" s="229" t="s">
        <v>548</v>
      </c>
      <c r="H26" s="113">
        <v>0</v>
      </c>
      <c r="I26" s="857">
        <v>0</v>
      </c>
      <c r="J26" s="488">
        <v>0</v>
      </c>
      <c r="K26" s="911">
        <v>0</v>
      </c>
      <c r="L26" s="911">
        <v>0</v>
      </c>
      <c r="M26" s="1062">
        <f t="shared" si="2"/>
        <v>0</v>
      </c>
      <c r="N26" s="677" t="str">
        <f t="shared" si="1"/>
        <v/>
      </c>
    </row>
    <row r="27" spans="1:15" s="1" customFormat="1" ht="12.95" customHeight="1">
      <c r="A27" s="608"/>
      <c r="B27" s="12"/>
      <c r="C27" s="8"/>
      <c r="D27" s="8"/>
      <c r="E27" s="635"/>
      <c r="F27" s="661"/>
      <c r="G27" s="8"/>
      <c r="H27" s="88"/>
      <c r="I27" s="856"/>
      <c r="J27" s="487"/>
      <c r="K27" s="623"/>
      <c r="L27" s="623"/>
      <c r="M27" s="1063"/>
      <c r="N27" s="677" t="str">
        <f t="shared" si="1"/>
        <v/>
      </c>
    </row>
    <row r="28" spans="1:15" s="1" customFormat="1" ht="12.95" customHeight="1">
      <c r="A28" s="608"/>
      <c r="B28" s="12"/>
      <c r="C28" s="8"/>
      <c r="D28" s="8"/>
      <c r="E28" s="635">
        <v>821000</v>
      </c>
      <c r="F28" s="661"/>
      <c r="G28" s="8" t="s">
        <v>90</v>
      </c>
      <c r="H28" s="79">
        <f>SUM(H29:H30)</f>
        <v>5000</v>
      </c>
      <c r="I28" s="855">
        <v>5000</v>
      </c>
      <c r="J28" s="486">
        <v>0</v>
      </c>
      <c r="K28" s="622">
        <f>SUM(K29:K30)</f>
        <v>10000</v>
      </c>
      <c r="L28" s="622">
        <f>SUM(L29:L30)</f>
        <v>0</v>
      </c>
      <c r="M28" s="1064">
        <f>SUM(M29:M30)</f>
        <v>10000</v>
      </c>
      <c r="N28" s="676">
        <f t="shared" si="1"/>
        <v>200</v>
      </c>
    </row>
    <row r="29" spans="1:15" ht="12.95" customHeight="1">
      <c r="B29" s="10"/>
      <c r="C29" s="11"/>
      <c r="D29" s="11"/>
      <c r="E29" s="639">
        <v>821200</v>
      </c>
      <c r="F29" s="665"/>
      <c r="G29" s="14" t="s">
        <v>91</v>
      </c>
      <c r="H29" s="88">
        <v>0</v>
      </c>
      <c r="I29" s="856">
        <v>0</v>
      </c>
      <c r="J29" s="487">
        <v>0</v>
      </c>
      <c r="K29" s="623">
        <v>5000</v>
      </c>
      <c r="L29" s="623">
        <v>0</v>
      </c>
      <c r="M29" s="1062">
        <f t="shared" ref="M29:M30" si="3">SUM(K29:L29)</f>
        <v>5000</v>
      </c>
      <c r="N29" s="677" t="str">
        <f t="shared" si="1"/>
        <v/>
      </c>
      <c r="O29" s="56"/>
    </row>
    <row r="30" spans="1:15" ht="12.95" customHeight="1">
      <c r="B30" s="10"/>
      <c r="C30" s="11"/>
      <c r="D30" s="11"/>
      <c r="E30" s="636">
        <v>821300</v>
      </c>
      <c r="F30" s="662"/>
      <c r="G30" s="11" t="s">
        <v>92</v>
      </c>
      <c r="H30" s="88">
        <v>5000</v>
      </c>
      <c r="I30" s="856">
        <v>5000</v>
      </c>
      <c r="J30" s="487">
        <v>0</v>
      </c>
      <c r="K30" s="623">
        <v>5000</v>
      </c>
      <c r="L30" s="623">
        <v>0</v>
      </c>
      <c r="M30" s="1062">
        <f t="shared" si="3"/>
        <v>5000</v>
      </c>
      <c r="N30" s="677">
        <f t="shared" si="1"/>
        <v>100</v>
      </c>
    </row>
    <row r="31" spans="1:15" ht="12.95" customHeight="1">
      <c r="B31" s="10"/>
      <c r="C31" s="11"/>
      <c r="D31" s="11"/>
      <c r="E31" s="636"/>
      <c r="F31" s="662"/>
      <c r="G31" s="11"/>
      <c r="H31" s="88"/>
      <c r="I31" s="856"/>
      <c r="J31" s="487"/>
      <c r="K31" s="623"/>
      <c r="L31" s="623"/>
      <c r="M31" s="1063"/>
      <c r="N31" s="677" t="str">
        <f t="shared" si="1"/>
        <v/>
      </c>
    </row>
    <row r="32" spans="1:15" s="1" customFormat="1" ht="12.95" customHeight="1">
      <c r="A32" s="608"/>
      <c r="B32" s="12"/>
      <c r="C32" s="8"/>
      <c r="D32" s="8"/>
      <c r="E32" s="635"/>
      <c r="F32" s="661"/>
      <c r="G32" s="8" t="s">
        <v>93</v>
      </c>
      <c r="H32" s="19" t="s">
        <v>626</v>
      </c>
      <c r="I32" s="852" t="s">
        <v>683</v>
      </c>
      <c r="J32" s="483" t="s">
        <v>683</v>
      </c>
      <c r="K32" s="556" t="s">
        <v>858</v>
      </c>
      <c r="L32" s="556"/>
      <c r="M32" s="1066" t="s">
        <v>858</v>
      </c>
      <c r="N32" s="677"/>
    </row>
    <row r="33" spans="1:14" s="1" customFormat="1" ht="12.95" customHeight="1">
      <c r="A33" s="608"/>
      <c r="B33" s="12"/>
      <c r="C33" s="8"/>
      <c r="D33" s="8"/>
      <c r="E33" s="635"/>
      <c r="F33" s="661"/>
      <c r="G33" s="8" t="s">
        <v>113</v>
      </c>
      <c r="H33" s="15">
        <f>H8+H13+H16+H28</f>
        <v>1296270</v>
      </c>
      <c r="I33" s="15">
        <f>I8+I13+I16+I28</f>
        <v>1323230</v>
      </c>
      <c r="J33" s="15">
        <f t="shared" ref="J33" si="4">J8+J13+J16+J28</f>
        <v>955517</v>
      </c>
      <c r="K33" s="615">
        <f>K8+K13+K16+K28</f>
        <v>1362620</v>
      </c>
      <c r="L33" s="615">
        <f>L8+L13+L16+L28</f>
        <v>0</v>
      </c>
      <c r="M33" s="1064">
        <f>M8+M13+M16+M28</f>
        <v>1362620</v>
      </c>
      <c r="N33" s="676">
        <f t="shared" si="1"/>
        <v>102.97680675317216</v>
      </c>
    </row>
    <row r="34" spans="1:14" s="1" customFormat="1" ht="12.95" customHeight="1">
      <c r="A34" s="608"/>
      <c r="B34" s="12"/>
      <c r="C34" s="8"/>
      <c r="D34" s="8"/>
      <c r="E34" s="635"/>
      <c r="F34" s="661"/>
      <c r="G34" s="8" t="s">
        <v>94</v>
      </c>
      <c r="H34" s="15"/>
      <c r="I34" s="15"/>
      <c r="J34" s="15"/>
      <c r="K34" s="615"/>
      <c r="L34" s="615"/>
      <c r="M34" s="1064"/>
      <c r="N34" s="677" t="str">
        <f>IF(I34=0,"",M34/I34*100)</f>
        <v/>
      </c>
    </row>
    <row r="35" spans="1:14" s="1" customFormat="1" ht="12.95" customHeight="1">
      <c r="A35" s="608"/>
      <c r="B35" s="12"/>
      <c r="C35" s="8"/>
      <c r="D35" s="8"/>
      <c r="E35" s="635"/>
      <c r="F35" s="661"/>
      <c r="G35" s="8" t="s">
        <v>95</v>
      </c>
      <c r="H35" s="30"/>
      <c r="I35" s="30"/>
      <c r="J35" s="30"/>
      <c r="K35" s="593"/>
      <c r="L35" s="593"/>
      <c r="M35" s="1063"/>
      <c r="N35" s="677" t="str">
        <f t="shared" si="1"/>
        <v/>
      </c>
    </row>
    <row r="36" spans="1:14" ht="12.95" customHeight="1" thickBot="1">
      <c r="B36" s="16"/>
      <c r="C36" s="17"/>
      <c r="D36" s="17"/>
      <c r="E36" s="637"/>
      <c r="F36" s="663"/>
      <c r="G36" s="17"/>
      <c r="H36" s="32"/>
      <c r="I36" s="32"/>
      <c r="J36" s="32"/>
      <c r="K36" s="32"/>
      <c r="L36" s="32"/>
      <c r="M36" s="1067"/>
      <c r="N36" s="679"/>
    </row>
    <row r="37" spans="1:14" ht="12.95" customHeight="1">
      <c r="E37" s="638"/>
      <c r="F37" s="664"/>
      <c r="M37" s="1068"/>
    </row>
    <row r="38" spans="1:14" ht="12.95" customHeight="1">
      <c r="B38" s="56"/>
      <c r="E38" s="638"/>
      <c r="F38" s="664"/>
      <c r="M38" s="1068"/>
    </row>
    <row r="39" spans="1:14" ht="12.95" customHeight="1">
      <c r="B39" s="56"/>
      <c r="E39" s="638"/>
      <c r="F39" s="664"/>
      <c r="M39" s="1068"/>
    </row>
    <row r="40" spans="1:14" ht="12.95" customHeight="1">
      <c r="B40" s="56"/>
      <c r="E40" s="638"/>
      <c r="F40" s="664"/>
      <c r="M40" s="1068"/>
    </row>
    <row r="41" spans="1:14" ht="12.95" customHeight="1">
      <c r="B41" s="56"/>
      <c r="E41" s="638"/>
      <c r="F41" s="664"/>
      <c r="M41" s="1068"/>
    </row>
    <row r="42" spans="1:14" ht="12.95" customHeight="1">
      <c r="B42" s="56"/>
      <c r="E42" s="638"/>
      <c r="F42" s="664"/>
      <c r="M42" s="1068"/>
    </row>
    <row r="43" spans="1:14" ht="12.95" customHeight="1">
      <c r="E43" s="638"/>
      <c r="F43" s="664"/>
      <c r="M43" s="1068"/>
    </row>
    <row r="44" spans="1:14" ht="12.95" customHeight="1">
      <c r="E44" s="638"/>
      <c r="F44" s="664"/>
      <c r="M44" s="1068"/>
    </row>
    <row r="45" spans="1:14" ht="12.95" customHeight="1">
      <c r="E45" s="638"/>
      <c r="F45" s="664"/>
      <c r="M45" s="1068"/>
    </row>
    <row r="46" spans="1:14" ht="12.95" customHeight="1">
      <c r="E46" s="638"/>
      <c r="F46" s="664"/>
      <c r="M46" s="1068"/>
    </row>
    <row r="47" spans="1:14" ht="12.95" customHeight="1">
      <c r="E47" s="638"/>
      <c r="F47" s="664"/>
      <c r="M47" s="1068"/>
    </row>
    <row r="48" spans="1:14" ht="12.95" customHeight="1">
      <c r="E48" s="638"/>
      <c r="F48" s="664"/>
      <c r="M48" s="1068"/>
    </row>
    <row r="49" spans="5:13" ht="12.95" customHeight="1">
      <c r="E49" s="638"/>
      <c r="F49" s="664"/>
      <c r="M49" s="1068"/>
    </row>
    <row r="50" spans="5:13" ht="12.95" customHeight="1">
      <c r="E50" s="638"/>
      <c r="F50" s="664"/>
      <c r="M50" s="1068"/>
    </row>
    <row r="51" spans="5:13" ht="12.95" customHeight="1">
      <c r="E51" s="638"/>
      <c r="F51" s="664"/>
      <c r="M51" s="1068"/>
    </row>
    <row r="52" spans="5:13" ht="12.95" customHeight="1">
      <c r="E52" s="638"/>
      <c r="F52" s="664"/>
      <c r="M52" s="1068"/>
    </row>
    <row r="53" spans="5:13" ht="12.95" customHeight="1">
      <c r="E53" s="638"/>
      <c r="F53" s="664"/>
      <c r="M53" s="1068"/>
    </row>
    <row r="54" spans="5:13" ht="12.95" customHeight="1">
      <c r="E54" s="638"/>
      <c r="F54" s="664"/>
      <c r="M54" s="1068"/>
    </row>
    <row r="55" spans="5:13" ht="12.95" customHeight="1">
      <c r="E55" s="638"/>
      <c r="F55" s="664"/>
      <c r="M55" s="1068"/>
    </row>
    <row r="56" spans="5:13" ht="12.95" customHeight="1">
      <c r="E56" s="638"/>
      <c r="F56" s="664"/>
      <c r="M56" s="1068"/>
    </row>
    <row r="57" spans="5:13" ht="12.95" customHeight="1">
      <c r="E57" s="638"/>
      <c r="F57" s="664"/>
      <c r="M57" s="1068"/>
    </row>
    <row r="58" spans="5:13" ht="12.95" customHeight="1">
      <c r="E58" s="638"/>
      <c r="F58" s="664"/>
      <c r="M58" s="1068"/>
    </row>
    <row r="59" spans="5:13" ht="12.95" customHeight="1">
      <c r="E59" s="638"/>
      <c r="F59" s="664"/>
      <c r="M59" s="1068"/>
    </row>
    <row r="60" spans="5:13" ht="17.100000000000001" customHeight="1">
      <c r="E60" s="638"/>
      <c r="F60" s="664"/>
      <c r="M60" s="1068"/>
    </row>
    <row r="61" spans="5:13" ht="14.25">
      <c r="E61" s="638"/>
      <c r="F61" s="664"/>
      <c r="M61" s="1068"/>
    </row>
    <row r="62" spans="5:13" ht="14.25">
      <c r="E62" s="638"/>
      <c r="F62" s="664"/>
      <c r="M62" s="1068"/>
    </row>
    <row r="63" spans="5:13" ht="14.25">
      <c r="E63" s="638"/>
      <c r="F63" s="664"/>
      <c r="M63" s="1068"/>
    </row>
    <row r="64" spans="5:13" ht="14.25">
      <c r="E64" s="638"/>
      <c r="F64" s="664"/>
      <c r="M64" s="1068"/>
    </row>
    <row r="65" spans="5:13" ht="14.25">
      <c r="E65" s="638"/>
      <c r="F65" s="664"/>
      <c r="M65" s="1068"/>
    </row>
    <row r="66" spans="5:13" ht="14.25">
      <c r="E66" s="638"/>
      <c r="F66" s="664"/>
      <c r="M66" s="1068"/>
    </row>
    <row r="67" spans="5:13" ht="14.25">
      <c r="E67" s="638"/>
      <c r="F67" s="664"/>
      <c r="M67" s="1068"/>
    </row>
    <row r="68" spans="5:13" ht="14.25">
      <c r="E68" s="638"/>
      <c r="F68" s="664"/>
      <c r="M68" s="1068"/>
    </row>
    <row r="69" spans="5:13" ht="14.25">
      <c r="E69" s="638"/>
      <c r="F69" s="664"/>
      <c r="M69" s="1068"/>
    </row>
    <row r="70" spans="5:13" ht="14.25">
      <c r="E70" s="638"/>
      <c r="F70" s="664"/>
      <c r="M70" s="1068"/>
    </row>
    <row r="71" spans="5:13" ht="14.25">
      <c r="E71" s="638"/>
      <c r="F71" s="664"/>
      <c r="M71" s="1068"/>
    </row>
    <row r="72" spans="5:13" ht="14.25">
      <c r="E72" s="638"/>
      <c r="F72" s="664"/>
      <c r="M72" s="1068"/>
    </row>
    <row r="73" spans="5:13" ht="14.25">
      <c r="E73" s="638"/>
      <c r="F73" s="664"/>
      <c r="M73" s="1068"/>
    </row>
    <row r="74" spans="5:13" ht="14.25">
      <c r="E74" s="638"/>
      <c r="F74" s="638"/>
      <c r="M74" s="1068"/>
    </row>
    <row r="75" spans="5:13" ht="14.25">
      <c r="E75" s="638"/>
      <c r="F75" s="638"/>
      <c r="M75" s="1068"/>
    </row>
    <row r="76" spans="5:13" ht="14.25">
      <c r="E76" s="638"/>
      <c r="F76" s="638"/>
      <c r="M76" s="1068"/>
    </row>
    <row r="77" spans="5:13" ht="14.25">
      <c r="E77" s="638"/>
      <c r="F77" s="638"/>
      <c r="M77" s="1068"/>
    </row>
    <row r="78" spans="5:13" ht="14.25">
      <c r="E78" s="638"/>
      <c r="F78" s="638"/>
      <c r="M78" s="1068"/>
    </row>
    <row r="79" spans="5:13" ht="14.25">
      <c r="E79" s="638"/>
      <c r="F79" s="638"/>
      <c r="M79" s="1068"/>
    </row>
    <row r="80" spans="5:13" ht="14.25">
      <c r="E80" s="638"/>
      <c r="F80" s="638"/>
      <c r="M80" s="1068"/>
    </row>
    <row r="81" spans="5:13" ht="14.25">
      <c r="E81" s="638"/>
      <c r="F81" s="638"/>
      <c r="M81" s="1068"/>
    </row>
    <row r="82" spans="5:13" ht="14.25">
      <c r="E82" s="638"/>
      <c r="F82" s="638"/>
      <c r="M82" s="1068"/>
    </row>
    <row r="83" spans="5:13" ht="14.25">
      <c r="E83" s="638"/>
      <c r="F83" s="638"/>
      <c r="M83" s="1068"/>
    </row>
    <row r="84" spans="5:13" ht="14.25">
      <c r="E84" s="638"/>
      <c r="F84" s="638"/>
      <c r="M84" s="1068"/>
    </row>
    <row r="85" spans="5:13" ht="14.25">
      <c r="E85" s="638"/>
      <c r="F85" s="638"/>
      <c r="M85" s="1068"/>
    </row>
    <row r="86" spans="5:13" ht="14.25">
      <c r="E86" s="638"/>
      <c r="F86" s="638"/>
      <c r="M86" s="1068"/>
    </row>
    <row r="87" spans="5:13" ht="14.25">
      <c r="E87" s="638"/>
      <c r="F87" s="638"/>
      <c r="M87" s="1068"/>
    </row>
    <row r="88" spans="5:13" ht="14.25">
      <c r="E88" s="638"/>
      <c r="F88" s="638"/>
      <c r="M88" s="1068"/>
    </row>
    <row r="89" spans="5:13" ht="14.25">
      <c r="E89" s="638"/>
      <c r="F89" s="638"/>
      <c r="M89" s="1068"/>
    </row>
    <row r="90" spans="5:13" ht="14.25">
      <c r="E90" s="638"/>
      <c r="F90" s="638"/>
      <c r="M90" s="1068"/>
    </row>
    <row r="91" spans="5:13">
      <c r="F91" s="638"/>
    </row>
    <row r="92" spans="5:13">
      <c r="F92" s="638"/>
    </row>
    <row r="93" spans="5:13">
      <c r="F93" s="638"/>
    </row>
    <row r="94" spans="5:13">
      <c r="F94" s="638"/>
    </row>
    <row r="95" spans="5:13">
      <c r="F95" s="638"/>
    </row>
    <row r="96" spans="5:13">
      <c r="F96" s="638"/>
    </row>
  </sheetData>
  <mergeCells count="13">
    <mergeCell ref="N4:N5"/>
    <mergeCell ref="G4:G5"/>
    <mergeCell ref="B2:H2"/>
    <mergeCell ref="G3:H3"/>
    <mergeCell ref="K4:M4"/>
    <mergeCell ref="B4:B5"/>
    <mergeCell ref="C4:C5"/>
    <mergeCell ref="D4:D5"/>
    <mergeCell ref="F4:F5"/>
    <mergeCell ref="E4:E5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3"/>
  <dimension ref="A1:P96"/>
  <sheetViews>
    <sheetView zoomScaleNormal="100" zoomScaleSheetLayoutView="100" workbookViewId="0">
      <selection activeCell="Q14" sqref="Q14"/>
    </sheetView>
  </sheetViews>
  <sheetFormatPr defaultRowHeight="12.75"/>
  <cols>
    <col min="1" max="1" width="9.140625" style="611"/>
    <col min="2" max="2" width="4.7109375" style="9" customWidth="1"/>
    <col min="3" max="3" width="5.140625" style="9" customWidth="1"/>
    <col min="4" max="4" width="5" style="9" customWidth="1"/>
    <col min="5" max="5" width="8.7109375" style="18" customWidth="1"/>
    <col min="6" max="6" width="8.7109375" style="616" customWidth="1"/>
    <col min="7" max="7" width="50.7109375" style="9" customWidth="1"/>
    <col min="8" max="10" width="14.7109375" style="9" customWidth="1"/>
    <col min="11" max="12" width="14.7109375" style="611" customWidth="1"/>
    <col min="13" max="13" width="15.7109375" style="9" customWidth="1"/>
    <col min="14" max="14" width="7.7109375" style="680" customWidth="1"/>
    <col min="15" max="15" width="9.140625" style="9"/>
    <col min="16" max="16" width="9.5703125" style="9" bestFit="1" customWidth="1"/>
    <col min="17" max="16384" width="9.140625" style="9"/>
  </cols>
  <sheetData>
    <row r="1" spans="1:16" ht="13.5" thickBot="1"/>
    <row r="2" spans="1:16" s="126" customFormat="1" ht="20.100000000000001" customHeight="1" thickTop="1" thickBot="1">
      <c r="A2" s="1052"/>
      <c r="B2" s="1261" t="s">
        <v>279</v>
      </c>
      <c r="C2" s="1262"/>
      <c r="D2" s="1262"/>
      <c r="E2" s="1262"/>
      <c r="F2" s="1262"/>
      <c r="G2" s="1262"/>
      <c r="H2" s="1262"/>
      <c r="I2" s="1053"/>
      <c r="J2" s="1053"/>
      <c r="K2" s="1055"/>
      <c r="L2" s="1055"/>
      <c r="M2" s="1055"/>
      <c r="N2" s="1057"/>
    </row>
    <row r="3" spans="1:16" s="1" customFormat="1" ht="8.1" customHeight="1" thickTop="1" thickBot="1">
      <c r="A3" s="608"/>
      <c r="E3" s="2"/>
      <c r="F3" s="609"/>
      <c r="G3" s="1264"/>
      <c r="H3" s="1264"/>
      <c r="I3" s="306"/>
      <c r="J3" s="306"/>
      <c r="K3" s="119"/>
      <c r="L3" s="119"/>
      <c r="M3" s="119"/>
      <c r="N3" s="674"/>
    </row>
    <row r="4" spans="1:16" s="1" customFormat="1" ht="39" customHeight="1">
      <c r="A4" s="608"/>
      <c r="B4" s="1268" t="s">
        <v>78</v>
      </c>
      <c r="C4" s="1280" t="s">
        <v>79</v>
      </c>
      <c r="D4" s="1281" t="s">
        <v>110</v>
      </c>
      <c r="E4" s="1282" t="s">
        <v>615</v>
      </c>
      <c r="F4" s="1273" t="s">
        <v>695</v>
      </c>
      <c r="G4" s="1274" t="s">
        <v>80</v>
      </c>
      <c r="H4" s="1283" t="s">
        <v>614</v>
      </c>
      <c r="I4" s="1284" t="s">
        <v>747</v>
      </c>
      <c r="J4" s="1283" t="s">
        <v>667</v>
      </c>
      <c r="K4" s="1265" t="s">
        <v>682</v>
      </c>
      <c r="L4" s="1266"/>
      <c r="M4" s="1267"/>
      <c r="N4" s="1278" t="s">
        <v>756</v>
      </c>
    </row>
    <row r="5" spans="1:16" s="608" customFormat="1" ht="27" customHeight="1">
      <c r="B5" s="1269"/>
      <c r="C5" s="1271"/>
      <c r="D5" s="1271"/>
      <c r="E5" s="1275"/>
      <c r="F5" s="1271"/>
      <c r="G5" s="1275"/>
      <c r="H5" s="1275"/>
      <c r="I5" s="1275"/>
      <c r="J5" s="1275"/>
      <c r="K5" s="1048" t="s">
        <v>753</v>
      </c>
      <c r="L5" s="1048" t="s">
        <v>754</v>
      </c>
      <c r="M5" s="1059" t="s">
        <v>426</v>
      </c>
      <c r="N5" s="1279"/>
    </row>
    <row r="6" spans="1:16" s="2" customFormat="1" ht="12.95" customHeight="1">
      <c r="A6" s="609"/>
      <c r="B6" s="1181">
        <v>1</v>
      </c>
      <c r="C6" s="661">
        <v>2</v>
      </c>
      <c r="D6" s="661">
        <v>3</v>
      </c>
      <c r="E6" s="661">
        <v>4</v>
      </c>
      <c r="F6" s="661">
        <v>5</v>
      </c>
      <c r="G6" s="661">
        <v>6</v>
      </c>
      <c r="H6" s="661">
        <v>7</v>
      </c>
      <c r="I6" s="661">
        <v>8</v>
      </c>
      <c r="J6" s="661">
        <v>9</v>
      </c>
      <c r="K6" s="661">
        <v>10</v>
      </c>
      <c r="L6" s="661">
        <v>11</v>
      </c>
      <c r="M6" s="1201" t="s">
        <v>755</v>
      </c>
      <c r="N6" s="1183">
        <v>13</v>
      </c>
    </row>
    <row r="7" spans="1:16" s="2" customFormat="1" ht="12.95" customHeight="1">
      <c r="A7" s="609"/>
      <c r="B7" s="93" t="s">
        <v>143</v>
      </c>
      <c r="C7" s="94" t="s">
        <v>132</v>
      </c>
      <c r="D7" s="94" t="s">
        <v>125</v>
      </c>
      <c r="E7" s="5"/>
      <c r="F7" s="610"/>
      <c r="G7" s="5"/>
      <c r="H7" s="5"/>
      <c r="I7" s="5"/>
      <c r="J7" s="5"/>
      <c r="K7" s="610"/>
      <c r="L7" s="610"/>
      <c r="M7" s="1060"/>
      <c r="N7" s="675"/>
    </row>
    <row r="8" spans="1:16" s="1" customFormat="1" ht="12.95" customHeight="1">
      <c r="A8" s="608"/>
      <c r="B8" s="12"/>
      <c r="C8" s="8"/>
      <c r="D8" s="8"/>
      <c r="E8" s="635">
        <v>611000</v>
      </c>
      <c r="F8" s="661"/>
      <c r="G8" s="8" t="s">
        <v>163</v>
      </c>
      <c r="H8" s="256">
        <f>SUM(H9:H12)</f>
        <v>844620</v>
      </c>
      <c r="I8" s="868">
        <v>867180</v>
      </c>
      <c r="J8" s="499">
        <v>631724</v>
      </c>
      <c r="K8" s="256">
        <f>SUM(K9:K12)</f>
        <v>868100</v>
      </c>
      <c r="L8" s="256">
        <f>SUM(L9:L12)</f>
        <v>0</v>
      </c>
      <c r="M8" s="1061">
        <f>SUM(M9:M12)</f>
        <v>868100</v>
      </c>
      <c r="N8" s="676">
        <f>IF(I8=0,"",M8/I8*100)</f>
        <v>100.10609100763395</v>
      </c>
    </row>
    <row r="9" spans="1:16" ht="12.95" customHeight="1">
      <c r="B9" s="10"/>
      <c r="C9" s="11"/>
      <c r="D9" s="11"/>
      <c r="E9" s="636">
        <v>611100</v>
      </c>
      <c r="F9" s="662"/>
      <c r="G9" s="20" t="s">
        <v>204</v>
      </c>
      <c r="H9" s="258">
        <f>658100+0+19750</f>
        <v>677850</v>
      </c>
      <c r="I9" s="869">
        <v>704500</v>
      </c>
      <c r="J9" s="500">
        <v>521642</v>
      </c>
      <c r="K9" s="258">
        <f>703000+1000+2*500</f>
        <v>705000</v>
      </c>
      <c r="L9" s="258">
        <v>0</v>
      </c>
      <c r="M9" s="1062">
        <f>SUM(K9:L9)</f>
        <v>705000</v>
      </c>
      <c r="N9" s="677">
        <f>IF(I9=0,"",M9/I9*100)</f>
        <v>100.07097232079489</v>
      </c>
      <c r="O9" s="56"/>
    </row>
    <row r="10" spans="1:16" ht="12.95" customHeight="1">
      <c r="B10" s="10"/>
      <c r="C10" s="11"/>
      <c r="D10" s="11"/>
      <c r="E10" s="636">
        <v>611200</v>
      </c>
      <c r="F10" s="662"/>
      <c r="G10" s="11" t="s">
        <v>205</v>
      </c>
      <c r="H10" s="258">
        <f>157980+1500+1470+3*840+3300</f>
        <v>166770</v>
      </c>
      <c r="I10" s="869">
        <v>162680</v>
      </c>
      <c r="J10" s="500">
        <v>110082</v>
      </c>
      <c r="K10" s="258">
        <f>159400+1900+2*900</f>
        <v>163100</v>
      </c>
      <c r="L10" s="258">
        <v>0</v>
      </c>
      <c r="M10" s="1062">
        <f t="shared" ref="M10:M11" si="0">SUM(K10:L10)</f>
        <v>163100</v>
      </c>
      <c r="N10" s="677">
        <f t="shared" ref="N10:N35" si="1">IF(I10=0,"",M10/I10*100)</f>
        <v>100.25817555938036</v>
      </c>
    </row>
    <row r="11" spans="1:16" ht="12.95" customHeight="1">
      <c r="B11" s="10"/>
      <c r="C11" s="11"/>
      <c r="D11" s="11"/>
      <c r="E11" s="636">
        <v>611200</v>
      </c>
      <c r="F11" s="662"/>
      <c r="G11" s="229" t="s">
        <v>547</v>
      </c>
      <c r="H11" s="255">
        <v>0</v>
      </c>
      <c r="I11" s="867">
        <v>0</v>
      </c>
      <c r="J11" s="498">
        <v>0</v>
      </c>
      <c r="K11" s="255">
        <v>0</v>
      </c>
      <c r="L11" s="255">
        <v>0</v>
      </c>
      <c r="M11" s="1062">
        <f t="shared" si="0"/>
        <v>0</v>
      </c>
      <c r="N11" s="677" t="str">
        <f t="shared" si="1"/>
        <v/>
      </c>
      <c r="P11" s="63"/>
    </row>
    <row r="12" spans="1:16" ht="12.95" customHeight="1">
      <c r="B12" s="10"/>
      <c r="C12" s="11"/>
      <c r="D12" s="11"/>
      <c r="E12" s="636"/>
      <c r="F12" s="662"/>
      <c r="G12" s="20"/>
      <c r="H12" s="258"/>
      <c r="I12" s="869"/>
      <c r="J12" s="500"/>
      <c r="K12" s="258"/>
      <c r="L12" s="258"/>
      <c r="M12" s="1062"/>
      <c r="N12" s="677" t="str">
        <f t="shared" si="1"/>
        <v/>
      </c>
    </row>
    <row r="13" spans="1:16" s="1" customFormat="1" ht="12.95" customHeight="1">
      <c r="A13" s="608"/>
      <c r="B13" s="12"/>
      <c r="C13" s="8"/>
      <c r="D13" s="8"/>
      <c r="E13" s="635">
        <v>612000</v>
      </c>
      <c r="F13" s="661"/>
      <c r="G13" s="8" t="s">
        <v>162</v>
      </c>
      <c r="H13" s="256">
        <f>H14</f>
        <v>72580</v>
      </c>
      <c r="I13" s="868">
        <v>76400</v>
      </c>
      <c r="J13" s="499">
        <v>56595</v>
      </c>
      <c r="K13" s="256">
        <f>K14</f>
        <v>76640</v>
      </c>
      <c r="L13" s="256">
        <f>L14</f>
        <v>0</v>
      </c>
      <c r="M13" s="1061">
        <f>M14</f>
        <v>76640</v>
      </c>
      <c r="N13" s="676">
        <f t="shared" si="1"/>
        <v>100.31413612565446</v>
      </c>
    </row>
    <row r="14" spans="1:16" ht="12.95" customHeight="1">
      <c r="B14" s="10"/>
      <c r="C14" s="11"/>
      <c r="D14" s="11"/>
      <c r="E14" s="636">
        <v>612100</v>
      </c>
      <c r="F14" s="662"/>
      <c r="G14" s="13" t="s">
        <v>83</v>
      </c>
      <c r="H14" s="258">
        <f>70460+0+2120</f>
        <v>72580</v>
      </c>
      <c r="I14" s="869">
        <v>76400</v>
      </c>
      <c r="J14" s="500">
        <v>56595</v>
      </c>
      <c r="K14" s="258">
        <f>76100+400+2*70</f>
        <v>76640</v>
      </c>
      <c r="L14" s="258">
        <v>0</v>
      </c>
      <c r="M14" s="1062">
        <f>SUM(K14:L14)</f>
        <v>76640</v>
      </c>
      <c r="N14" s="677">
        <f t="shared" si="1"/>
        <v>100.31413612565446</v>
      </c>
    </row>
    <row r="15" spans="1:16" ht="12.95" customHeight="1">
      <c r="B15" s="10"/>
      <c r="C15" s="11"/>
      <c r="D15" s="11"/>
      <c r="E15" s="636"/>
      <c r="F15" s="662"/>
      <c r="G15" s="11"/>
      <c r="H15" s="31"/>
      <c r="I15" s="862"/>
      <c r="J15" s="493"/>
      <c r="K15" s="618"/>
      <c r="L15" s="618"/>
      <c r="M15" s="1063"/>
      <c r="N15" s="677" t="str">
        <f t="shared" si="1"/>
        <v/>
      </c>
    </row>
    <row r="16" spans="1:16" s="1" customFormat="1" ht="12.95" customHeight="1">
      <c r="A16" s="608"/>
      <c r="B16" s="12"/>
      <c r="C16" s="8"/>
      <c r="D16" s="8"/>
      <c r="E16" s="635">
        <v>613000</v>
      </c>
      <c r="F16" s="661"/>
      <c r="G16" s="8" t="s">
        <v>164</v>
      </c>
      <c r="H16" s="35">
        <f>SUM(H17:H27)</f>
        <v>141210</v>
      </c>
      <c r="I16" s="863">
        <v>141160</v>
      </c>
      <c r="J16" s="494">
        <v>102159</v>
      </c>
      <c r="K16" s="620">
        <f>SUM(K17:K27)</f>
        <v>123200</v>
      </c>
      <c r="L16" s="620">
        <f>SUM(L17:L27)</f>
        <v>0</v>
      </c>
      <c r="M16" s="1064">
        <f>SUM(M17:M27)</f>
        <v>123200</v>
      </c>
      <c r="N16" s="676">
        <f t="shared" si="1"/>
        <v>87.276848965712659</v>
      </c>
    </row>
    <row r="17" spans="1:15" ht="12.95" customHeight="1">
      <c r="B17" s="10"/>
      <c r="C17" s="11"/>
      <c r="D17" s="11"/>
      <c r="E17" s="636">
        <v>613100</v>
      </c>
      <c r="F17" s="662"/>
      <c r="G17" s="11" t="s">
        <v>84</v>
      </c>
      <c r="H17" s="88">
        <v>4000</v>
      </c>
      <c r="I17" s="865">
        <v>4000</v>
      </c>
      <c r="J17" s="496">
        <v>3230</v>
      </c>
      <c r="K17" s="984">
        <v>4000</v>
      </c>
      <c r="L17" s="984">
        <v>0</v>
      </c>
      <c r="M17" s="1062">
        <f t="shared" ref="M17:M27" si="2">SUM(K17:L17)</f>
        <v>4000</v>
      </c>
      <c r="N17" s="677">
        <f t="shared" si="1"/>
        <v>100</v>
      </c>
    </row>
    <row r="18" spans="1:15" ht="12.95" customHeight="1">
      <c r="B18" s="10"/>
      <c r="C18" s="11"/>
      <c r="D18" s="11"/>
      <c r="E18" s="636">
        <v>613200</v>
      </c>
      <c r="F18" s="662"/>
      <c r="G18" s="11" t="s">
        <v>85</v>
      </c>
      <c r="H18" s="31">
        <v>50000</v>
      </c>
      <c r="I18" s="862">
        <v>55000</v>
      </c>
      <c r="J18" s="493">
        <v>33968</v>
      </c>
      <c r="K18" s="978">
        <v>55000</v>
      </c>
      <c r="L18" s="978">
        <v>0</v>
      </c>
      <c r="M18" s="1062">
        <f t="shared" si="2"/>
        <v>55000</v>
      </c>
      <c r="N18" s="677">
        <f t="shared" si="1"/>
        <v>100</v>
      </c>
    </row>
    <row r="19" spans="1:15" ht="12.95" customHeight="1">
      <c r="B19" s="10"/>
      <c r="C19" s="11"/>
      <c r="D19" s="11"/>
      <c r="E19" s="636">
        <v>613300</v>
      </c>
      <c r="F19" s="662"/>
      <c r="G19" s="20" t="s">
        <v>206</v>
      </c>
      <c r="H19" s="31">
        <v>7500</v>
      </c>
      <c r="I19" s="862">
        <v>7000</v>
      </c>
      <c r="J19" s="493">
        <v>4739</v>
      </c>
      <c r="K19" s="978">
        <v>7500</v>
      </c>
      <c r="L19" s="978">
        <v>0</v>
      </c>
      <c r="M19" s="1062">
        <f t="shared" si="2"/>
        <v>7500</v>
      </c>
      <c r="N19" s="677">
        <f t="shared" si="1"/>
        <v>107.14285714285714</v>
      </c>
    </row>
    <row r="20" spans="1:15" ht="12.95" customHeight="1">
      <c r="B20" s="10"/>
      <c r="C20" s="11"/>
      <c r="D20" s="11"/>
      <c r="E20" s="636">
        <v>613400</v>
      </c>
      <c r="F20" s="662"/>
      <c r="G20" s="11" t="s">
        <v>165</v>
      </c>
      <c r="H20" s="31">
        <v>17000</v>
      </c>
      <c r="I20" s="862">
        <v>16200</v>
      </c>
      <c r="J20" s="493">
        <v>13155</v>
      </c>
      <c r="K20" s="978">
        <v>16200</v>
      </c>
      <c r="L20" s="978">
        <v>0</v>
      </c>
      <c r="M20" s="1062">
        <f t="shared" si="2"/>
        <v>16200</v>
      </c>
      <c r="N20" s="677">
        <f t="shared" si="1"/>
        <v>100</v>
      </c>
    </row>
    <row r="21" spans="1:15" ht="12.95" customHeight="1">
      <c r="B21" s="10"/>
      <c r="C21" s="11"/>
      <c r="D21" s="11"/>
      <c r="E21" s="636">
        <v>613500</v>
      </c>
      <c r="F21" s="662"/>
      <c r="G21" s="11" t="s">
        <v>86</v>
      </c>
      <c r="H21" s="88">
        <v>3000</v>
      </c>
      <c r="I21" s="865">
        <v>3000</v>
      </c>
      <c r="J21" s="496">
        <v>2373</v>
      </c>
      <c r="K21" s="984">
        <v>3000</v>
      </c>
      <c r="L21" s="984">
        <v>0</v>
      </c>
      <c r="M21" s="1062">
        <f t="shared" si="2"/>
        <v>3000</v>
      </c>
      <c r="N21" s="677">
        <f t="shared" si="1"/>
        <v>100</v>
      </c>
    </row>
    <row r="22" spans="1:15" ht="12.95" customHeight="1">
      <c r="B22" s="10"/>
      <c r="C22" s="11"/>
      <c r="D22" s="11"/>
      <c r="E22" s="636">
        <v>613600</v>
      </c>
      <c r="F22" s="662"/>
      <c r="G22" s="20" t="s">
        <v>207</v>
      </c>
      <c r="H22" s="88">
        <v>0</v>
      </c>
      <c r="I22" s="865">
        <v>0</v>
      </c>
      <c r="J22" s="496">
        <v>0</v>
      </c>
      <c r="K22" s="984">
        <v>0</v>
      </c>
      <c r="L22" s="984">
        <v>0</v>
      </c>
      <c r="M22" s="1062">
        <f t="shared" si="2"/>
        <v>0</v>
      </c>
      <c r="N22" s="677" t="str">
        <f t="shared" si="1"/>
        <v/>
      </c>
    </row>
    <row r="23" spans="1:15" ht="12.95" customHeight="1">
      <c r="B23" s="10"/>
      <c r="C23" s="11"/>
      <c r="D23" s="11"/>
      <c r="E23" s="636">
        <v>613700</v>
      </c>
      <c r="F23" s="662"/>
      <c r="G23" s="11" t="s">
        <v>87</v>
      </c>
      <c r="H23" s="88">
        <v>14000</v>
      </c>
      <c r="I23" s="865">
        <v>14300</v>
      </c>
      <c r="J23" s="496">
        <v>9802</v>
      </c>
      <c r="K23" s="984">
        <v>14000</v>
      </c>
      <c r="L23" s="984">
        <v>0</v>
      </c>
      <c r="M23" s="1062">
        <f t="shared" si="2"/>
        <v>14000</v>
      </c>
      <c r="N23" s="677">
        <f t="shared" si="1"/>
        <v>97.902097902097907</v>
      </c>
    </row>
    <row r="24" spans="1:15" ht="12.95" customHeight="1">
      <c r="B24" s="10"/>
      <c r="C24" s="11"/>
      <c r="D24" s="11"/>
      <c r="E24" s="636">
        <v>613800</v>
      </c>
      <c r="F24" s="662"/>
      <c r="G24" s="11" t="s">
        <v>166</v>
      </c>
      <c r="H24" s="88">
        <v>0</v>
      </c>
      <c r="I24" s="865">
        <v>0</v>
      </c>
      <c r="J24" s="496">
        <v>0</v>
      </c>
      <c r="K24" s="984">
        <v>0</v>
      </c>
      <c r="L24" s="984">
        <v>0</v>
      </c>
      <c r="M24" s="1062">
        <f t="shared" si="2"/>
        <v>0</v>
      </c>
      <c r="N24" s="677" t="str">
        <f t="shared" si="1"/>
        <v/>
      </c>
    </row>
    <row r="25" spans="1:15" ht="12.95" customHeight="1">
      <c r="B25" s="10"/>
      <c r="C25" s="11"/>
      <c r="D25" s="11"/>
      <c r="E25" s="636">
        <v>613900</v>
      </c>
      <c r="F25" s="662"/>
      <c r="G25" s="11" t="s">
        <v>167</v>
      </c>
      <c r="H25" s="275">
        <v>25000</v>
      </c>
      <c r="I25" s="870">
        <v>23500</v>
      </c>
      <c r="J25" s="501">
        <v>16782</v>
      </c>
      <c r="K25" s="870">
        <v>23500</v>
      </c>
      <c r="L25" s="870">
        <v>0</v>
      </c>
      <c r="M25" s="1062">
        <f t="shared" si="2"/>
        <v>23500</v>
      </c>
      <c r="N25" s="677">
        <f t="shared" si="1"/>
        <v>100</v>
      </c>
    </row>
    <row r="26" spans="1:15" ht="12.95" customHeight="1">
      <c r="B26" s="10"/>
      <c r="C26" s="11"/>
      <c r="D26" s="11"/>
      <c r="E26" s="636">
        <v>613900</v>
      </c>
      <c r="F26" s="662"/>
      <c r="G26" s="229" t="s">
        <v>548</v>
      </c>
      <c r="H26" s="113">
        <v>0</v>
      </c>
      <c r="I26" s="866">
        <v>0</v>
      </c>
      <c r="J26" s="497">
        <v>0</v>
      </c>
      <c r="K26" s="911">
        <v>0</v>
      </c>
      <c r="L26" s="911">
        <v>0</v>
      </c>
      <c r="M26" s="1062">
        <f t="shared" si="2"/>
        <v>0</v>
      </c>
      <c r="N26" s="677" t="str">
        <f t="shared" si="1"/>
        <v/>
      </c>
    </row>
    <row r="27" spans="1:15" ht="12.95" customHeight="1">
      <c r="B27" s="10"/>
      <c r="C27" s="11"/>
      <c r="D27" s="11"/>
      <c r="E27" s="636">
        <v>613900</v>
      </c>
      <c r="F27" s="662" t="s">
        <v>735</v>
      </c>
      <c r="G27" s="81" t="s">
        <v>566</v>
      </c>
      <c r="H27" s="88">
        <v>20710</v>
      </c>
      <c r="I27" s="865">
        <v>18160</v>
      </c>
      <c r="J27" s="496">
        <v>18110</v>
      </c>
      <c r="K27" s="984">
        <v>0</v>
      </c>
      <c r="L27" s="984">
        <v>0</v>
      </c>
      <c r="M27" s="1062">
        <f t="shared" si="2"/>
        <v>0</v>
      </c>
      <c r="N27" s="677">
        <f t="shared" si="1"/>
        <v>0</v>
      </c>
    </row>
    <row r="28" spans="1:15" s="1" customFormat="1" ht="12.95" customHeight="1">
      <c r="A28" s="608"/>
      <c r="B28" s="12"/>
      <c r="C28" s="8"/>
      <c r="D28" s="8"/>
      <c r="E28" s="635"/>
      <c r="F28" s="661"/>
      <c r="G28" s="8"/>
      <c r="H28" s="88"/>
      <c r="I28" s="865"/>
      <c r="J28" s="496"/>
      <c r="K28" s="623"/>
      <c r="L28" s="623"/>
      <c r="M28" s="1063"/>
      <c r="N28" s="677" t="str">
        <f t="shared" si="1"/>
        <v/>
      </c>
    </row>
    <row r="29" spans="1:15" s="1" customFormat="1" ht="12.95" customHeight="1">
      <c r="A29" s="608"/>
      <c r="B29" s="12"/>
      <c r="C29" s="8"/>
      <c r="D29" s="8"/>
      <c r="E29" s="635">
        <v>821000</v>
      </c>
      <c r="F29" s="661"/>
      <c r="G29" s="8" t="s">
        <v>90</v>
      </c>
      <c r="H29" s="79">
        <f>SUM(H30:H31)</f>
        <v>15200</v>
      </c>
      <c r="I29" s="864">
        <v>20800</v>
      </c>
      <c r="J29" s="495">
        <v>15194</v>
      </c>
      <c r="K29" s="622">
        <f>SUM(K30:K31)</f>
        <v>10000</v>
      </c>
      <c r="L29" s="622">
        <f>SUM(L30:L31)</f>
        <v>17090</v>
      </c>
      <c r="M29" s="1064">
        <f>SUM(M30:M31)</f>
        <v>27090</v>
      </c>
      <c r="N29" s="676">
        <f t="shared" si="1"/>
        <v>130.24038461538461</v>
      </c>
    </row>
    <row r="30" spans="1:15" ht="12.95" customHeight="1">
      <c r="B30" s="10"/>
      <c r="C30" s="11"/>
      <c r="D30" s="11"/>
      <c r="E30" s="639">
        <v>821200</v>
      </c>
      <c r="F30" s="665"/>
      <c r="G30" s="14" t="s">
        <v>91</v>
      </c>
      <c r="H30" s="88">
        <v>0</v>
      </c>
      <c r="I30" s="865">
        <v>0</v>
      </c>
      <c r="J30" s="496">
        <v>0</v>
      </c>
      <c r="K30" s="623">
        <v>0</v>
      </c>
      <c r="L30" s="623">
        <v>0</v>
      </c>
      <c r="M30" s="1062">
        <f t="shared" ref="M30:M31" si="3">SUM(K30:L30)</f>
        <v>0</v>
      </c>
      <c r="N30" s="677" t="str">
        <f t="shared" si="1"/>
        <v/>
      </c>
      <c r="O30" s="56"/>
    </row>
    <row r="31" spans="1:15" ht="12.95" customHeight="1">
      <c r="B31" s="10"/>
      <c r="C31" s="11"/>
      <c r="D31" s="11"/>
      <c r="E31" s="636">
        <v>821300</v>
      </c>
      <c r="F31" s="662"/>
      <c r="G31" s="11" t="s">
        <v>92</v>
      </c>
      <c r="H31" s="88">
        <f>5000+10200</f>
        <v>15200</v>
      </c>
      <c r="I31" s="865">
        <v>20800</v>
      </c>
      <c r="J31" s="496">
        <v>15194</v>
      </c>
      <c r="K31" s="623">
        <v>10000</v>
      </c>
      <c r="L31" s="623">
        <f>5150+11940</f>
        <v>17090</v>
      </c>
      <c r="M31" s="1062">
        <f t="shared" si="3"/>
        <v>27090</v>
      </c>
      <c r="N31" s="677">
        <f t="shared" si="1"/>
        <v>130.24038461538461</v>
      </c>
    </row>
    <row r="32" spans="1:15" ht="12.95" customHeight="1">
      <c r="B32" s="10"/>
      <c r="C32" s="11"/>
      <c r="D32" s="11"/>
      <c r="E32" s="636"/>
      <c r="F32" s="662"/>
      <c r="G32" s="11"/>
      <c r="H32" s="31"/>
      <c r="I32" s="862"/>
      <c r="J32" s="493"/>
      <c r="K32" s="618"/>
      <c r="L32" s="618"/>
      <c r="M32" s="1063"/>
      <c r="N32" s="677" t="str">
        <f t="shared" si="1"/>
        <v/>
      </c>
    </row>
    <row r="33" spans="1:14" s="1" customFormat="1" ht="12.95" customHeight="1">
      <c r="A33" s="608"/>
      <c r="B33" s="12"/>
      <c r="C33" s="8"/>
      <c r="D33" s="8"/>
      <c r="E33" s="635"/>
      <c r="F33" s="661"/>
      <c r="G33" s="8" t="s">
        <v>93</v>
      </c>
      <c r="H33" s="19" t="s">
        <v>561</v>
      </c>
      <c r="I33" s="861" t="s">
        <v>684</v>
      </c>
      <c r="J33" s="492" t="s">
        <v>684</v>
      </c>
      <c r="K33" s="556" t="s">
        <v>841</v>
      </c>
      <c r="L33" s="556"/>
      <c r="M33" s="1066" t="s">
        <v>841</v>
      </c>
      <c r="N33" s="677"/>
    </row>
    <row r="34" spans="1:14" s="1" customFormat="1" ht="12.95" customHeight="1">
      <c r="A34" s="608"/>
      <c r="B34" s="12"/>
      <c r="C34" s="8"/>
      <c r="D34" s="8"/>
      <c r="E34" s="635"/>
      <c r="F34" s="661"/>
      <c r="G34" s="8" t="s">
        <v>113</v>
      </c>
      <c r="H34" s="15">
        <f>H8+H13+H16+H29</f>
        <v>1073610</v>
      </c>
      <c r="I34" s="15">
        <f>I8+I13+I16+I29</f>
        <v>1105540</v>
      </c>
      <c r="J34" s="15">
        <f t="shared" ref="J34" si="4">J8+J13+J16+J29</f>
        <v>805672</v>
      </c>
      <c r="K34" s="615">
        <f>K8+K13+K16+K29</f>
        <v>1077940</v>
      </c>
      <c r="L34" s="615">
        <f>L8+L13+L16+L29</f>
        <v>17090</v>
      </c>
      <c r="M34" s="1064">
        <f>M8+M13+M16+M29</f>
        <v>1095030</v>
      </c>
      <c r="N34" s="676">
        <f>IF(I34=0,"",M34/I34*100)</f>
        <v>99.049333357454273</v>
      </c>
    </row>
    <row r="35" spans="1:14" s="1" customFormat="1" ht="12.95" customHeight="1">
      <c r="A35" s="608"/>
      <c r="B35" s="12"/>
      <c r="C35" s="8"/>
      <c r="D35" s="8"/>
      <c r="E35" s="635"/>
      <c r="F35" s="661"/>
      <c r="G35" s="8" t="s">
        <v>94</v>
      </c>
      <c r="H35" s="15">
        <f>H34+'22'!H33+'21'!H33</f>
        <v>3757920</v>
      </c>
      <c r="I35" s="15">
        <f>I34+'22'!I33+'21'!I33</f>
        <v>3823000</v>
      </c>
      <c r="J35" s="15">
        <f>J34+'22'!J33+'21'!J33</f>
        <v>2734161</v>
      </c>
      <c r="K35" s="615">
        <f>K34+'22'!K33+'21'!K33</f>
        <v>3830080</v>
      </c>
      <c r="L35" s="615">
        <f>L34+'22'!L33+'21'!L33</f>
        <v>17090</v>
      </c>
      <c r="M35" s="1064">
        <f>M34+'22'!M33+'21'!M33</f>
        <v>3847170</v>
      </c>
      <c r="N35" s="676">
        <f t="shared" si="1"/>
        <v>100.63222600052315</v>
      </c>
    </row>
    <row r="36" spans="1:14" s="1" customFormat="1" ht="12.95" customHeight="1">
      <c r="A36" s="608"/>
      <c r="B36" s="12"/>
      <c r="C36" s="8"/>
      <c r="D36" s="8"/>
      <c r="E36" s="635"/>
      <c r="F36" s="661"/>
      <c r="G36" s="8" t="s">
        <v>95</v>
      </c>
      <c r="H36" s="30"/>
      <c r="I36" s="30"/>
      <c r="J36" s="30"/>
      <c r="K36" s="593"/>
      <c r="L36" s="593"/>
      <c r="M36" s="1063"/>
      <c r="N36" s="678"/>
    </row>
    <row r="37" spans="1:14" ht="12.95" customHeight="1" thickBot="1">
      <c r="B37" s="16"/>
      <c r="C37" s="17"/>
      <c r="D37" s="17"/>
      <c r="E37" s="637"/>
      <c r="F37" s="663"/>
      <c r="G37" s="17"/>
      <c r="H37" s="32"/>
      <c r="I37" s="32"/>
      <c r="J37" s="32"/>
      <c r="K37" s="32"/>
      <c r="L37" s="32"/>
      <c r="M37" s="1067"/>
      <c r="N37" s="679"/>
    </row>
    <row r="38" spans="1:14" ht="12.95" customHeight="1">
      <c r="E38" s="638"/>
      <c r="F38" s="664"/>
      <c r="M38" s="1068"/>
    </row>
    <row r="39" spans="1:14" ht="12.95" customHeight="1">
      <c r="B39" s="56"/>
      <c r="E39" s="638"/>
      <c r="F39" s="664"/>
      <c r="M39" s="1068"/>
    </row>
    <row r="40" spans="1:14" ht="12.95" customHeight="1">
      <c r="B40" s="56"/>
      <c r="E40" s="638"/>
      <c r="F40" s="664"/>
      <c r="M40" s="1068"/>
    </row>
    <row r="41" spans="1:14" ht="12.95" customHeight="1">
      <c r="B41" s="56"/>
      <c r="E41" s="638"/>
      <c r="F41" s="664"/>
      <c r="M41" s="1068"/>
    </row>
    <row r="42" spans="1:14" ht="12.95" customHeight="1">
      <c r="B42" s="56"/>
      <c r="E42" s="638"/>
      <c r="F42" s="664"/>
      <c r="M42" s="1068"/>
    </row>
    <row r="43" spans="1:14" ht="12.95" customHeight="1">
      <c r="B43" s="56"/>
      <c r="E43" s="638"/>
      <c r="F43" s="664"/>
      <c r="M43" s="1068"/>
    </row>
    <row r="44" spans="1:14" ht="12.95" customHeight="1">
      <c r="E44" s="638"/>
      <c r="F44" s="664"/>
      <c r="M44" s="1068"/>
    </row>
    <row r="45" spans="1:14" ht="12.95" customHeight="1">
      <c r="E45" s="638"/>
      <c r="F45" s="664"/>
      <c r="M45" s="1068"/>
    </row>
    <row r="46" spans="1:14" ht="12.95" customHeight="1">
      <c r="E46" s="638"/>
      <c r="F46" s="664"/>
      <c r="M46" s="1068"/>
    </row>
    <row r="47" spans="1:14" ht="12.95" customHeight="1">
      <c r="E47" s="638"/>
      <c r="F47" s="664"/>
      <c r="M47" s="1068"/>
    </row>
    <row r="48" spans="1:14" ht="12.95" customHeight="1">
      <c r="E48" s="638"/>
      <c r="F48" s="664"/>
      <c r="M48" s="1068"/>
    </row>
    <row r="49" spans="5:13" ht="12.95" customHeight="1">
      <c r="E49" s="638"/>
      <c r="F49" s="664"/>
      <c r="M49" s="1068"/>
    </row>
    <row r="50" spans="5:13" ht="12.95" customHeight="1">
      <c r="E50" s="638"/>
      <c r="F50" s="664"/>
      <c r="M50" s="1068"/>
    </row>
    <row r="51" spans="5:13" ht="12.95" customHeight="1">
      <c r="E51" s="638"/>
      <c r="F51" s="664"/>
      <c r="M51" s="1068"/>
    </row>
    <row r="52" spans="5:13" ht="12.95" customHeight="1">
      <c r="E52" s="638"/>
      <c r="F52" s="664"/>
      <c r="M52" s="1068"/>
    </row>
    <row r="53" spans="5:13" ht="12.95" customHeight="1">
      <c r="E53" s="638"/>
      <c r="F53" s="664"/>
      <c r="M53" s="1068"/>
    </row>
    <row r="54" spans="5:13" ht="12.95" customHeight="1">
      <c r="E54" s="638"/>
      <c r="F54" s="664"/>
      <c r="M54" s="1068"/>
    </row>
    <row r="55" spans="5:13" ht="12.95" customHeight="1">
      <c r="E55" s="638"/>
      <c r="F55" s="664"/>
      <c r="M55" s="1068"/>
    </row>
    <row r="56" spans="5:13" ht="12.95" customHeight="1">
      <c r="E56" s="638"/>
      <c r="F56" s="664"/>
      <c r="M56" s="1068"/>
    </row>
    <row r="57" spans="5:13" ht="12.95" customHeight="1">
      <c r="E57" s="638"/>
      <c r="F57" s="664"/>
      <c r="M57" s="1068"/>
    </row>
    <row r="58" spans="5:13" ht="12.95" customHeight="1">
      <c r="E58" s="638"/>
      <c r="F58" s="664"/>
      <c r="M58" s="1068"/>
    </row>
    <row r="59" spans="5:13" ht="12.95" customHeight="1">
      <c r="E59" s="638"/>
      <c r="F59" s="664"/>
      <c r="M59" s="1068"/>
    </row>
    <row r="60" spans="5:13" ht="17.100000000000001" customHeight="1">
      <c r="E60" s="638"/>
      <c r="F60" s="664"/>
      <c r="M60" s="1068"/>
    </row>
    <row r="61" spans="5:13" ht="14.25">
      <c r="E61" s="638"/>
      <c r="F61" s="664"/>
      <c r="M61" s="1068"/>
    </row>
    <row r="62" spans="5:13" ht="14.25">
      <c r="E62" s="638"/>
      <c r="F62" s="664"/>
      <c r="M62" s="1068"/>
    </row>
    <row r="63" spans="5:13" ht="14.25">
      <c r="E63" s="638"/>
      <c r="F63" s="664"/>
      <c r="M63" s="1068"/>
    </row>
    <row r="64" spans="5:13" ht="14.25">
      <c r="E64" s="638"/>
      <c r="F64" s="664"/>
      <c r="M64" s="1068"/>
    </row>
    <row r="65" spans="5:13" ht="14.25">
      <c r="E65" s="638"/>
      <c r="F65" s="664"/>
      <c r="M65" s="1068"/>
    </row>
    <row r="66" spans="5:13" ht="14.25">
      <c r="E66" s="638"/>
      <c r="F66" s="664"/>
      <c r="M66" s="1068"/>
    </row>
    <row r="67" spans="5:13" ht="14.25">
      <c r="E67" s="638"/>
      <c r="F67" s="664"/>
      <c r="M67" s="1068"/>
    </row>
    <row r="68" spans="5:13" ht="14.25">
      <c r="E68" s="638"/>
      <c r="F68" s="664"/>
      <c r="M68" s="1068"/>
    </row>
    <row r="69" spans="5:13" ht="14.25">
      <c r="E69" s="638"/>
      <c r="F69" s="664"/>
      <c r="M69" s="1068"/>
    </row>
    <row r="70" spans="5:13" ht="14.25">
      <c r="E70" s="638"/>
      <c r="F70" s="664"/>
      <c r="M70" s="1068"/>
    </row>
    <row r="71" spans="5:13" ht="14.25">
      <c r="E71" s="638"/>
      <c r="F71" s="664"/>
      <c r="M71" s="1068"/>
    </row>
    <row r="72" spans="5:13" ht="14.25">
      <c r="E72" s="638"/>
      <c r="F72" s="664"/>
      <c r="M72" s="1068"/>
    </row>
    <row r="73" spans="5:13" ht="14.25">
      <c r="E73" s="638"/>
      <c r="F73" s="664"/>
      <c r="M73" s="1068"/>
    </row>
    <row r="74" spans="5:13" ht="14.25">
      <c r="E74" s="638"/>
      <c r="F74" s="638"/>
      <c r="M74" s="1068"/>
    </row>
    <row r="75" spans="5:13" ht="14.25">
      <c r="E75" s="638"/>
      <c r="F75" s="638"/>
      <c r="M75" s="1068"/>
    </row>
    <row r="76" spans="5:13" ht="14.25">
      <c r="E76" s="638"/>
      <c r="F76" s="638"/>
      <c r="M76" s="1068"/>
    </row>
    <row r="77" spans="5:13" ht="14.25">
      <c r="E77" s="638"/>
      <c r="F77" s="638"/>
      <c r="M77" s="1068"/>
    </row>
    <row r="78" spans="5:13" ht="14.25">
      <c r="E78" s="638"/>
      <c r="F78" s="638"/>
      <c r="M78" s="1068"/>
    </row>
    <row r="79" spans="5:13" ht="14.25">
      <c r="E79" s="638"/>
      <c r="F79" s="638"/>
      <c r="M79" s="1068"/>
    </row>
    <row r="80" spans="5:13" ht="14.25">
      <c r="E80" s="638"/>
      <c r="F80" s="638"/>
      <c r="M80" s="1068"/>
    </row>
    <row r="81" spans="5:13" ht="14.25">
      <c r="E81" s="638"/>
      <c r="F81" s="638"/>
      <c r="M81" s="1068"/>
    </row>
    <row r="82" spans="5:13" ht="14.25">
      <c r="E82" s="638"/>
      <c r="F82" s="638"/>
      <c r="M82" s="1068"/>
    </row>
    <row r="83" spans="5:13" ht="14.25">
      <c r="E83" s="638"/>
      <c r="F83" s="638"/>
      <c r="M83" s="1068"/>
    </row>
    <row r="84" spans="5:13" ht="14.25">
      <c r="E84" s="638"/>
      <c r="F84" s="638"/>
      <c r="M84" s="1068"/>
    </row>
    <row r="85" spans="5:13" ht="14.25">
      <c r="E85" s="638"/>
      <c r="F85" s="638"/>
      <c r="M85" s="1068"/>
    </row>
    <row r="86" spans="5:13" ht="14.25">
      <c r="E86" s="638"/>
      <c r="F86" s="638"/>
      <c r="M86" s="1068"/>
    </row>
    <row r="87" spans="5:13" ht="14.25">
      <c r="E87" s="638"/>
      <c r="F87" s="638"/>
      <c r="M87" s="1068"/>
    </row>
    <row r="88" spans="5:13" ht="14.25">
      <c r="E88" s="638"/>
      <c r="F88" s="638"/>
      <c r="M88" s="1068"/>
    </row>
    <row r="89" spans="5:13" ht="14.25">
      <c r="E89" s="638"/>
      <c r="F89" s="638"/>
      <c r="M89" s="1068"/>
    </row>
    <row r="90" spans="5:13" ht="14.25">
      <c r="E90" s="638"/>
      <c r="F90" s="638"/>
      <c r="M90" s="1068"/>
    </row>
    <row r="91" spans="5:13">
      <c r="F91" s="638"/>
    </row>
    <row r="92" spans="5:13">
      <c r="F92" s="638"/>
    </row>
    <row r="93" spans="5:13">
      <c r="F93" s="638"/>
    </row>
    <row r="94" spans="5:13">
      <c r="F94" s="638"/>
    </row>
    <row r="95" spans="5:13">
      <c r="F95" s="638"/>
    </row>
    <row r="96" spans="5:13">
      <c r="F96" s="638"/>
    </row>
  </sheetData>
  <mergeCells count="13">
    <mergeCell ref="N4:N5"/>
    <mergeCell ref="G4:G5"/>
    <mergeCell ref="B2:H2"/>
    <mergeCell ref="G3:H3"/>
    <mergeCell ref="K4:M4"/>
    <mergeCell ref="B4:B5"/>
    <mergeCell ref="C4:C5"/>
    <mergeCell ref="D4:D5"/>
    <mergeCell ref="F4:F5"/>
    <mergeCell ref="E4:E5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6"/>
  <dimension ref="A1:P96"/>
  <sheetViews>
    <sheetView zoomScaleNormal="100" zoomScaleSheetLayoutView="100" workbookViewId="0">
      <selection activeCell="Q14" sqref="Q14"/>
    </sheetView>
  </sheetViews>
  <sheetFormatPr defaultRowHeight="12.75"/>
  <cols>
    <col min="1" max="1" width="9.140625" style="611"/>
    <col min="2" max="2" width="4.7109375" style="9" customWidth="1"/>
    <col min="3" max="3" width="5.140625" style="9" customWidth="1"/>
    <col min="4" max="4" width="5" style="9" customWidth="1"/>
    <col min="5" max="5" width="8.7109375" style="18" customWidth="1"/>
    <col min="6" max="6" width="8.7109375" style="616" customWidth="1"/>
    <col min="7" max="7" width="50.7109375" style="9" customWidth="1"/>
    <col min="8" max="12" width="14.7109375" style="64" customWidth="1"/>
    <col min="13" max="13" width="15.7109375" style="64" customWidth="1"/>
    <col min="14" max="14" width="7.7109375" style="680" customWidth="1"/>
    <col min="15" max="16384" width="9.140625" style="9"/>
  </cols>
  <sheetData>
    <row r="1" spans="1:16" ht="13.5" thickBot="1"/>
    <row r="2" spans="1:16" s="126" customFormat="1" ht="20.100000000000001" customHeight="1" thickTop="1" thickBot="1">
      <c r="A2" s="1052"/>
      <c r="B2" s="1261" t="s">
        <v>144</v>
      </c>
      <c r="C2" s="1262"/>
      <c r="D2" s="1262"/>
      <c r="E2" s="1262"/>
      <c r="F2" s="1262"/>
      <c r="G2" s="1262"/>
      <c r="H2" s="1262"/>
      <c r="I2" s="1053"/>
      <c r="J2" s="1053"/>
      <c r="K2" s="1054"/>
      <c r="L2" s="1054"/>
      <c r="M2" s="1054"/>
      <c r="N2" s="1057"/>
    </row>
    <row r="3" spans="1:16" s="1" customFormat="1" ht="8.1" customHeight="1" thickTop="1" thickBot="1">
      <c r="A3" s="608"/>
      <c r="E3" s="2"/>
      <c r="F3" s="609"/>
      <c r="G3" s="1264"/>
      <c r="H3" s="1264"/>
      <c r="I3" s="306"/>
      <c r="J3" s="306"/>
      <c r="K3" s="119"/>
      <c r="L3" s="119"/>
      <c r="M3" s="119"/>
      <c r="N3" s="674"/>
    </row>
    <row r="4" spans="1:16" s="1" customFormat="1" ht="39" customHeight="1">
      <c r="A4" s="608"/>
      <c r="B4" s="1268" t="s">
        <v>78</v>
      </c>
      <c r="C4" s="1280" t="s">
        <v>79</v>
      </c>
      <c r="D4" s="1281" t="s">
        <v>110</v>
      </c>
      <c r="E4" s="1282" t="s">
        <v>615</v>
      </c>
      <c r="F4" s="1273" t="s">
        <v>695</v>
      </c>
      <c r="G4" s="1274" t="s">
        <v>80</v>
      </c>
      <c r="H4" s="1283" t="s">
        <v>614</v>
      </c>
      <c r="I4" s="1284" t="s">
        <v>747</v>
      </c>
      <c r="J4" s="1283" t="s">
        <v>667</v>
      </c>
      <c r="K4" s="1265" t="s">
        <v>682</v>
      </c>
      <c r="L4" s="1266"/>
      <c r="M4" s="1267"/>
      <c r="N4" s="1278" t="s">
        <v>756</v>
      </c>
    </row>
    <row r="5" spans="1:16" s="608" customFormat="1" ht="27" customHeight="1">
      <c r="B5" s="1269"/>
      <c r="C5" s="1271"/>
      <c r="D5" s="1271"/>
      <c r="E5" s="1275"/>
      <c r="F5" s="1271"/>
      <c r="G5" s="1275"/>
      <c r="H5" s="1275"/>
      <c r="I5" s="1275"/>
      <c r="J5" s="1275"/>
      <c r="K5" s="1048" t="s">
        <v>753</v>
      </c>
      <c r="L5" s="1048" t="s">
        <v>754</v>
      </c>
      <c r="M5" s="1059" t="s">
        <v>426</v>
      </c>
      <c r="N5" s="1279"/>
    </row>
    <row r="6" spans="1:16" s="2" customFormat="1" ht="12.95" customHeight="1">
      <c r="A6" s="609"/>
      <c r="B6" s="1181">
        <v>1</v>
      </c>
      <c r="C6" s="661">
        <v>2</v>
      </c>
      <c r="D6" s="661">
        <v>3</v>
      </c>
      <c r="E6" s="661">
        <v>4</v>
      </c>
      <c r="F6" s="661">
        <v>5</v>
      </c>
      <c r="G6" s="661">
        <v>6</v>
      </c>
      <c r="H6" s="661">
        <v>7</v>
      </c>
      <c r="I6" s="661">
        <v>8</v>
      </c>
      <c r="J6" s="661">
        <v>9</v>
      </c>
      <c r="K6" s="661">
        <v>10</v>
      </c>
      <c r="L6" s="661">
        <v>11</v>
      </c>
      <c r="M6" s="1201" t="s">
        <v>755</v>
      </c>
      <c r="N6" s="1183">
        <v>13</v>
      </c>
    </row>
    <row r="7" spans="1:16" s="2" customFormat="1" ht="12.95" customHeight="1">
      <c r="A7" s="609"/>
      <c r="B7" s="6" t="s">
        <v>143</v>
      </c>
      <c r="C7" s="7" t="s">
        <v>145</v>
      </c>
      <c r="D7" s="7" t="s">
        <v>82</v>
      </c>
      <c r="E7" s="5"/>
      <c r="F7" s="610"/>
      <c r="G7" s="5"/>
      <c r="H7" s="110"/>
      <c r="I7" s="110"/>
      <c r="J7" s="110"/>
      <c r="K7" s="110"/>
      <c r="L7" s="110"/>
      <c r="M7" s="1069"/>
      <c r="N7" s="675"/>
    </row>
    <row r="8" spans="1:16" s="1" customFormat="1" ht="12.95" customHeight="1">
      <c r="A8" s="608"/>
      <c r="B8" s="12"/>
      <c r="C8" s="8"/>
      <c r="D8" s="8"/>
      <c r="E8" s="635">
        <v>611000</v>
      </c>
      <c r="F8" s="661"/>
      <c r="G8" s="8" t="s">
        <v>163</v>
      </c>
      <c r="H8" s="256">
        <f>SUM(H9:H12)</f>
        <v>1050680</v>
      </c>
      <c r="I8" s="877">
        <v>1023070</v>
      </c>
      <c r="J8" s="508">
        <v>744871</v>
      </c>
      <c r="K8" s="256">
        <f>SUM(K9:K12)</f>
        <v>1014600</v>
      </c>
      <c r="L8" s="256">
        <f>SUM(L9:L12)</f>
        <v>0</v>
      </c>
      <c r="M8" s="1061">
        <f>SUM(M9:M12)</f>
        <v>1014600</v>
      </c>
      <c r="N8" s="676">
        <f>IF(I8=0,"",M8/I8*100)</f>
        <v>99.17209966082477</v>
      </c>
    </row>
    <row r="9" spans="1:16" ht="12.95" customHeight="1">
      <c r="B9" s="10"/>
      <c r="C9" s="11"/>
      <c r="D9" s="11"/>
      <c r="E9" s="636">
        <v>611100</v>
      </c>
      <c r="F9" s="662"/>
      <c r="G9" s="20" t="s">
        <v>204</v>
      </c>
      <c r="H9" s="258">
        <f>817970+3000+4000+16600+7000+24540+500</f>
        <v>873610</v>
      </c>
      <c r="I9" s="878">
        <v>842600</v>
      </c>
      <c r="J9" s="509">
        <v>623029</v>
      </c>
      <c r="K9" s="258">
        <f>832000+2000+5*500</f>
        <v>836500</v>
      </c>
      <c r="L9" s="258">
        <v>0</v>
      </c>
      <c r="M9" s="1062">
        <f>SUM(K9:L9)</f>
        <v>836500</v>
      </c>
      <c r="N9" s="677">
        <f>IF(I9=0,"",M9/I9*100)</f>
        <v>99.276050320436752</v>
      </c>
      <c r="O9" s="78"/>
    </row>
    <row r="10" spans="1:16" ht="12.95" customHeight="1">
      <c r="B10" s="10"/>
      <c r="C10" s="11"/>
      <c r="D10" s="11"/>
      <c r="E10" s="636">
        <v>611200</v>
      </c>
      <c r="F10" s="662"/>
      <c r="G10" s="11" t="s">
        <v>205</v>
      </c>
      <c r="H10" s="258">
        <f>162680+3500+3*840+1470+2500+3000+1400</f>
        <v>177070</v>
      </c>
      <c r="I10" s="878">
        <v>180470</v>
      </c>
      <c r="J10" s="509">
        <v>121842</v>
      </c>
      <c r="K10" s="258">
        <f>164500+2100+7000+5*900</f>
        <v>178100</v>
      </c>
      <c r="L10" s="258">
        <v>0</v>
      </c>
      <c r="M10" s="1062">
        <f t="shared" ref="M10:M11" si="0">SUM(K10:L10)</f>
        <v>178100</v>
      </c>
      <c r="N10" s="677">
        <f t="shared" ref="N10:N35" si="1">IF(I10=0,"",M10/I10*100)</f>
        <v>98.686762342771644</v>
      </c>
    </row>
    <row r="11" spans="1:16" ht="12.95" customHeight="1">
      <c r="B11" s="10"/>
      <c r="C11" s="11"/>
      <c r="D11" s="11"/>
      <c r="E11" s="636">
        <v>611200</v>
      </c>
      <c r="F11" s="662"/>
      <c r="G11" s="229" t="s">
        <v>547</v>
      </c>
      <c r="H11" s="255">
        <v>0</v>
      </c>
      <c r="I11" s="876">
        <v>0</v>
      </c>
      <c r="J11" s="507">
        <v>0</v>
      </c>
      <c r="K11" s="255">
        <v>0</v>
      </c>
      <c r="L11" s="255">
        <v>0</v>
      </c>
      <c r="M11" s="1062">
        <f t="shared" si="0"/>
        <v>0</v>
      </c>
      <c r="N11" s="677" t="str">
        <f t="shared" si="1"/>
        <v/>
      </c>
      <c r="P11" s="63"/>
    </row>
    <row r="12" spans="1:16" ht="12.95" customHeight="1">
      <c r="B12" s="10"/>
      <c r="C12" s="11"/>
      <c r="D12" s="11"/>
      <c r="E12" s="636"/>
      <c r="F12" s="662"/>
      <c r="G12" s="20"/>
      <c r="H12" s="258"/>
      <c r="I12" s="878"/>
      <c r="J12" s="509"/>
      <c r="K12" s="258"/>
      <c r="L12" s="258"/>
      <c r="M12" s="1062"/>
      <c r="N12" s="677" t="str">
        <f t="shared" si="1"/>
        <v/>
      </c>
    </row>
    <row r="13" spans="1:16" s="1" customFormat="1" ht="12.95" customHeight="1">
      <c r="A13" s="608"/>
      <c r="B13" s="12"/>
      <c r="C13" s="8"/>
      <c r="D13" s="8"/>
      <c r="E13" s="635">
        <v>612000</v>
      </c>
      <c r="F13" s="661"/>
      <c r="G13" s="8" t="s">
        <v>162</v>
      </c>
      <c r="H13" s="256">
        <f>H14</f>
        <v>93510</v>
      </c>
      <c r="I13" s="877">
        <v>92900</v>
      </c>
      <c r="J13" s="508">
        <v>68456</v>
      </c>
      <c r="K13" s="256">
        <f>K14</f>
        <v>91450</v>
      </c>
      <c r="L13" s="256">
        <f>L14</f>
        <v>0</v>
      </c>
      <c r="M13" s="1061">
        <f>M14</f>
        <v>91450</v>
      </c>
      <c r="N13" s="676">
        <f t="shared" si="1"/>
        <v>98.439181916038748</v>
      </c>
    </row>
    <row r="14" spans="1:16" ht="12.95" customHeight="1">
      <c r="B14" s="10"/>
      <c r="C14" s="11"/>
      <c r="D14" s="11"/>
      <c r="E14" s="636">
        <v>612100</v>
      </c>
      <c r="F14" s="662"/>
      <c r="G14" s="13" t="s">
        <v>83</v>
      </c>
      <c r="H14" s="258">
        <f>87520+700+1830+770+2630+60</f>
        <v>93510</v>
      </c>
      <c r="I14" s="878">
        <v>92900</v>
      </c>
      <c r="J14" s="509">
        <v>68456</v>
      </c>
      <c r="K14" s="258">
        <f>90700+400+5*70</f>
        <v>91450</v>
      </c>
      <c r="L14" s="258">
        <v>0</v>
      </c>
      <c r="M14" s="1062">
        <f>SUM(K14:L14)</f>
        <v>91450</v>
      </c>
      <c r="N14" s="677">
        <f t="shared" si="1"/>
        <v>98.439181916038748</v>
      </c>
    </row>
    <row r="15" spans="1:16" ht="12.95" customHeight="1">
      <c r="B15" s="10"/>
      <c r="C15" s="11"/>
      <c r="D15" s="11"/>
      <c r="E15" s="636"/>
      <c r="F15" s="662"/>
      <c r="G15" s="11"/>
      <c r="H15" s="31"/>
      <c r="I15" s="872"/>
      <c r="J15" s="503"/>
      <c r="K15" s="618"/>
      <c r="L15" s="618"/>
      <c r="M15" s="1063"/>
      <c r="N15" s="677" t="str">
        <f t="shared" si="1"/>
        <v/>
      </c>
    </row>
    <row r="16" spans="1:16" s="1" customFormat="1" ht="12.95" customHeight="1">
      <c r="A16" s="608"/>
      <c r="B16" s="12"/>
      <c r="C16" s="8"/>
      <c r="D16" s="8"/>
      <c r="E16" s="635">
        <v>613000</v>
      </c>
      <c r="F16" s="661"/>
      <c r="G16" s="8" t="s">
        <v>164</v>
      </c>
      <c r="H16" s="35">
        <f>SUM(H17:H26)</f>
        <v>100500</v>
      </c>
      <c r="I16" s="873">
        <v>87400</v>
      </c>
      <c r="J16" s="504">
        <v>54039</v>
      </c>
      <c r="K16" s="620">
        <f>SUM(K17:K26)</f>
        <v>92400</v>
      </c>
      <c r="L16" s="620">
        <f>SUM(L17:L26)</f>
        <v>0</v>
      </c>
      <c r="M16" s="1064">
        <f>SUM(M17:M26)</f>
        <v>92400</v>
      </c>
      <c r="N16" s="676">
        <f t="shared" si="1"/>
        <v>105.72082379862699</v>
      </c>
    </row>
    <row r="17" spans="1:14" ht="12.95" customHeight="1">
      <c r="B17" s="10"/>
      <c r="C17" s="11"/>
      <c r="D17" s="11"/>
      <c r="E17" s="636">
        <v>613100</v>
      </c>
      <c r="F17" s="662"/>
      <c r="G17" s="11" t="s">
        <v>84</v>
      </c>
      <c r="H17" s="88">
        <v>5000</v>
      </c>
      <c r="I17" s="875">
        <v>5000</v>
      </c>
      <c r="J17" s="506">
        <v>3553</v>
      </c>
      <c r="K17" s="984">
        <v>5000</v>
      </c>
      <c r="L17" s="984">
        <v>0</v>
      </c>
      <c r="M17" s="1062">
        <f t="shared" ref="M17:M26" si="2">SUM(K17:L17)</f>
        <v>5000</v>
      </c>
      <c r="N17" s="677">
        <f t="shared" si="1"/>
        <v>100</v>
      </c>
    </row>
    <row r="18" spans="1:14" ht="12.95" customHeight="1">
      <c r="B18" s="10"/>
      <c r="C18" s="11"/>
      <c r="D18" s="11"/>
      <c r="E18" s="636">
        <v>613200</v>
      </c>
      <c r="F18" s="662"/>
      <c r="G18" s="11" t="s">
        <v>85</v>
      </c>
      <c r="H18" s="88">
        <v>30000</v>
      </c>
      <c r="I18" s="875">
        <v>32000</v>
      </c>
      <c r="J18" s="506">
        <v>18040</v>
      </c>
      <c r="K18" s="984">
        <v>32000</v>
      </c>
      <c r="L18" s="984">
        <v>0</v>
      </c>
      <c r="M18" s="1062">
        <f t="shared" si="2"/>
        <v>32000</v>
      </c>
      <c r="N18" s="677">
        <f t="shared" si="1"/>
        <v>100</v>
      </c>
    </row>
    <row r="19" spans="1:14" ht="12.95" customHeight="1">
      <c r="B19" s="10"/>
      <c r="C19" s="11"/>
      <c r="D19" s="11"/>
      <c r="E19" s="636">
        <v>613300</v>
      </c>
      <c r="F19" s="662"/>
      <c r="G19" s="20" t="s">
        <v>206</v>
      </c>
      <c r="H19" s="88">
        <v>6000</v>
      </c>
      <c r="I19" s="875">
        <v>5200</v>
      </c>
      <c r="J19" s="506">
        <v>2883</v>
      </c>
      <c r="K19" s="984">
        <v>5200</v>
      </c>
      <c r="L19" s="984">
        <v>0</v>
      </c>
      <c r="M19" s="1062">
        <f t="shared" si="2"/>
        <v>5200</v>
      </c>
      <c r="N19" s="677">
        <f t="shared" si="1"/>
        <v>100</v>
      </c>
    </row>
    <row r="20" spans="1:14" ht="12.95" customHeight="1">
      <c r="B20" s="10"/>
      <c r="C20" s="11"/>
      <c r="D20" s="11"/>
      <c r="E20" s="636">
        <v>613400</v>
      </c>
      <c r="F20" s="662"/>
      <c r="G20" s="11" t="s">
        <v>165</v>
      </c>
      <c r="H20" s="88">
        <v>12000</v>
      </c>
      <c r="I20" s="875">
        <v>13000</v>
      </c>
      <c r="J20" s="506">
        <v>9176</v>
      </c>
      <c r="K20" s="984">
        <v>12000</v>
      </c>
      <c r="L20" s="984">
        <v>0</v>
      </c>
      <c r="M20" s="1062">
        <f t="shared" si="2"/>
        <v>12000</v>
      </c>
      <c r="N20" s="677">
        <f t="shared" si="1"/>
        <v>92.307692307692307</v>
      </c>
    </row>
    <row r="21" spans="1:14" ht="12.95" customHeight="1">
      <c r="B21" s="10"/>
      <c r="C21" s="11"/>
      <c r="D21" s="11"/>
      <c r="E21" s="636">
        <v>613500</v>
      </c>
      <c r="F21" s="662"/>
      <c r="G21" s="11" t="s">
        <v>86</v>
      </c>
      <c r="H21" s="88">
        <v>500</v>
      </c>
      <c r="I21" s="875">
        <v>200</v>
      </c>
      <c r="J21" s="506">
        <v>96</v>
      </c>
      <c r="K21" s="984">
        <v>200</v>
      </c>
      <c r="L21" s="984">
        <v>0</v>
      </c>
      <c r="M21" s="1062">
        <f t="shared" si="2"/>
        <v>200</v>
      </c>
      <c r="N21" s="677">
        <f t="shared" si="1"/>
        <v>100</v>
      </c>
    </row>
    <row r="22" spans="1:14" ht="12.95" customHeight="1">
      <c r="B22" s="10"/>
      <c r="C22" s="11"/>
      <c r="D22" s="11"/>
      <c r="E22" s="636">
        <v>613600</v>
      </c>
      <c r="F22" s="662"/>
      <c r="G22" s="20" t="s">
        <v>207</v>
      </c>
      <c r="H22" s="88">
        <v>0</v>
      </c>
      <c r="I22" s="875">
        <v>0</v>
      </c>
      <c r="J22" s="506">
        <v>0</v>
      </c>
      <c r="K22" s="984">
        <v>0</v>
      </c>
      <c r="L22" s="984">
        <v>0</v>
      </c>
      <c r="M22" s="1062">
        <f t="shared" si="2"/>
        <v>0</v>
      </c>
      <c r="N22" s="677" t="str">
        <f t="shared" si="1"/>
        <v/>
      </c>
    </row>
    <row r="23" spans="1:14" ht="12.95" customHeight="1">
      <c r="B23" s="10"/>
      <c r="C23" s="11"/>
      <c r="D23" s="11"/>
      <c r="E23" s="636">
        <v>613700</v>
      </c>
      <c r="F23" s="662"/>
      <c r="G23" s="11" t="s">
        <v>87</v>
      </c>
      <c r="H23" s="88">
        <v>11000</v>
      </c>
      <c r="I23" s="875">
        <v>5000</v>
      </c>
      <c r="J23" s="506">
        <v>1064</v>
      </c>
      <c r="K23" s="984">
        <v>8000</v>
      </c>
      <c r="L23" s="984">
        <v>0</v>
      </c>
      <c r="M23" s="1062">
        <f t="shared" si="2"/>
        <v>8000</v>
      </c>
      <c r="N23" s="677">
        <f t="shared" si="1"/>
        <v>160</v>
      </c>
    </row>
    <row r="24" spans="1:14" ht="12.95" customHeight="1">
      <c r="B24" s="10"/>
      <c r="C24" s="11"/>
      <c r="D24" s="11"/>
      <c r="E24" s="636">
        <v>613800</v>
      </c>
      <c r="F24" s="662"/>
      <c r="G24" s="11" t="s">
        <v>166</v>
      </c>
      <c r="H24" s="88">
        <v>0</v>
      </c>
      <c r="I24" s="875">
        <v>0</v>
      </c>
      <c r="J24" s="506">
        <v>0</v>
      </c>
      <c r="K24" s="984">
        <v>0</v>
      </c>
      <c r="L24" s="984">
        <v>0</v>
      </c>
      <c r="M24" s="1062">
        <f t="shared" si="2"/>
        <v>0</v>
      </c>
      <c r="N24" s="677" t="str">
        <f t="shared" si="1"/>
        <v/>
      </c>
    </row>
    <row r="25" spans="1:14" ht="12.95" customHeight="1">
      <c r="B25" s="10"/>
      <c r="C25" s="11"/>
      <c r="D25" s="11"/>
      <c r="E25" s="636">
        <v>613900</v>
      </c>
      <c r="F25" s="662"/>
      <c r="G25" s="11" t="s">
        <v>167</v>
      </c>
      <c r="H25" s="88">
        <v>36000</v>
      </c>
      <c r="I25" s="875">
        <v>27000</v>
      </c>
      <c r="J25" s="506">
        <v>19227</v>
      </c>
      <c r="K25" s="984">
        <v>30000</v>
      </c>
      <c r="L25" s="984">
        <v>0</v>
      </c>
      <c r="M25" s="1062">
        <f t="shared" si="2"/>
        <v>30000</v>
      </c>
      <c r="N25" s="677">
        <f t="shared" si="1"/>
        <v>111.11111111111111</v>
      </c>
    </row>
    <row r="26" spans="1:14" ht="12.95" customHeight="1">
      <c r="B26" s="10"/>
      <c r="C26" s="11"/>
      <c r="D26" s="11"/>
      <c r="E26" s="636">
        <v>613900</v>
      </c>
      <c r="F26" s="662"/>
      <c r="G26" s="229" t="s">
        <v>548</v>
      </c>
      <c r="H26" s="88">
        <v>0</v>
      </c>
      <c r="I26" s="875">
        <v>0</v>
      </c>
      <c r="J26" s="506">
        <v>0</v>
      </c>
      <c r="K26" s="984">
        <v>0</v>
      </c>
      <c r="L26" s="984">
        <v>0</v>
      </c>
      <c r="M26" s="1062">
        <f t="shared" si="2"/>
        <v>0</v>
      </c>
      <c r="N26" s="677" t="str">
        <f t="shared" si="1"/>
        <v/>
      </c>
    </row>
    <row r="27" spans="1:14" s="1" customFormat="1" ht="12.95" customHeight="1">
      <c r="A27" s="608"/>
      <c r="B27" s="12"/>
      <c r="C27" s="8"/>
      <c r="D27" s="8"/>
      <c r="E27" s="635"/>
      <c r="F27" s="661"/>
      <c r="G27" s="8"/>
      <c r="H27" s="88"/>
      <c r="I27" s="875"/>
      <c r="J27" s="506"/>
      <c r="K27" s="984"/>
      <c r="L27" s="984"/>
      <c r="M27" s="1065"/>
      <c r="N27" s="677" t="str">
        <f t="shared" si="1"/>
        <v/>
      </c>
    </row>
    <row r="28" spans="1:14" s="1" customFormat="1" ht="12.95" customHeight="1">
      <c r="A28" s="608"/>
      <c r="B28" s="12"/>
      <c r="C28" s="8"/>
      <c r="D28" s="8"/>
      <c r="E28" s="635">
        <v>821000</v>
      </c>
      <c r="F28" s="661"/>
      <c r="G28" s="8" t="s">
        <v>90</v>
      </c>
      <c r="H28" s="79">
        <f>SUM(H29:H30)</f>
        <v>5000</v>
      </c>
      <c r="I28" s="874">
        <v>10140</v>
      </c>
      <c r="J28" s="505">
        <v>0</v>
      </c>
      <c r="K28" s="622">
        <f>SUM(K29:K30)</f>
        <v>10000</v>
      </c>
      <c r="L28" s="622">
        <f>SUM(L29:L30)</f>
        <v>0</v>
      </c>
      <c r="M28" s="1064">
        <f>SUM(M29:M30)</f>
        <v>10000</v>
      </c>
      <c r="N28" s="676">
        <f t="shared" si="1"/>
        <v>98.619329388560161</v>
      </c>
    </row>
    <row r="29" spans="1:14" ht="12.95" customHeight="1">
      <c r="B29" s="10"/>
      <c r="C29" s="11"/>
      <c r="D29" s="11"/>
      <c r="E29" s="636">
        <v>821200</v>
      </c>
      <c r="F29" s="662"/>
      <c r="G29" s="11" t="s">
        <v>91</v>
      </c>
      <c r="H29" s="88">
        <v>0</v>
      </c>
      <c r="I29" s="875">
        <v>0</v>
      </c>
      <c r="J29" s="506">
        <v>0</v>
      </c>
      <c r="K29" s="623">
        <v>5000</v>
      </c>
      <c r="L29" s="623">
        <v>0</v>
      </c>
      <c r="M29" s="1062">
        <f t="shared" ref="M29:M30" si="3">SUM(K29:L29)</f>
        <v>5000</v>
      </c>
      <c r="N29" s="677" t="str">
        <f t="shared" si="1"/>
        <v/>
      </c>
    </row>
    <row r="30" spans="1:14" ht="12.95" customHeight="1">
      <c r="B30" s="10"/>
      <c r="C30" s="11"/>
      <c r="D30" s="11"/>
      <c r="E30" s="636">
        <v>821300</v>
      </c>
      <c r="F30" s="662"/>
      <c r="G30" s="11" t="s">
        <v>92</v>
      </c>
      <c r="H30" s="88">
        <v>5000</v>
      </c>
      <c r="I30" s="875">
        <v>10140</v>
      </c>
      <c r="J30" s="506">
        <v>0</v>
      </c>
      <c r="K30" s="623">
        <v>5000</v>
      </c>
      <c r="L30" s="623">
        <v>0</v>
      </c>
      <c r="M30" s="1062">
        <f t="shared" si="3"/>
        <v>5000</v>
      </c>
      <c r="N30" s="677">
        <f t="shared" si="1"/>
        <v>49.30966469428008</v>
      </c>
    </row>
    <row r="31" spans="1:14" ht="12.95" customHeight="1">
      <c r="B31" s="10"/>
      <c r="C31" s="11"/>
      <c r="D31" s="11"/>
      <c r="E31" s="636"/>
      <c r="F31" s="662"/>
      <c r="G31" s="11"/>
      <c r="H31" s="88"/>
      <c r="I31" s="875"/>
      <c r="J31" s="506"/>
      <c r="K31" s="623"/>
      <c r="L31" s="623"/>
      <c r="M31" s="1063"/>
      <c r="N31" s="677" t="str">
        <f t="shared" si="1"/>
        <v/>
      </c>
    </row>
    <row r="32" spans="1:14" s="1" customFormat="1" ht="12.95" customHeight="1">
      <c r="A32" s="608"/>
      <c r="B32" s="12"/>
      <c r="C32" s="8"/>
      <c r="D32" s="8"/>
      <c r="E32" s="635"/>
      <c r="F32" s="661"/>
      <c r="G32" s="8" t="s">
        <v>93</v>
      </c>
      <c r="H32" s="19" t="s">
        <v>627</v>
      </c>
      <c r="I32" s="871" t="s">
        <v>745</v>
      </c>
      <c r="J32" s="502" t="s">
        <v>562</v>
      </c>
      <c r="K32" s="556" t="s">
        <v>849</v>
      </c>
      <c r="L32" s="556"/>
      <c r="M32" s="1066" t="s">
        <v>849</v>
      </c>
      <c r="N32" s="677"/>
    </row>
    <row r="33" spans="1:14" s="1" customFormat="1" ht="12.95" customHeight="1">
      <c r="A33" s="608"/>
      <c r="B33" s="12"/>
      <c r="C33" s="8"/>
      <c r="D33" s="8"/>
      <c r="E33" s="635"/>
      <c r="F33" s="661"/>
      <c r="G33" s="8" t="s">
        <v>113</v>
      </c>
      <c r="H33" s="15">
        <f>H8+H13+H16+H28</f>
        <v>1249690</v>
      </c>
      <c r="I33" s="15">
        <f>I8+I13+I16+I28</f>
        <v>1213510</v>
      </c>
      <c r="J33" s="15">
        <f t="shared" ref="J33" si="4">J8+J13+J16+J28</f>
        <v>867366</v>
      </c>
      <c r="K33" s="615">
        <f>K8+K13+K16+K28</f>
        <v>1208450</v>
      </c>
      <c r="L33" s="615">
        <f>L8+L13+L16+L28</f>
        <v>0</v>
      </c>
      <c r="M33" s="1064">
        <f>M8+M13+M16+M28</f>
        <v>1208450</v>
      </c>
      <c r="N33" s="676">
        <f t="shared" si="1"/>
        <v>99.583027745960067</v>
      </c>
    </row>
    <row r="34" spans="1:14" s="1" customFormat="1" ht="12.95" customHeight="1">
      <c r="A34" s="608"/>
      <c r="B34" s="12"/>
      <c r="C34" s="8"/>
      <c r="D34" s="8"/>
      <c r="E34" s="635"/>
      <c r="F34" s="661"/>
      <c r="G34" s="8" t="s">
        <v>94</v>
      </c>
      <c r="H34" s="15"/>
      <c r="I34" s="15"/>
      <c r="J34" s="15"/>
      <c r="K34" s="615"/>
      <c r="L34" s="615"/>
      <c r="M34" s="1064"/>
      <c r="N34" s="677" t="str">
        <f>IF(I34=0,"",M34/I34*100)</f>
        <v/>
      </c>
    </row>
    <row r="35" spans="1:14" s="1" customFormat="1" ht="12.95" customHeight="1">
      <c r="A35" s="608"/>
      <c r="B35" s="12"/>
      <c r="C35" s="8"/>
      <c r="D35" s="8"/>
      <c r="E35" s="635"/>
      <c r="F35" s="661"/>
      <c r="G35" s="8" t="s">
        <v>95</v>
      </c>
      <c r="H35" s="30"/>
      <c r="I35" s="30"/>
      <c r="J35" s="30"/>
      <c r="K35" s="593"/>
      <c r="L35" s="593"/>
      <c r="M35" s="1063"/>
      <c r="N35" s="677" t="str">
        <f t="shared" si="1"/>
        <v/>
      </c>
    </row>
    <row r="36" spans="1:14" ht="12.95" customHeight="1" thickBot="1">
      <c r="B36" s="16"/>
      <c r="C36" s="17"/>
      <c r="D36" s="17"/>
      <c r="E36" s="637"/>
      <c r="F36" s="663"/>
      <c r="G36" s="17"/>
      <c r="H36" s="32"/>
      <c r="I36" s="32"/>
      <c r="J36" s="32"/>
      <c r="K36" s="32"/>
      <c r="L36" s="32"/>
      <c r="M36" s="1067"/>
      <c r="N36" s="679"/>
    </row>
    <row r="37" spans="1:14" ht="12.95" customHeight="1">
      <c r="E37" s="638"/>
      <c r="F37" s="664"/>
      <c r="M37" s="1070"/>
    </row>
    <row r="38" spans="1:14" ht="12.95" customHeight="1">
      <c r="E38" s="638"/>
      <c r="F38" s="664"/>
      <c r="M38" s="1070"/>
    </row>
    <row r="39" spans="1:14" ht="12.95" customHeight="1">
      <c r="B39" s="56"/>
      <c r="E39" s="638"/>
      <c r="F39" s="664"/>
      <c r="M39" s="1070"/>
    </row>
    <row r="40" spans="1:14" ht="12.95" customHeight="1">
      <c r="B40" s="56"/>
      <c r="E40" s="638"/>
      <c r="F40" s="664"/>
      <c r="M40" s="1070"/>
    </row>
    <row r="41" spans="1:14" ht="12.95" customHeight="1">
      <c r="B41" s="56"/>
      <c r="E41" s="638"/>
      <c r="F41" s="664"/>
      <c r="M41" s="1070"/>
    </row>
    <row r="42" spans="1:14" ht="12.95" customHeight="1">
      <c r="B42" s="56"/>
      <c r="E42" s="638"/>
      <c r="F42" s="664"/>
      <c r="M42" s="1070"/>
    </row>
    <row r="43" spans="1:14" ht="12.95" customHeight="1">
      <c r="B43" s="56"/>
      <c r="E43" s="638"/>
      <c r="F43" s="664"/>
      <c r="M43" s="1070"/>
    </row>
    <row r="44" spans="1:14" ht="12.95" customHeight="1">
      <c r="B44" s="56"/>
      <c r="E44" s="638"/>
      <c r="F44" s="664"/>
      <c r="M44" s="1070"/>
    </row>
    <row r="45" spans="1:14" ht="12.95" customHeight="1">
      <c r="B45" s="56"/>
      <c r="E45" s="638"/>
      <c r="F45" s="664"/>
      <c r="M45" s="1070"/>
    </row>
    <row r="46" spans="1:14" ht="12.95" customHeight="1">
      <c r="E46" s="638"/>
      <c r="F46" s="664"/>
      <c r="M46" s="1070"/>
    </row>
    <row r="47" spans="1:14" ht="12.95" customHeight="1">
      <c r="E47" s="638"/>
      <c r="F47" s="664"/>
      <c r="M47" s="1070"/>
    </row>
    <row r="48" spans="1:14" ht="12.95" customHeight="1">
      <c r="E48" s="638"/>
      <c r="F48" s="664"/>
      <c r="M48" s="1070"/>
    </row>
    <row r="49" spans="5:13" ht="12.95" customHeight="1">
      <c r="E49" s="638"/>
      <c r="F49" s="664"/>
      <c r="M49" s="1070"/>
    </row>
    <row r="50" spans="5:13" ht="12.95" customHeight="1">
      <c r="E50" s="638"/>
      <c r="F50" s="664"/>
      <c r="M50" s="1070"/>
    </row>
    <row r="51" spans="5:13" ht="12.95" customHeight="1">
      <c r="E51" s="638"/>
      <c r="F51" s="664"/>
      <c r="M51" s="1070"/>
    </row>
    <row r="52" spans="5:13" ht="12.95" customHeight="1">
      <c r="E52" s="638"/>
      <c r="F52" s="664"/>
      <c r="M52" s="1070"/>
    </row>
    <row r="53" spans="5:13" ht="12.95" customHeight="1">
      <c r="E53" s="638"/>
      <c r="F53" s="664"/>
      <c r="M53" s="1070"/>
    </row>
    <row r="54" spans="5:13" ht="12.95" customHeight="1">
      <c r="E54" s="638"/>
      <c r="F54" s="664"/>
      <c r="M54" s="1070"/>
    </row>
    <row r="55" spans="5:13" ht="12.95" customHeight="1">
      <c r="E55" s="638"/>
      <c r="F55" s="664"/>
      <c r="M55" s="1070"/>
    </row>
    <row r="56" spans="5:13" ht="12.95" customHeight="1">
      <c r="E56" s="638"/>
      <c r="F56" s="664"/>
      <c r="M56" s="1070"/>
    </row>
    <row r="57" spans="5:13" ht="12.95" customHeight="1">
      <c r="E57" s="638"/>
      <c r="F57" s="664"/>
      <c r="M57" s="1070"/>
    </row>
    <row r="58" spans="5:13" ht="12.95" customHeight="1">
      <c r="E58" s="638"/>
      <c r="F58" s="664"/>
      <c r="M58" s="1070"/>
    </row>
    <row r="59" spans="5:13" ht="12.95" customHeight="1">
      <c r="E59" s="638"/>
      <c r="F59" s="664"/>
      <c r="M59" s="1070"/>
    </row>
    <row r="60" spans="5:13" ht="17.100000000000001" customHeight="1">
      <c r="E60" s="638"/>
      <c r="F60" s="664"/>
      <c r="M60" s="1070"/>
    </row>
    <row r="61" spans="5:13" ht="14.25">
      <c r="E61" s="638"/>
      <c r="F61" s="664"/>
      <c r="M61" s="1070"/>
    </row>
    <row r="62" spans="5:13" ht="14.25">
      <c r="E62" s="638"/>
      <c r="F62" s="664"/>
      <c r="M62" s="1070"/>
    </row>
    <row r="63" spans="5:13" ht="14.25">
      <c r="E63" s="638"/>
      <c r="F63" s="664"/>
      <c r="M63" s="1070"/>
    </row>
    <row r="64" spans="5:13" ht="14.25">
      <c r="E64" s="638"/>
      <c r="F64" s="664"/>
      <c r="M64" s="1070"/>
    </row>
    <row r="65" spans="5:13" ht="14.25">
      <c r="E65" s="638"/>
      <c r="F65" s="664"/>
      <c r="M65" s="1070"/>
    </row>
    <row r="66" spans="5:13" ht="14.25">
      <c r="E66" s="638"/>
      <c r="F66" s="664"/>
      <c r="M66" s="1070"/>
    </row>
    <row r="67" spans="5:13" ht="14.25">
      <c r="E67" s="638"/>
      <c r="F67" s="664"/>
      <c r="M67" s="1070"/>
    </row>
    <row r="68" spans="5:13" ht="14.25">
      <c r="E68" s="638"/>
      <c r="F68" s="664"/>
      <c r="M68" s="1070"/>
    </row>
    <row r="69" spans="5:13" ht="14.25">
      <c r="E69" s="638"/>
      <c r="F69" s="664"/>
      <c r="M69" s="1070"/>
    </row>
    <row r="70" spans="5:13" ht="14.25">
      <c r="E70" s="638"/>
      <c r="F70" s="664"/>
      <c r="M70" s="1070"/>
    </row>
    <row r="71" spans="5:13" ht="14.25">
      <c r="E71" s="638"/>
      <c r="F71" s="664"/>
      <c r="M71" s="1070"/>
    </row>
    <row r="72" spans="5:13" ht="14.25">
      <c r="E72" s="638"/>
      <c r="F72" s="664"/>
      <c r="M72" s="1070"/>
    </row>
    <row r="73" spans="5:13" ht="14.25">
      <c r="E73" s="638"/>
      <c r="F73" s="664"/>
      <c r="M73" s="1070"/>
    </row>
    <row r="74" spans="5:13" ht="14.25">
      <c r="E74" s="638"/>
      <c r="F74" s="638"/>
      <c r="M74" s="1070"/>
    </row>
    <row r="75" spans="5:13" ht="14.25">
      <c r="E75" s="638"/>
      <c r="F75" s="638"/>
      <c r="M75" s="1070"/>
    </row>
    <row r="76" spans="5:13" ht="14.25">
      <c r="E76" s="638"/>
      <c r="F76" s="638"/>
      <c r="M76" s="1070"/>
    </row>
    <row r="77" spans="5:13" ht="14.25">
      <c r="E77" s="638"/>
      <c r="F77" s="638"/>
      <c r="M77" s="1070"/>
    </row>
    <row r="78" spans="5:13" ht="14.25">
      <c r="E78" s="638"/>
      <c r="F78" s="638"/>
      <c r="M78" s="1070"/>
    </row>
    <row r="79" spans="5:13" ht="14.25">
      <c r="E79" s="638"/>
      <c r="F79" s="638"/>
      <c r="M79" s="1070"/>
    </row>
    <row r="80" spans="5:13" ht="14.25">
      <c r="E80" s="638"/>
      <c r="F80" s="638"/>
      <c r="M80" s="1070"/>
    </row>
    <row r="81" spans="5:13" ht="14.25">
      <c r="E81" s="638"/>
      <c r="F81" s="638"/>
      <c r="M81" s="1070"/>
    </row>
    <row r="82" spans="5:13" ht="14.25">
      <c r="E82" s="638"/>
      <c r="F82" s="638"/>
      <c r="M82" s="1070"/>
    </row>
    <row r="83" spans="5:13" ht="14.25">
      <c r="E83" s="638"/>
      <c r="F83" s="638"/>
      <c r="M83" s="1070"/>
    </row>
    <row r="84" spans="5:13" ht="14.25">
      <c r="E84" s="638"/>
      <c r="F84" s="638"/>
      <c r="M84" s="1070"/>
    </row>
    <row r="85" spans="5:13" ht="14.25">
      <c r="E85" s="638"/>
      <c r="F85" s="638"/>
      <c r="M85" s="1070"/>
    </row>
    <row r="86" spans="5:13" ht="14.25">
      <c r="E86" s="638"/>
      <c r="F86" s="638"/>
      <c r="M86" s="1070"/>
    </row>
    <row r="87" spans="5:13" ht="14.25">
      <c r="E87" s="638"/>
      <c r="F87" s="638"/>
      <c r="M87" s="1070"/>
    </row>
    <row r="88" spans="5:13" ht="14.25">
      <c r="E88" s="638"/>
      <c r="F88" s="638"/>
      <c r="M88" s="1070"/>
    </row>
    <row r="89" spans="5:13" ht="14.25">
      <c r="E89" s="638"/>
      <c r="F89" s="638"/>
      <c r="M89" s="1070"/>
    </row>
    <row r="90" spans="5:13" ht="14.25">
      <c r="E90" s="638"/>
      <c r="F90" s="638"/>
      <c r="M90" s="1070"/>
    </row>
    <row r="91" spans="5:13">
      <c r="F91" s="638"/>
    </row>
    <row r="92" spans="5:13">
      <c r="F92" s="638"/>
    </row>
    <row r="93" spans="5:13">
      <c r="F93" s="638"/>
    </row>
    <row r="94" spans="5:13">
      <c r="F94" s="638"/>
    </row>
    <row r="95" spans="5:13">
      <c r="F95" s="638"/>
    </row>
    <row r="96" spans="5:13">
      <c r="F96" s="638"/>
    </row>
  </sheetData>
  <mergeCells count="13">
    <mergeCell ref="N4:N5"/>
    <mergeCell ref="G4:G5"/>
    <mergeCell ref="B2:H2"/>
    <mergeCell ref="G3:H3"/>
    <mergeCell ref="K4:M4"/>
    <mergeCell ref="B4:B5"/>
    <mergeCell ref="C4:C5"/>
    <mergeCell ref="D4:D5"/>
    <mergeCell ref="F4:F5"/>
    <mergeCell ref="E4:E5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1:AC302"/>
  <sheetViews>
    <sheetView zoomScaleNormal="100" workbookViewId="0">
      <selection activeCell="L32" sqref="L32"/>
    </sheetView>
  </sheetViews>
  <sheetFormatPr defaultRowHeight="15" customHeight="1"/>
  <cols>
    <col min="2" max="2" width="70.28515625" customWidth="1"/>
    <col min="3" max="3" width="13.140625" customWidth="1"/>
    <col min="4" max="5" width="18.7109375" customWidth="1"/>
    <col min="6" max="6" width="20.7109375" customWidth="1"/>
    <col min="7" max="7" width="9.28515625" customWidth="1"/>
    <col min="8" max="8" width="6.42578125" customWidth="1"/>
    <col min="10" max="11" width="15.7109375" customWidth="1"/>
    <col min="12" max="12" width="8.7109375" customWidth="1"/>
  </cols>
  <sheetData>
    <row r="1" spans="2:29" ht="15" customHeight="1">
      <c r="B1" s="1300" t="s">
        <v>864</v>
      </c>
      <c r="C1" s="1233"/>
      <c r="D1" s="1211"/>
      <c r="E1" s="1211"/>
      <c r="F1" s="1211"/>
      <c r="G1" s="1211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</row>
    <row r="2" spans="2:29" ht="15" customHeight="1">
      <c r="B2" s="1211"/>
      <c r="C2" s="1211"/>
      <c r="D2" s="1211"/>
      <c r="E2" s="1211"/>
      <c r="F2" s="1211"/>
      <c r="G2" s="1211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</row>
    <row r="3" spans="2:29" ht="12" customHeight="1">
      <c r="B3" s="1211"/>
      <c r="C3" s="1211"/>
      <c r="D3" s="1211"/>
      <c r="E3" s="1211"/>
      <c r="F3" s="1211"/>
      <c r="G3" s="1211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</row>
    <row r="4" spans="2:29" ht="9" hidden="1" customHeight="1">
      <c r="B4" s="1211"/>
      <c r="C4" s="1211"/>
      <c r="D4" s="1211"/>
      <c r="E4" s="1211"/>
      <c r="F4" s="1211"/>
      <c r="G4" s="1211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</row>
    <row r="5" spans="2:29" ht="18.75" customHeight="1">
      <c r="B5" s="1234" t="s">
        <v>612</v>
      </c>
      <c r="C5" s="1234"/>
      <c r="D5" s="1234"/>
      <c r="E5" s="1234"/>
      <c r="F5" s="1234"/>
      <c r="G5" s="1234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</row>
    <row r="6" spans="2:29" ht="15" customHeight="1">
      <c r="B6" s="1235" t="s">
        <v>664</v>
      </c>
      <c r="C6" s="1235"/>
      <c r="D6" s="1235"/>
      <c r="E6" s="1235"/>
      <c r="F6" s="1235"/>
      <c r="G6" s="1235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</row>
    <row r="7" spans="2:29" ht="15" customHeight="1">
      <c r="B7" s="163" t="s">
        <v>198</v>
      </c>
      <c r="C7" s="163"/>
      <c r="D7" s="46"/>
      <c r="E7" s="46"/>
      <c r="F7" s="46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</row>
    <row r="8" spans="2:29" ht="6.75" customHeight="1">
      <c r="B8" s="38"/>
      <c r="C8" s="38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</row>
    <row r="9" spans="2:29" ht="15" customHeight="1">
      <c r="B9" s="38" t="s">
        <v>199</v>
      </c>
      <c r="C9" s="38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</row>
    <row r="10" spans="2:29" ht="17.25" customHeight="1">
      <c r="B10" s="1236" t="s">
        <v>665</v>
      </c>
      <c r="C10" s="1236"/>
      <c r="D10" s="1236"/>
      <c r="E10" s="1237"/>
      <c r="F10" s="1237"/>
      <c r="G10" s="1237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</row>
    <row r="11" spans="2:29" ht="6" customHeight="1">
      <c r="B11" s="48"/>
      <c r="C11" s="48"/>
      <c r="D11" s="48"/>
      <c r="E11" s="48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</row>
    <row r="12" spans="2:29" s="1126" customFormat="1" ht="43.5" customHeight="1">
      <c r="B12" s="1127" t="s">
        <v>276</v>
      </c>
      <c r="C12" s="1128" t="s">
        <v>766</v>
      </c>
      <c r="D12" s="1128" t="s">
        <v>613</v>
      </c>
      <c r="E12" s="1128" t="s">
        <v>750</v>
      </c>
      <c r="F12" s="1169" t="s">
        <v>694</v>
      </c>
      <c r="G12" s="1128" t="s">
        <v>645</v>
      </c>
      <c r="I12" s="1129"/>
      <c r="J12" s="1129"/>
      <c r="K12" s="1129"/>
      <c r="L12" s="1129"/>
      <c r="M12" s="1129"/>
      <c r="N12" s="1129"/>
      <c r="O12" s="1129"/>
      <c r="P12" s="1129"/>
      <c r="Q12" s="1129"/>
      <c r="R12" s="1129"/>
      <c r="S12" s="1129"/>
      <c r="T12" s="1129"/>
      <c r="U12" s="1129"/>
      <c r="V12" s="1129"/>
      <c r="W12" s="1129"/>
      <c r="X12" s="1129"/>
      <c r="Y12" s="1129"/>
      <c r="Z12" s="1129"/>
      <c r="AA12" s="1129"/>
      <c r="AB12" s="1129"/>
      <c r="AC12" s="1129"/>
    </row>
    <row r="13" spans="2:29" s="1177" customFormat="1" ht="11.25" customHeight="1">
      <c r="B13" s="1178">
        <v>1</v>
      </c>
      <c r="C13" s="1178"/>
      <c r="D13" s="1179">
        <v>2</v>
      </c>
      <c r="E13" s="1179">
        <v>3</v>
      </c>
      <c r="F13" s="1179">
        <v>4</v>
      </c>
      <c r="G13" s="1178">
        <v>5</v>
      </c>
      <c r="I13" s="1180"/>
      <c r="J13" s="1180"/>
      <c r="K13" s="1180"/>
      <c r="L13" s="1180"/>
      <c r="M13" s="1180"/>
      <c r="N13" s="1180"/>
      <c r="O13" s="1180"/>
      <c r="P13" s="1180"/>
      <c r="Q13" s="1180"/>
      <c r="R13" s="1180"/>
      <c r="S13" s="1180"/>
      <c r="T13" s="1180"/>
      <c r="U13" s="1180"/>
      <c r="V13" s="1180"/>
      <c r="W13" s="1180"/>
      <c r="X13" s="1180"/>
      <c r="Y13" s="1180"/>
      <c r="Z13" s="1180"/>
      <c r="AA13" s="1180"/>
      <c r="AB13" s="1180"/>
      <c r="AC13" s="1180"/>
    </row>
    <row r="14" spans="2:29" s="1126" customFormat="1" ht="14.1" customHeight="1">
      <c r="B14" s="1130" t="s">
        <v>779</v>
      </c>
      <c r="C14" s="1130"/>
      <c r="D14" s="1131">
        <f>D15+D16+D17+D18+D19</f>
        <v>42444000</v>
      </c>
      <c r="E14" s="1131">
        <f>E15+E16+E17+E18+E19</f>
        <v>42096090</v>
      </c>
      <c r="F14" s="1170">
        <f>F15+F16+F17+F18+F19</f>
        <v>41225910</v>
      </c>
      <c r="G14" s="1132">
        <f>IF(E14=0,,F14/E14*100)</f>
        <v>97.932872150358861</v>
      </c>
      <c r="H14" s="187"/>
      <c r="I14" s="1129"/>
      <c r="J14" s="1129"/>
      <c r="K14" s="1129"/>
      <c r="L14" s="1129"/>
      <c r="M14" s="1129"/>
      <c r="N14" s="1129"/>
      <c r="O14" s="1129"/>
      <c r="P14" s="1129"/>
      <c r="Q14" s="1129"/>
      <c r="R14" s="1129"/>
      <c r="S14" s="1129"/>
      <c r="T14" s="1129"/>
      <c r="U14" s="1129"/>
      <c r="V14" s="1129"/>
      <c r="W14" s="1129"/>
      <c r="X14" s="1129"/>
      <c r="Y14" s="1129"/>
      <c r="Z14" s="1129"/>
      <c r="AA14" s="1129"/>
      <c r="AB14" s="1129"/>
      <c r="AC14" s="1129"/>
    </row>
    <row r="15" spans="2:29" s="1126" customFormat="1" ht="12.95" customHeight="1">
      <c r="B15" s="1133" t="s">
        <v>767</v>
      </c>
      <c r="C15" s="1134">
        <v>710</v>
      </c>
      <c r="D15" s="1135">
        <f>Prihodi!D5</f>
        <v>37013190</v>
      </c>
      <c r="E15" s="1135">
        <f>Prihodi!E5</f>
        <v>35071260</v>
      </c>
      <c r="F15" s="1123">
        <f>Prihodi!G5</f>
        <v>37198120</v>
      </c>
      <c r="G15" s="1136">
        <f t="shared" ref="G15:G42" si="0">IF(E15=0,,F15/E15*100)</f>
        <v>106.06439574740114</v>
      </c>
      <c r="H15" s="187"/>
      <c r="I15" s="1129"/>
      <c r="J15" s="1129"/>
      <c r="K15" s="1129"/>
      <c r="L15" s="1129"/>
      <c r="M15" s="1129"/>
      <c r="N15" s="1129"/>
      <c r="O15" s="1129"/>
      <c r="P15" s="1129"/>
      <c r="Q15" s="1129"/>
      <c r="R15" s="1129"/>
      <c r="S15" s="1129"/>
      <c r="T15" s="1129"/>
      <c r="U15" s="1129"/>
      <c r="V15" s="1129"/>
      <c r="W15" s="1129"/>
      <c r="X15" s="1129"/>
      <c r="Y15" s="1129"/>
      <c r="Z15" s="1129"/>
      <c r="AA15" s="1129"/>
      <c r="AB15" s="1129"/>
      <c r="AC15" s="1129"/>
    </row>
    <row r="16" spans="2:29" s="1126" customFormat="1" ht="12.95" customHeight="1">
      <c r="B16" s="1133" t="s">
        <v>768</v>
      </c>
      <c r="C16" s="1134">
        <v>720</v>
      </c>
      <c r="D16" s="1135">
        <f>Prihodi!D57</f>
        <v>2391380</v>
      </c>
      <c r="E16" s="1135">
        <f>Prihodi!E57</f>
        <v>2886330</v>
      </c>
      <c r="F16" s="1123">
        <f>Prihodi!G57</f>
        <v>2624140</v>
      </c>
      <c r="G16" s="1136">
        <f t="shared" si="0"/>
        <v>90.91614610941923</v>
      </c>
      <c r="H16" s="187"/>
      <c r="I16" s="1129"/>
      <c r="J16" s="1129"/>
      <c r="K16" s="1129"/>
      <c r="L16" s="1129"/>
      <c r="M16" s="1129"/>
      <c r="N16" s="1129"/>
      <c r="O16" s="1129"/>
      <c r="P16" s="1129"/>
      <c r="Q16" s="1129"/>
      <c r="R16" s="1129"/>
      <c r="S16" s="1129"/>
      <c r="T16" s="1129"/>
      <c r="U16" s="1129"/>
      <c r="V16" s="1129"/>
      <c r="W16" s="1129"/>
      <c r="X16" s="1129"/>
      <c r="Y16" s="1129"/>
      <c r="Z16" s="1129"/>
      <c r="AA16" s="1129"/>
      <c r="AB16" s="1129"/>
      <c r="AC16" s="1129"/>
    </row>
    <row r="17" spans="2:29" s="1126" customFormat="1" ht="12.95" customHeight="1">
      <c r="B17" s="1133" t="s">
        <v>769</v>
      </c>
      <c r="C17" s="1134">
        <v>730</v>
      </c>
      <c r="D17" s="1135">
        <f>Prihodi!D149</f>
        <v>2828310</v>
      </c>
      <c r="E17" s="1135">
        <f>Prihodi!E149</f>
        <v>3112340</v>
      </c>
      <c r="F17" s="1123">
        <f>Prihodi!G149</f>
        <v>1366000</v>
      </c>
      <c r="G17" s="1136">
        <f t="shared" si="0"/>
        <v>43.889806383621327</v>
      </c>
      <c r="H17" s="187"/>
      <c r="I17" s="1129"/>
      <c r="J17" s="1129"/>
      <c r="K17" s="1129"/>
      <c r="L17" s="1129"/>
      <c r="M17" s="1129"/>
      <c r="N17" s="1129"/>
      <c r="O17" s="1129"/>
      <c r="P17" s="1129"/>
      <c r="Q17" s="1129"/>
      <c r="R17" s="1129"/>
      <c r="S17" s="1129"/>
      <c r="T17" s="1129"/>
      <c r="U17" s="1129"/>
      <c r="V17" s="1129"/>
      <c r="W17" s="1129"/>
      <c r="X17" s="1129"/>
      <c r="Y17" s="1129"/>
      <c r="Z17" s="1129"/>
      <c r="AA17" s="1129"/>
      <c r="AB17" s="1129"/>
      <c r="AC17" s="1129"/>
    </row>
    <row r="18" spans="2:29" s="1126" customFormat="1" ht="12.95" customHeight="1">
      <c r="B18" s="1133" t="s">
        <v>770</v>
      </c>
      <c r="C18" s="1134">
        <v>740</v>
      </c>
      <c r="D18" s="1135">
        <f>Prihodi!D177</f>
        <v>210200</v>
      </c>
      <c r="E18" s="1135">
        <f>Prihodi!E177</f>
        <v>1015200</v>
      </c>
      <c r="F18" s="1123">
        <f>Prihodi!G177</f>
        <v>26650</v>
      </c>
      <c r="G18" s="1136">
        <f t="shared" si="0"/>
        <v>2.6250985027580773</v>
      </c>
      <c r="H18" s="187"/>
      <c r="I18" s="1129"/>
      <c r="J18" s="1129"/>
      <c r="K18" s="1129"/>
      <c r="L18" s="1129"/>
      <c r="M18" s="1129"/>
      <c r="N18" s="1129"/>
      <c r="O18" s="1129"/>
      <c r="P18" s="1129"/>
      <c r="Q18" s="1129"/>
      <c r="R18" s="1129"/>
      <c r="S18" s="1129"/>
      <c r="T18" s="1129"/>
      <c r="U18" s="1129"/>
      <c r="V18" s="1129"/>
      <c r="W18" s="1129"/>
      <c r="X18" s="1129"/>
      <c r="Y18" s="1129"/>
      <c r="Z18" s="1129"/>
      <c r="AA18" s="1129"/>
      <c r="AB18" s="1129"/>
      <c r="AC18" s="1129"/>
    </row>
    <row r="19" spans="2:29" s="1126" customFormat="1" ht="12.95" customHeight="1">
      <c r="B19" s="1133" t="s">
        <v>771</v>
      </c>
      <c r="C19" s="1134">
        <v>770</v>
      </c>
      <c r="D19" s="1135">
        <f>Prihodi!D201</f>
        <v>920</v>
      </c>
      <c r="E19" s="1135">
        <f>Prihodi!E201</f>
        <v>10960</v>
      </c>
      <c r="F19" s="1123">
        <f>Prihodi!G201</f>
        <v>11000</v>
      </c>
      <c r="G19" s="1136">
        <f t="shared" si="0"/>
        <v>100.36496350364963</v>
      </c>
      <c r="H19" s="187"/>
      <c r="I19" s="1129"/>
      <c r="J19" s="1129"/>
      <c r="K19" s="1129"/>
      <c r="L19" s="1129"/>
      <c r="M19" s="1129"/>
      <c r="N19" s="1129"/>
      <c r="O19" s="1129"/>
      <c r="P19" s="1129"/>
      <c r="Q19" s="1129"/>
      <c r="R19" s="1129"/>
      <c r="S19" s="1129"/>
      <c r="T19" s="1129"/>
      <c r="U19" s="1129"/>
      <c r="V19" s="1129"/>
      <c r="W19" s="1129"/>
      <c r="X19" s="1129"/>
      <c r="Y19" s="1129"/>
      <c r="Z19" s="1129"/>
      <c r="AA19" s="1129"/>
      <c r="AB19" s="1129"/>
      <c r="AC19" s="1129"/>
    </row>
    <row r="20" spans="2:29" s="1126" customFormat="1" ht="14.1" customHeight="1">
      <c r="B20" s="1141" t="s">
        <v>780</v>
      </c>
      <c r="C20" s="1142"/>
      <c r="D20" s="1143">
        <f>SUM(D21:D27)</f>
        <v>40365170</v>
      </c>
      <c r="E20" s="1143">
        <f>SUM(E21:E27)</f>
        <v>39857370</v>
      </c>
      <c r="F20" s="1171">
        <f>SUM(F21:F27)</f>
        <v>39273200</v>
      </c>
      <c r="G20" s="1144">
        <f t="shared" si="0"/>
        <v>98.534348854427677</v>
      </c>
      <c r="H20" s="187"/>
      <c r="I20" s="1129"/>
      <c r="J20" s="1129"/>
      <c r="K20" s="1129"/>
      <c r="L20" s="1129"/>
      <c r="M20" s="1129"/>
      <c r="N20" s="1129"/>
      <c r="O20" s="1129"/>
      <c r="P20" s="1129"/>
      <c r="Q20" s="1129"/>
      <c r="R20" s="1129"/>
      <c r="S20" s="1129"/>
      <c r="T20" s="1129"/>
      <c r="U20" s="1129"/>
      <c r="V20" s="1129"/>
      <c r="W20" s="1129"/>
      <c r="X20" s="1129"/>
      <c r="Y20" s="1129"/>
      <c r="Z20" s="1129"/>
      <c r="AA20" s="1129"/>
      <c r="AB20" s="1129"/>
    </row>
    <row r="21" spans="2:29" s="1145" customFormat="1" ht="12.95" customHeight="1">
      <c r="B21" s="1137" t="s">
        <v>772</v>
      </c>
      <c r="C21" s="1138">
        <v>600</v>
      </c>
      <c r="D21" s="1135">
        <f>Rashodi!F9</f>
        <v>660000</v>
      </c>
      <c r="E21" s="1135">
        <f>Rashodi!G9</f>
        <v>660000</v>
      </c>
      <c r="F21" s="1123">
        <f>Rashodi!K9</f>
        <v>460000</v>
      </c>
      <c r="G21" s="1140">
        <f t="shared" si="0"/>
        <v>69.696969696969703</v>
      </c>
      <c r="H21" s="1146"/>
      <c r="I21" s="1147"/>
      <c r="J21" s="1147"/>
      <c r="K21" s="1147"/>
      <c r="L21" s="1147"/>
      <c r="M21" s="1147"/>
      <c r="N21" s="1147"/>
      <c r="O21" s="1147"/>
      <c r="P21" s="1147"/>
      <c r="Q21" s="1147"/>
      <c r="R21" s="1147"/>
      <c r="S21" s="1147"/>
      <c r="T21" s="1147"/>
      <c r="U21" s="1147"/>
      <c r="V21" s="1147"/>
      <c r="W21" s="1147"/>
      <c r="X21" s="1147"/>
      <c r="Y21" s="1147"/>
      <c r="Z21" s="1147"/>
      <c r="AA21" s="1147"/>
      <c r="AB21" s="1147"/>
    </row>
    <row r="22" spans="2:29" s="1145" customFormat="1" ht="12.95" customHeight="1">
      <c r="B22" s="1137" t="s">
        <v>773</v>
      </c>
      <c r="C22" s="1138">
        <v>611</v>
      </c>
      <c r="D22" s="1135">
        <f>Rashodi!F15</f>
        <v>20818240</v>
      </c>
      <c r="E22" s="1135">
        <f>Rashodi!G15</f>
        <v>20480610</v>
      </c>
      <c r="F22" s="1123">
        <f>Rashodi!K15</f>
        <v>21500940</v>
      </c>
      <c r="G22" s="1140">
        <f t="shared" si="0"/>
        <v>104.98193169051117</v>
      </c>
      <c r="H22" s="1146"/>
      <c r="I22" s="1147"/>
      <c r="J22" s="1147"/>
      <c r="K22" s="1147"/>
      <c r="L22" s="1147"/>
      <c r="M22" s="1147"/>
      <c r="N22" s="1147"/>
      <c r="O22" s="1147"/>
      <c r="P22" s="1147"/>
      <c r="Q22" s="1147"/>
      <c r="R22" s="1147"/>
      <c r="S22" s="1147"/>
      <c r="T22" s="1147"/>
      <c r="U22" s="1147"/>
      <c r="V22" s="1147"/>
      <c r="W22" s="1147"/>
      <c r="X22" s="1147"/>
      <c r="Y22" s="1147"/>
      <c r="Z22" s="1147"/>
      <c r="AA22" s="1147"/>
      <c r="AB22" s="1147"/>
    </row>
    <row r="23" spans="2:29" s="1126" customFormat="1" ht="12.95" customHeight="1">
      <c r="B23" s="1137" t="s">
        <v>774</v>
      </c>
      <c r="C23" s="1138">
        <v>612</v>
      </c>
      <c r="D23" s="1139">
        <f>Rashodi!F21</f>
        <v>2016960</v>
      </c>
      <c r="E23" s="1139">
        <f>Rashodi!G21</f>
        <v>2008110</v>
      </c>
      <c r="F23" s="1124">
        <f>Rashodi!K21</f>
        <v>2108270</v>
      </c>
      <c r="G23" s="1140">
        <f t="shared" si="0"/>
        <v>104.98777457410202</v>
      </c>
      <c r="H23" s="187"/>
      <c r="I23" s="1129"/>
      <c r="J23" s="1129"/>
      <c r="K23" s="1129"/>
      <c r="L23" s="1129"/>
      <c r="M23" s="1129"/>
      <c r="N23" s="1129"/>
      <c r="O23" s="1129"/>
      <c r="P23" s="1129"/>
      <c r="Q23" s="1129"/>
      <c r="R23" s="1129"/>
      <c r="S23" s="1129"/>
      <c r="T23" s="1129"/>
      <c r="U23" s="1129"/>
      <c r="V23" s="1129"/>
      <c r="W23" s="1129"/>
      <c r="X23" s="1129"/>
      <c r="Y23" s="1129"/>
      <c r="Z23" s="1129"/>
      <c r="AA23" s="1129"/>
      <c r="AB23" s="1129"/>
      <c r="AC23" s="1129"/>
    </row>
    <row r="24" spans="2:29" s="1126" customFormat="1" ht="12.95" customHeight="1">
      <c r="B24" s="1137" t="s">
        <v>775</v>
      </c>
      <c r="C24" s="1138">
        <v>613</v>
      </c>
      <c r="D24" s="1139">
        <f>Rashodi!F24</f>
        <v>4531970</v>
      </c>
      <c r="E24" s="1139">
        <f>Rashodi!G24</f>
        <v>4462290</v>
      </c>
      <c r="F24" s="1124">
        <f>Rashodi!K24</f>
        <v>4410130</v>
      </c>
      <c r="G24" s="1140">
        <f>IF(E24=0,,F24/E24*100)</f>
        <v>98.831093452016788</v>
      </c>
      <c r="H24" s="187"/>
      <c r="I24" s="1129"/>
      <c r="J24" s="1129"/>
      <c r="K24" s="1129"/>
      <c r="L24" s="1129"/>
      <c r="M24" s="1129"/>
      <c r="N24" s="1129"/>
      <c r="O24" s="1129"/>
      <c r="P24" s="1129"/>
      <c r="Q24" s="1129"/>
      <c r="R24" s="1129"/>
      <c r="S24" s="1129"/>
      <c r="T24" s="1129"/>
      <c r="U24" s="1129"/>
      <c r="V24" s="1129"/>
      <c r="W24" s="1129"/>
      <c r="X24" s="1129"/>
      <c r="Y24" s="1129"/>
      <c r="Z24" s="1129"/>
      <c r="AA24" s="1129"/>
      <c r="AB24" s="1129"/>
    </row>
    <row r="25" spans="2:29" s="1126" customFormat="1" ht="12.95" customHeight="1">
      <c r="B25" s="1137" t="s">
        <v>776</v>
      </c>
      <c r="C25" s="1138">
        <v>614</v>
      </c>
      <c r="D25" s="1139">
        <f>Rashodi!F46</f>
        <v>11566000</v>
      </c>
      <c r="E25" s="1139">
        <f>Rashodi!G46</f>
        <v>11585500</v>
      </c>
      <c r="F25" s="1124">
        <f>Rashodi!K46</f>
        <v>10335000</v>
      </c>
      <c r="G25" s="1140">
        <f t="shared" si="0"/>
        <v>89.206335505588882</v>
      </c>
      <c r="H25" s="187"/>
      <c r="I25" s="1129"/>
      <c r="J25" s="1129"/>
      <c r="K25" s="1129"/>
      <c r="L25" s="1129"/>
      <c r="M25" s="1129"/>
      <c r="N25" s="1129"/>
      <c r="O25" s="1129"/>
      <c r="P25" s="1129"/>
      <c r="Q25" s="1129"/>
      <c r="R25" s="1129"/>
      <c r="S25" s="1129"/>
      <c r="T25" s="1129"/>
      <c r="U25" s="1129"/>
      <c r="V25" s="1129"/>
      <c r="W25" s="1129"/>
      <c r="X25" s="1129"/>
      <c r="Y25" s="1129"/>
      <c r="Z25" s="1129"/>
      <c r="AA25" s="1129"/>
      <c r="AB25" s="1129"/>
    </row>
    <row r="26" spans="2:29" s="1126" customFormat="1" ht="12.95" customHeight="1">
      <c r="B26" s="1137" t="s">
        <v>777</v>
      </c>
      <c r="C26" s="1138">
        <v>615</v>
      </c>
      <c r="D26" s="1139">
        <f>Rashodi!F91</f>
        <v>700000</v>
      </c>
      <c r="E26" s="1139">
        <f>Rashodi!G91</f>
        <v>600000</v>
      </c>
      <c r="F26" s="1124">
        <f>Rashodi!K91</f>
        <v>400000</v>
      </c>
      <c r="G26" s="1140">
        <f>IF(E26=0,,F26/E26*100)</f>
        <v>66.666666666666657</v>
      </c>
      <c r="H26" s="187"/>
      <c r="I26" s="1129"/>
      <c r="J26" s="1129"/>
      <c r="K26" s="1129"/>
      <c r="L26" s="1129"/>
      <c r="M26" s="1129"/>
      <c r="N26" s="1129"/>
      <c r="O26" s="1129"/>
      <c r="P26" s="1129"/>
      <c r="Q26" s="1129"/>
      <c r="R26" s="1129"/>
      <c r="S26" s="1129"/>
      <c r="T26" s="1129"/>
      <c r="U26" s="1129"/>
      <c r="V26" s="1129"/>
      <c r="W26" s="1129"/>
      <c r="X26" s="1129"/>
      <c r="Y26" s="1129"/>
      <c r="Z26" s="1129"/>
      <c r="AA26" s="1129"/>
      <c r="AB26" s="1129"/>
    </row>
    <row r="27" spans="2:29" s="1126" customFormat="1" ht="12.95" customHeight="1" thickBot="1">
      <c r="B27" s="1148" t="s">
        <v>778</v>
      </c>
      <c r="C27" s="1149">
        <v>616</v>
      </c>
      <c r="D27" s="1150">
        <f>Rashodi!F94</f>
        <v>72000</v>
      </c>
      <c r="E27" s="1150">
        <f>Rashodi!G94</f>
        <v>60860</v>
      </c>
      <c r="F27" s="1125">
        <f>Rashodi!K94</f>
        <v>58860</v>
      </c>
      <c r="G27" s="1151">
        <f t="shared" si="0"/>
        <v>96.713769306605329</v>
      </c>
      <c r="H27" s="187"/>
      <c r="I27" s="1129"/>
      <c r="J27" s="1129"/>
      <c r="K27" s="1129"/>
      <c r="L27" s="1129"/>
      <c r="M27" s="1129"/>
      <c r="N27" s="1129"/>
      <c r="O27" s="1129"/>
      <c r="P27" s="1129"/>
      <c r="Q27" s="1129"/>
      <c r="R27" s="1129"/>
      <c r="S27" s="1129"/>
      <c r="T27" s="1129"/>
      <c r="U27" s="1129"/>
      <c r="V27" s="1129"/>
      <c r="W27" s="1129"/>
      <c r="X27" s="1129"/>
      <c r="Y27" s="1129"/>
      <c r="Z27" s="1129"/>
      <c r="AA27" s="1129"/>
      <c r="AB27" s="1129"/>
    </row>
    <row r="28" spans="2:29" s="1126" customFormat="1" ht="14.1" customHeight="1" thickTop="1" thickBot="1">
      <c r="B28" s="1152" t="s">
        <v>781</v>
      </c>
      <c r="C28" s="1153"/>
      <c r="D28" s="1154">
        <f>D14-D20</f>
        <v>2078830</v>
      </c>
      <c r="E28" s="1154">
        <f>E14-E20</f>
        <v>2238720</v>
      </c>
      <c r="F28" s="1172">
        <f>F14-F20</f>
        <v>1952710</v>
      </c>
      <c r="G28" s="1155">
        <f t="shared" si="0"/>
        <v>87.224396083476279</v>
      </c>
      <c r="H28" s="187"/>
      <c r="I28" s="1129"/>
      <c r="J28" s="1129"/>
      <c r="K28" s="1129"/>
      <c r="L28" s="1129"/>
      <c r="M28" s="1129"/>
      <c r="N28" s="1129"/>
      <c r="O28" s="1129"/>
      <c r="P28" s="1129"/>
      <c r="Q28" s="1129"/>
      <c r="R28" s="1129"/>
      <c r="S28" s="1129"/>
      <c r="T28" s="1129"/>
      <c r="U28" s="1129"/>
      <c r="V28" s="1129"/>
      <c r="W28" s="1129"/>
      <c r="X28" s="1129"/>
      <c r="Y28" s="1129"/>
      <c r="Z28" s="1129"/>
      <c r="AA28" s="1129"/>
      <c r="AB28" s="1129"/>
    </row>
    <row r="29" spans="2:29" s="1126" customFormat="1" ht="14.1" customHeight="1" thickTop="1">
      <c r="B29" s="1141" t="s">
        <v>782</v>
      </c>
      <c r="C29" s="1142">
        <v>811</v>
      </c>
      <c r="D29" s="1143">
        <f>Prihodi!D207</f>
        <v>0</v>
      </c>
      <c r="E29" s="1143">
        <f>Prihodi!E207</f>
        <v>810</v>
      </c>
      <c r="F29" s="1171">
        <f>Prihodi!G207</f>
        <v>0</v>
      </c>
      <c r="G29" s="1144">
        <f t="shared" si="0"/>
        <v>0</v>
      </c>
      <c r="H29" s="187"/>
      <c r="I29" s="1129"/>
      <c r="J29" s="1129"/>
      <c r="K29" s="1129"/>
      <c r="L29" s="1129"/>
      <c r="M29" s="1129"/>
      <c r="N29" s="1129"/>
      <c r="O29" s="1129"/>
      <c r="P29" s="1129"/>
      <c r="Q29" s="1129"/>
      <c r="R29" s="1129"/>
      <c r="S29" s="1129"/>
      <c r="T29" s="1129"/>
      <c r="U29" s="1129"/>
      <c r="V29" s="1129"/>
      <c r="W29" s="1129"/>
      <c r="X29" s="1129"/>
      <c r="Y29" s="1129"/>
      <c r="Z29" s="1129"/>
      <c r="AA29" s="1129"/>
      <c r="AB29" s="1129"/>
    </row>
    <row r="30" spans="2:29" s="1126" customFormat="1" ht="14.1" customHeight="1">
      <c r="B30" s="1141" t="s">
        <v>783</v>
      </c>
      <c r="C30" s="1142">
        <v>821</v>
      </c>
      <c r="D30" s="1143">
        <f>D31</f>
        <v>1476200</v>
      </c>
      <c r="E30" s="1143">
        <f>E31</f>
        <v>1650930</v>
      </c>
      <c r="F30" s="1171">
        <f>F31</f>
        <v>1348250</v>
      </c>
      <c r="G30" s="1144">
        <f t="shared" si="0"/>
        <v>81.666091233426002</v>
      </c>
      <c r="H30" s="187"/>
      <c r="I30" s="1129"/>
      <c r="J30" s="1129"/>
      <c r="K30" s="1129"/>
      <c r="L30" s="1129"/>
      <c r="M30" s="1129"/>
      <c r="N30" s="1129"/>
      <c r="O30" s="1129"/>
      <c r="P30" s="1129"/>
      <c r="Q30" s="1129"/>
      <c r="R30" s="1129"/>
      <c r="S30" s="1129"/>
      <c r="T30" s="1129"/>
      <c r="U30" s="1129"/>
      <c r="V30" s="1129"/>
      <c r="W30" s="1129"/>
      <c r="X30" s="1129"/>
      <c r="Y30" s="1129"/>
      <c r="Z30" s="1129"/>
      <c r="AA30" s="1129"/>
      <c r="AB30" s="1129"/>
    </row>
    <row r="31" spans="2:29" s="1126" customFormat="1" ht="12.95" customHeight="1" thickBot="1">
      <c r="B31" s="1137" t="s">
        <v>541</v>
      </c>
      <c r="C31" s="1138">
        <v>821</v>
      </c>
      <c r="D31" s="1139">
        <f>Rashodi!F99</f>
        <v>1476200</v>
      </c>
      <c r="E31" s="1139">
        <f>Rashodi!G99</f>
        <v>1650930</v>
      </c>
      <c r="F31" s="1124">
        <f>Rashodi!K99</f>
        <v>1348250</v>
      </c>
      <c r="G31" s="1140">
        <f>IF(E31=0,,F31/E31*100)</f>
        <v>81.666091233426002</v>
      </c>
      <c r="H31" s="187"/>
      <c r="I31" s="1129"/>
      <c r="J31" s="1129"/>
      <c r="K31" s="1129"/>
      <c r="L31" s="1129"/>
      <c r="M31" s="1129"/>
      <c r="N31" s="1129"/>
      <c r="O31" s="1129"/>
      <c r="P31" s="1129"/>
      <c r="Q31" s="1129"/>
      <c r="R31" s="1129"/>
      <c r="S31" s="1129"/>
      <c r="T31" s="1129"/>
      <c r="U31" s="1129"/>
      <c r="V31" s="1129"/>
      <c r="W31" s="1129"/>
      <c r="X31" s="1129"/>
      <c r="Y31" s="1129"/>
      <c r="Z31" s="1129"/>
      <c r="AA31" s="1129"/>
      <c r="AB31" s="1129"/>
      <c r="AC31" s="1129"/>
    </row>
    <row r="32" spans="2:29" s="1126" customFormat="1" ht="14.1" customHeight="1" thickTop="1" thickBot="1">
      <c r="B32" s="1156" t="s">
        <v>784</v>
      </c>
      <c r="C32" s="1157"/>
      <c r="D32" s="1158">
        <f>D29-D30</f>
        <v>-1476200</v>
      </c>
      <c r="E32" s="1158">
        <f>E29-E30</f>
        <v>-1650120</v>
      </c>
      <c r="F32" s="1173">
        <f>F29-F30</f>
        <v>-1348250</v>
      </c>
      <c r="G32" s="1159">
        <f t="shared" si="0"/>
        <v>81.7061789445616</v>
      </c>
      <c r="H32" s="187"/>
      <c r="I32" s="1129"/>
      <c r="J32" s="1129"/>
      <c r="K32" s="1129"/>
      <c r="L32" s="1129"/>
      <c r="M32" s="1129"/>
      <c r="N32" s="1129"/>
      <c r="O32" s="1129"/>
      <c r="P32" s="1129"/>
      <c r="Q32" s="1129"/>
      <c r="R32" s="1129"/>
      <c r="S32" s="1129"/>
      <c r="T32" s="1129"/>
      <c r="U32" s="1129"/>
      <c r="V32" s="1129"/>
      <c r="W32" s="1129"/>
      <c r="X32" s="1129"/>
      <c r="Y32" s="1129"/>
      <c r="Z32" s="1129"/>
      <c r="AA32" s="1129"/>
      <c r="AB32" s="1129"/>
    </row>
    <row r="33" spans="2:29" s="1126" customFormat="1" ht="19.5" customHeight="1" thickTop="1" thickBot="1">
      <c r="B33" s="1152" t="s">
        <v>785</v>
      </c>
      <c r="C33" s="1153"/>
      <c r="D33" s="1160">
        <f>D28+D32</f>
        <v>602630</v>
      </c>
      <c r="E33" s="1160">
        <f>E28+E32</f>
        <v>588600</v>
      </c>
      <c r="F33" s="1174">
        <f>F28+F32</f>
        <v>604460</v>
      </c>
      <c r="G33" s="1155">
        <f t="shared" si="0"/>
        <v>102.6945293917771</v>
      </c>
      <c r="H33" s="187"/>
      <c r="I33" s="1129"/>
      <c r="J33" s="1129"/>
      <c r="K33" s="1129"/>
      <c r="L33" s="1129"/>
      <c r="M33" s="1129"/>
      <c r="N33" s="1129"/>
      <c r="O33" s="1129"/>
      <c r="P33" s="1129"/>
      <c r="Q33" s="1129"/>
      <c r="R33" s="1129"/>
      <c r="S33" s="1129"/>
      <c r="T33" s="1129"/>
      <c r="U33" s="1129"/>
      <c r="V33" s="1129"/>
      <c r="W33" s="1129"/>
      <c r="X33" s="1129"/>
      <c r="Y33" s="1129"/>
      <c r="Z33" s="1129"/>
      <c r="AA33" s="1129"/>
      <c r="AB33" s="1129"/>
    </row>
    <row r="34" spans="2:29" s="1126" customFormat="1" ht="14.1" customHeight="1" thickTop="1">
      <c r="B34" s="1141" t="s">
        <v>786</v>
      </c>
      <c r="C34" s="1142" t="s">
        <v>765</v>
      </c>
      <c r="D34" s="1143">
        <f>0</f>
        <v>0</v>
      </c>
      <c r="E34" s="1143">
        <f>0</f>
        <v>0</v>
      </c>
      <c r="F34" s="1171">
        <f>0</f>
        <v>0</v>
      </c>
      <c r="G34" s="1144">
        <f t="shared" si="0"/>
        <v>0</v>
      </c>
      <c r="H34" s="187"/>
      <c r="I34" s="1129"/>
      <c r="J34" s="1129"/>
      <c r="K34" s="1129"/>
      <c r="L34" s="1129"/>
      <c r="M34" s="1129"/>
      <c r="N34" s="1129"/>
      <c r="O34" s="1129"/>
      <c r="P34" s="1129"/>
      <c r="Q34" s="1129"/>
      <c r="R34" s="1129"/>
      <c r="S34" s="1129"/>
      <c r="T34" s="1129"/>
      <c r="U34" s="1129"/>
      <c r="V34" s="1129"/>
      <c r="W34" s="1129"/>
      <c r="X34" s="1129"/>
      <c r="Y34" s="1129"/>
      <c r="Z34" s="1129"/>
      <c r="AA34" s="1129"/>
      <c r="AB34" s="1129"/>
    </row>
    <row r="35" spans="2:29" s="1126" customFormat="1" ht="14.1" customHeight="1">
      <c r="B35" s="1161" t="s">
        <v>787</v>
      </c>
      <c r="C35" s="1162" t="s">
        <v>764</v>
      </c>
      <c r="D35" s="1163">
        <f>D36</f>
        <v>600500</v>
      </c>
      <c r="E35" s="1163">
        <f>E36</f>
        <v>585870</v>
      </c>
      <c r="F35" s="1175">
        <f>F36</f>
        <v>598890</v>
      </c>
      <c r="G35" s="1144">
        <f t="shared" si="0"/>
        <v>102.2223360131087</v>
      </c>
      <c r="H35" s="187"/>
      <c r="I35" s="1129"/>
      <c r="J35" s="1129"/>
      <c r="K35" s="1129"/>
      <c r="L35" s="1129"/>
      <c r="M35" s="1129"/>
      <c r="N35" s="1129"/>
      <c r="O35" s="1129"/>
      <c r="P35" s="1129"/>
      <c r="Q35" s="1129"/>
      <c r="R35" s="1129"/>
      <c r="S35" s="1129"/>
      <c r="T35" s="1129"/>
      <c r="U35" s="1129"/>
      <c r="V35" s="1129"/>
      <c r="W35" s="1129"/>
      <c r="X35" s="1129"/>
      <c r="Y35" s="1129"/>
      <c r="Z35" s="1129"/>
      <c r="AA35" s="1129"/>
      <c r="AB35" s="1129"/>
    </row>
    <row r="36" spans="2:29" s="1126" customFormat="1" ht="12.95" customHeight="1" thickBot="1">
      <c r="B36" s="1137" t="s">
        <v>398</v>
      </c>
      <c r="C36" s="1138">
        <v>823</v>
      </c>
      <c r="D36" s="1139">
        <f>Rashodi!F105</f>
        <v>600500</v>
      </c>
      <c r="E36" s="1139">
        <f>Rashodi!G105</f>
        <v>585870</v>
      </c>
      <c r="F36" s="1124">
        <f>Rashodi!K105</f>
        <v>598890</v>
      </c>
      <c r="G36" s="1140">
        <f t="shared" si="0"/>
        <v>102.2223360131087</v>
      </c>
      <c r="H36" s="187"/>
      <c r="I36" s="1129"/>
      <c r="J36" s="1129"/>
      <c r="K36" s="1129"/>
      <c r="L36" s="1129"/>
      <c r="M36" s="1129"/>
      <c r="N36" s="1129"/>
      <c r="O36" s="1129"/>
      <c r="P36" s="1129"/>
      <c r="Q36" s="1129"/>
      <c r="R36" s="1129"/>
      <c r="S36" s="1129"/>
      <c r="T36" s="1129"/>
      <c r="U36" s="1129"/>
      <c r="V36" s="1129"/>
      <c r="W36" s="1129"/>
      <c r="X36" s="1129"/>
      <c r="Y36" s="1129"/>
      <c r="Z36" s="1129"/>
      <c r="AA36" s="1129"/>
      <c r="AB36" s="1129"/>
      <c r="AC36" s="1129"/>
    </row>
    <row r="37" spans="2:29" s="1126" customFormat="1" ht="14.1" customHeight="1" thickTop="1" thickBot="1">
      <c r="B37" s="1156" t="s">
        <v>788</v>
      </c>
      <c r="C37" s="1157"/>
      <c r="D37" s="1158">
        <f>D34-D35</f>
        <v>-600500</v>
      </c>
      <c r="E37" s="1158">
        <f>E34-E35</f>
        <v>-585870</v>
      </c>
      <c r="F37" s="1173">
        <f>F34-F35</f>
        <v>-598890</v>
      </c>
      <c r="G37" s="1159">
        <f t="shared" si="0"/>
        <v>102.2223360131087</v>
      </c>
      <c r="H37" s="187"/>
      <c r="I37" s="1129"/>
      <c r="J37" s="1129"/>
      <c r="K37" s="1129"/>
      <c r="L37" s="1129"/>
      <c r="M37" s="1129"/>
      <c r="N37" s="1129"/>
      <c r="O37" s="1129"/>
      <c r="P37" s="1129"/>
      <c r="Q37" s="1129"/>
      <c r="R37" s="1129"/>
      <c r="S37" s="1129"/>
      <c r="T37" s="1129"/>
      <c r="U37" s="1129"/>
      <c r="V37" s="1129"/>
      <c r="W37" s="1129"/>
      <c r="X37" s="1129"/>
      <c r="Y37" s="1129"/>
      <c r="Z37" s="1129"/>
      <c r="AA37" s="1129"/>
      <c r="AB37" s="1129"/>
    </row>
    <row r="38" spans="2:29" s="1126" customFormat="1" ht="14.1" customHeight="1" thickTop="1" thickBot="1">
      <c r="B38" s="1156" t="s">
        <v>789</v>
      </c>
      <c r="C38" s="1157"/>
      <c r="D38" s="1158">
        <f>D33+D37</f>
        <v>2130</v>
      </c>
      <c r="E38" s="1158">
        <f>E33+E37</f>
        <v>2730</v>
      </c>
      <c r="F38" s="1173">
        <f>F33+F37</f>
        <v>5570</v>
      </c>
      <c r="G38" s="1159">
        <f t="shared" si="0"/>
        <v>204.029304029304</v>
      </c>
      <c r="H38" s="187"/>
      <c r="I38" s="1129"/>
      <c r="J38" s="1129"/>
      <c r="K38" s="1129"/>
      <c r="L38" s="1129"/>
      <c r="M38" s="1129"/>
      <c r="N38" s="1129"/>
      <c r="O38" s="1129"/>
      <c r="P38" s="1129"/>
      <c r="Q38" s="1129"/>
      <c r="R38" s="1129"/>
      <c r="S38" s="1129"/>
      <c r="T38" s="1129"/>
      <c r="U38" s="1129"/>
      <c r="V38" s="1129"/>
      <c r="W38" s="1129"/>
      <c r="X38" s="1129"/>
      <c r="Y38" s="1129"/>
      <c r="Z38" s="1129"/>
      <c r="AA38" s="1129"/>
      <c r="AB38" s="1129"/>
    </row>
    <row r="39" spans="2:29" s="1126" customFormat="1" ht="9" customHeight="1" thickTop="1">
      <c r="B39" s="1164"/>
      <c r="C39" s="1165"/>
      <c r="D39" s="1166"/>
      <c r="E39" s="1166"/>
      <c r="F39" s="1176"/>
      <c r="G39" s="1167"/>
      <c r="H39" s="187"/>
      <c r="I39" s="1129"/>
      <c r="J39" s="1129"/>
      <c r="K39" s="1129"/>
      <c r="L39" s="1129"/>
      <c r="M39" s="1129"/>
      <c r="N39" s="1129"/>
      <c r="O39" s="1129"/>
      <c r="P39" s="1129"/>
      <c r="Q39" s="1129"/>
      <c r="R39" s="1129"/>
      <c r="S39" s="1129"/>
      <c r="T39" s="1129"/>
      <c r="U39" s="1129"/>
      <c r="V39" s="1129"/>
      <c r="W39" s="1129"/>
      <c r="X39" s="1129"/>
      <c r="Y39" s="1129"/>
      <c r="Z39" s="1129"/>
      <c r="AA39" s="1129"/>
      <c r="AB39" s="1129"/>
    </row>
    <row r="40" spans="2:29" s="1126" customFormat="1" ht="14.1" customHeight="1">
      <c r="B40" s="1141" t="s">
        <v>790</v>
      </c>
      <c r="C40" s="1142"/>
      <c r="D40" s="1143">
        <f>D14+D29+D34</f>
        <v>42444000</v>
      </c>
      <c r="E40" s="1143">
        <f>E14+E29+E34</f>
        <v>42096900</v>
      </c>
      <c r="F40" s="1171">
        <f>F14+F29+F34</f>
        <v>41225910</v>
      </c>
      <c r="G40" s="1144">
        <f t="shared" si="0"/>
        <v>97.930987792450281</v>
      </c>
      <c r="H40" s="187"/>
      <c r="I40" s="1168"/>
      <c r="J40" s="1129"/>
      <c r="K40" s="1129"/>
      <c r="L40" s="1129"/>
      <c r="M40" s="1129"/>
      <c r="N40" s="1129"/>
      <c r="O40" s="1129"/>
      <c r="P40" s="1129"/>
      <c r="Q40" s="1129"/>
      <c r="R40" s="1129"/>
      <c r="S40" s="1129"/>
      <c r="T40" s="1129"/>
      <c r="U40" s="1129"/>
      <c r="V40" s="1129"/>
      <c r="W40" s="1129"/>
      <c r="X40" s="1129"/>
      <c r="Y40" s="1129"/>
      <c r="Z40" s="1129"/>
      <c r="AA40" s="1129"/>
      <c r="AB40" s="1129"/>
    </row>
    <row r="41" spans="2:29" s="1126" customFormat="1" ht="14.1" customHeight="1">
      <c r="B41" s="1141" t="s">
        <v>791</v>
      </c>
      <c r="C41" s="1142"/>
      <c r="D41" s="1143">
        <f>D20+D30+D35</f>
        <v>42441870</v>
      </c>
      <c r="E41" s="1143">
        <f>E20+E30+E35</f>
        <v>42094170</v>
      </c>
      <c r="F41" s="1171">
        <f>F20+F30+F35</f>
        <v>41220340</v>
      </c>
      <c r="G41" s="1144">
        <f t="shared" si="0"/>
        <v>97.924106829995694</v>
      </c>
      <c r="H41" s="187"/>
      <c r="I41" s="1129"/>
      <c r="J41" s="1129"/>
      <c r="K41" s="1129"/>
      <c r="L41" s="1129"/>
      <c r="M41" s="1129"/>
      <c r="N41" s="1129"/>
      <c r="O41" s="1129"/>
      <c r="P41" s="1129"/>
      <c r="Q41" s="1129"/>
      <c r="R41" s="1129"/>
      <c r="S41" s="1129"/>
      <c r="T41" s="1129"/>
      <c r="U41" s="1129"/>
      <c r="V41" s="1129"/>
      <c r="W41" s="1129"/>
      <c r="X41" s="1129"/>
      <c r="Y41" s="1129"/>
      <c r="Z41" s="1129"/>
      <c r="AA41" s="1129"/>
      <c r="AB41" s="1129"/>
    </row>
    <row r="42" spans="2:29" s="1126" customFormat="1" ht="14.1" customHeight="1">
      <c r="B42" s="1141" t="s">
        <v>792</v>
      </c>
      <c r="C42" s="1142"/>
      <c r="D42" s="1143">
        <f>D40-D41</f>
        <v>2130</v>
      </c>
      <c r="E42" s="1143">
        <f>E40-E41</f>
        <v>2730</v>
      </c>
      <c r="F42" s="1171">
        <f>F40-F41</f>
        <v>5570</v>
      </c>
      <c r="G42" s="1144">
        <f t="shared" si="0"/>
        <v>204.029304029304</v>
      </c>
      <c r="I42" s="1129"/>
      <c r="J42" s="1168"/>
      <c r="K42" s="1129"/>
      <c r="L42" s="1129"/>
      <c r="M42" s="1129"/>
      <c r="N42" s="1129"/>
      <c r="O42" s="1129"/>
      <c r="P42" s="1129"/>
      <c r="Q42" s="1129"/>
      <c r="R42" s="1129"/>
      <c r="S42" s="1129"/>
      <c r="T42" s="1129"/>
      <c r="U42" s="1129"/>
      <c r="V42" s="1129"/>
      <c r="W42" s="1129"/>
      <c r="X42" s="1129"/>
      <c r="Y42" s="1129"/>
      <c r="Z42" s="1129"/>
      <c r="AA42" s="1129"/>
      <c r="AB42" s="1129"/>
      <c r="AC42" s="1129"/>
    </row>
    <row r="43" spans="2:29" ht="7.5" customHeight="1">
      <c r="B43" s="164"/>
      <c r="C43" s="164"/>
      <c r="D43" s="230"/>
      <c r="E43" s="230"/>
      <c r="F43" s="230"/>
      <c r="G43" s="231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</row>
    <row r="44" spans="2:29" ht="15" customHeight="1">
      <c r="B44" s="38" t="s">
        <v>221</v>
      </c>
      <c r="C44" s="38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</row>
    <row r="45" spans="2:29" ht="15" customHeight="1">
      <c r="B45" s="1236" t="s">
        <v>666</v>
      </c>
      <c r="C45" s="1236"/>
      <c r="D45" s="1236"/>
      <c r="E45" s="1237"/>
      <c r="F45" s="1237"/>
      <c r="G45" s="1237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</row>
    <row r="46" spans="2:29" ht="15.75" customHeight="1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</row>
    <row r="47" spans="2:29" ht="15" customHeight="1">
      <c r="B47" s="61"/>
      <c r="C47" s="61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</row>
    <row r="48" spans="2:29" ht="15" customHeight="1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</row>
    <row r="49" spans="2:29" ht="15" customHeight="1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</row>
    <row r="50" spans="2:29" ht="15" customHeight="1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</row>
    <row r="51" spans="2:29" ht="15" customHeight="1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</row>
    <row r="52" spans="2:29" ht="15" customHeight="1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</row>
    <row r="53" spans="2:29" ht="15" customHeight="1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</row>
    <row r="54" spans="2:29" ht="15" customHeight="1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</row>
    <row r="55" spans="2:29" ht="15" customHeight="1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</row>
    <row r="56" spans="2:29" ht="15" customHeight="1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</row>
    <row r="57" spans="2:29" ht="15" customHeight="1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</row>
    <row r="58" spans="2:29" ht="15" customHeight="1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</row>
    <row r="59" spans="2:29" ht="15" customHeight="1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</row>
    <row r="60" spans="2:29" ht="15" customHeight="1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</row>
    <row r="61" spans="2:29" ht="15" customHeight="1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</row>
    <row r="62" spans="2:29" ht="15" customHeight="1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</row>
    <row r="63" spans="2:29" ht="15" customHeight="1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</row>
    <row r="64" spans="2:29" ht="15" customHeight="1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</row>
    <row r="65" spans="2:29" ht="15" customHeight="1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</row>
    <row r="66" spans="2:29" ht="15" customHeight="1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</row>
    <row r="67" spans="2:29" ht="15" customHeight="1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</row>
    <row r="68" spans="2:29" ht="15" customHeight="1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</row>
    <row r="69" spans="2:29" ht="15" customHeight="1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</row>
    <row r="70" spans="2:29" ht="15" customHeight="1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</row>
    <row r="71" spans="2:29" ht="15" customHeight="1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</row>
    <row r="72" spans="2:29" ht="15" customHeight="1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</row>
    <row r="73" spans="2:29" ht="15" customHeight="1"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</row>
    <row r="74" spans="2:29" ht="15" customHeight="1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</row>
    <row r="75" spans="2:29" ht="15" customHeight="1"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</row>
    <row r="76" spans="2:29" ht="15" customHeight="1"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</row>
    <row r="77" spans="2:29" ht="15" customHeight="1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</row>
    <row r="78" spans="2:29" ht="15" customHeight="1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</row>
    <row r="79" spans="2:29" ht="15" customHeight="1"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</row>
    <row r="80" spans="2:29" ht="15" customHeight="1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</row>
    <row r="81" spans="2:29" ht="15" customHeight="1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</row>
    <row r="82" spans="2:29" ht="15" customHeight="1"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</row>
    <row r="83" spans="2:29" ht="15" customHeight="1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</row>
    <row r="84" spans="2:29" ht="1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</row>
    <row r="85" spans="2:29" ht="15" customHeight="1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</row>
    <row r="86" spans="2:29" ht="1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</row>
    <row r="87" spans="2:29" ht="15" customHeight="1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</row>
    <row r="88" spans="2:29" ht="15" customHeight="1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</row>
    <row r="89" spans="2:29" ht="15" customHeight="1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</row>
    <row r="90" spans="2:29" ht="1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</row>
    <row r="91" spans="2:29" ht="15" customHeight="1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</row>
    <row r="92" spans="2:29" ht="15" customHeight="1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</row>
    <row r="93" spans="2:29" ht="15" customHeight="1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</row>
    <row r="94" spans="2:29" ht="15" customHeight="1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</row>
    <row r="95" spans="2:29" ht="15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</row>
    <row r="96" spans="2:29" ht="15" customHeight="1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</row>
    <row r="97" spans="2:29" ht="1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</row>
    <row r="98" spans="2:29" ht="15" customHeight="1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</row>
    <row r="99" spans="2:29" ht="15" customHeight="1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</row>
    <row r="100" spans="2:29" ht="15" customHeight="1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</row>
    <row r="101" spans="2:29" ht="15" customHeight="1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</row>
    <row r="102" spans="2:29" ht="15" customHeight="1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</row>
    <row r="103" spans="2:29" ht="15" customHeight="1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</row>
    <row r="104" spans="2:29" ht="15" customHeight="1"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</row>
    <row r="105" spans="2:29" ht="15" customHeight="1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</row>
    <row r="106" spans="2:29" ht="15" customHeight="1"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</row>
    <row r="107" spans="2:29" ht="15" customHeight="1"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</row>
    <row r="108" spans="2:29" ht="15" customHeight="1"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</row>
    <row r="109" spans="2:29" ht="15" customHeight="1"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</row>
    <row r="110" spans="2:29" ht="15" customHeight="1"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</row>
    <row r="111" spans="2:29" ht="15" customHeight="1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</row>
    <row r="112" spans="2:29" ht="15" customHeight="1"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</row>
    <row r="113" spans="2:29" ht="15" customHeight="1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</row>
    <row r="114" spans="2:29" ht="15" customHeight="1"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</row>
    <row r="115" spans="2:29" ht="15" customHeight="1"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</row>
    <row r="116" spans="2:29" ht="15" customHeight="1"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</row>
    <row r="117" spans="2:29" ht="15" customHeight="1"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</row>
    <row r="118" spans="2:29" ht="15" customHeight="1"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</row>
    <row r="119" spans="2:29" ht="15" customHeight="1"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</row>
    <row r="120" spans="2:29" ht="15" customHeight="1"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</row>
    <row r="121" spans="2:29" ht="15" customHeight="1"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</row>
    <row r="122" spans="2:29" ht="15" customHeight="1"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</row>
    <row r="123" spans="2:29" ht="15" customHeight="1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</row>
    <row r="124" spans="2:29" ht="15" customHeight="1"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</row>
    <row r="125" spans="2:29" ht="15" customHeight="1"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</row>
    <row r="126" spans="2:29" ht="15" customHeight="1"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</row>
    <row r="127" spans="2:29" ht="15" customHeight="1"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</row>
    <row r="128" spans="2:29" ht="15" customHeight="1"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</row>
    <row r="129" spans="2:29" ht="15" customHeight="1"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</row>
    <row r="130" spans="2:29" ht="15" customHeight="1"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</row>
    <row r="131" spans="2:29" ht="15" customHeight="1"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</row>
    <row r="132" spans="2:29" ht="15" customHeight="1"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</row>
    <row r="133" spans="2:29" ht="15" customHeight="1"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</row>
    <row r="134" spans="2:29" ht="15" customHeight="1"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</row>
    <row r="135" spans="2:29" ht="15" customHeight="1"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</row>
    <row r="136" spans="2:29" ht="15" customHeight="1"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</row>
    <row r="137" spans="2:29" ht="15" customHeight="1"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</row>
    <row r="138" spans="2:29" ht="15" customHeight="1"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</row>
    <row r="139" spans="2:29" ht="15" customHeight="1"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</row>
    <row r="140" spans="2:29" ht="15" customHeight="1"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</row>
    <row r="141" spans="2:29" ht="15" customHeight="1"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</row>
    <row r="142" spans="2:29" ht="15" customHeight="1"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</row>
    <row r="143" spans="2:29" ht="15" customHeight="1"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</row>
    <row r="144" spans="2:29" ht="15" customHeight="1"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</row>
    <row r="145" spans="2:29" ht="15" customHeight="1"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</row>
    <row r="146" spans="2:29" ht="15" customHeight="1"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</row>
    <row r="147" spans="2:29" ht="15" customHeight="1"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</row>
    <row r="148" spans="2:29" ht="15" customHeight="1"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</row>
    <row r="149" spans="2:29" ht="15" customHeight="1"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</row>
    <row r="150" spans="2:29" ht="15" customHeight="1"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</row>
    <row r="151" spans="2:29" ht="15" customHeight="1"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</row>
    <row r="152" spans="2:29" ht="15" customHeight="1"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</row>
    <row r="153" spans="2:29" ht="15" customHeight="1"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</row>
    <row r="154" spans="2:29" ht="15" customHeight="1"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</row>
    <row r="155" spans="2:29" ht="15" customHeight="1"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</row>
    <row r="156" spans="2:29" ht="15" customHeight="1"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</row>
    <row r="157" spans="2:29" ht="15" customHeight="1"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</row>
    <row r="158" spans="2:29" ht="15" customHeight="1"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</row>
    <row r="159" spans="2:29" ht="15" customHeight="1"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</row>
    <row r="160" spans="2:29" ht="15" customHeight="1"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</row>
    <row r="161" spans="2:29" ht="15" customHeight="1"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</row>
    <row r="162" spans="2:29" ht="15" customHeight="1"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</row>
    <row r="163" spans="2:29" ht="15" customHeight="1"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</row>
    <row r="164" spans="2:29" ht="15" customHeight="1"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</row>
    <row r="165" spans="2:29" ht="15" customHeight="1"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</row>
    <row r="166" spans="2:29" ht="15" customHeight="1"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</row>
    <row r="167" spans="2:29" ht="15" customHeight="1"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</row>
    <row r="168" spans="2:29" ht="15" customHeight="1"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</row>
    <row r="169" spans="2:29" ht="15" customHeight="1"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</row>
    <row r="170" spans="2:29" ht="15" customHeight="1"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</row>
    <row r="171" spans="2:29" ht="15" customHeight="1"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</row>
    <row r="172" spans="2:29" ht="15" customHeight="1"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</row>
    <row r="173" spans="2:29" ht="15" customHeight="1"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</row>
    <row r="174" spans="2:29" ht="15" customHeight="1"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</row>
    <row r="175" spans="2:29" ht="15" customHeight="1"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</row>
    <row r="176" spans="2:29" ht="15" customHeight="1"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</row>
    <row r="177" spans="9:29" ht="15" customHeight="1"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</row>
    <row r="178" spans="9:29" ht="15" customHeight="1"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</row>
    <row r="179" spans="9:29" ht="15" customHeight="1"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</row>
    <row r="180" spans="9:29" ht="15" customHeight="1"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</row>
    <row r="181" spans="9:29" ht="15" customHeight="1"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</row>
    <row r="182" spans="9:29" ht="15" customHeight="1"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</row>
    <row r="183" spans="9:29" ht="15" customHeight="1"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</row>
    <row r="184" spans="9:29" ht="15" customHeight="1"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</row>
    <row r="185" spans="9:29" ht="15" customHeight="1"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</row>
    <row r="186" spans="9:29" ht="15" customHeight="1"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</row>
    <row r="187" spans="9:29" ht="15" customHeight="1"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</row>
    <row r="188" spans="9:29" ht="15" customHeight="1"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</row>
    <row r="189" spans="9:29" ht="15" customHeight="1"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</row>
    <row r="190" spans="9:29" ht="15" customHeight="1"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</row>
    <row r="191" spans="9:29" ht="15" customHeight="1"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</row>
    <row r="192" spans="9:29" ht="15" customHeight="1"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</row>
    <row r="193" spans="9:29" ht="15" customHeight="1"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</row>
    <row r="194" spans="9:29" ht="15" customHeight="1"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</row>
    <row r="195" spans="9:29" ht="15" customHeight="1"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</row>
    <row r="196" spans="9:29" ht="15" customHeight="1"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</row>
    <row r="197" spans="9:29" ht="15" customHeight="1"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</row>
    <row r="198" spans="9:29" ht="15" customHeight="1"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</row>
    <row r="199" spans="9:29" ht="15" customHeight="1"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</row>
    <row r="200" spans="9:29" ht="15" customHeight="1"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</row>
    <row r="201" spans="9:29" ht="15" customHeight="1"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</row>
    <row r="202" spans="9:29" ht="15" customHeight="1"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</row>
    <row r="203" spans="9:29" ht="15" customHeight="1"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</row>
    <row r="204" spans="9:29" ht="15" customHeight="1"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</row>
    <row r="205" spans="9:29" ht="15" customHeight="1"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</row>
    <row r="206" spans="9:29" ht="15" customHeight="1"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</row>
    <row r="207" spans="9:29" ht="15" customHeight="1"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</row>
    <row r="208" spans="9:29" ht="15" customHeight="1"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</row>
    <row r="209" spans="9:29" ht="15" customHeight="1"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</row>
    <row r="210" spans="9:29" ht="15" customHeight="1"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</row>
    <row r="211" spans="9:29" ht="15" customHeight="1"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</row>
    <row r="212" spans="9:29" ht="15" customHeight="1"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</row>
    <row r="213" spans="9:29" ht="15" customHeight="1"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</row>
    <row r="214" spans="9:29" ht="15" customHeight="1"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</row>
    <row r="215" spans="9:29" ht="15" customHeight="1"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</row>
    <row r="216" spans="9:29" ht="15" customHeight="1"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</row>
    <row r="217" spans="9:29" ht="15" customHeight="1"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</row>
    <row r="218" spans="9:29" ht="15" customHeight="1"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</row>
    <row r="219" spans="9:29" ht="15" customHeight="1"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</row>
    <row r="220" spans="9:29" ht="15" customHeight="1"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</row>
    <row r="221" spans="9:29" ht="15" customHeight="1"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</row>
    <row r="222" spans="9:29" ht="15" customHeight="1"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</row>
    <row r="223" spans="9:29" ht="15" customHeight="1"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</row>
    <row r="224" spans="9:29" ht="15" customHeight="1"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</row>
    <row r="225" spans="9:29" ht="15" customHeight="1"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</row>
    <row r="226" spans="9:29" ht="15" customHeight="1"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</row>
    <row r="227" spans="9:29" ht="15" customHeight="1"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</row>
    <row r="228" spans="9:29" ht="15" customHeight="1"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</row>
    <row r="229" spans="9:29" ht="15" customHeight="1"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</row>
    <row r="230" spans="9:29" ht="15" customHeight="1"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</row>
    <row r="231" spans="9:29" ht="15" customHeight="1"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</row>
    <row r="232" spans="9:29" ht="15" customHeight="1"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</row>
    <row r="233" spans="9:29" ht="15" customHeight="1"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</row>
    <row r="234" spans="9:29" ht="15" customHeight="1"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</row>
    <row r="235" spans="9:29" ht="15" customHeight="1"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</row>
    <row r="236" spans="9:29" ht="15" customHeight="1"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</row>
    <row r="237" spans="9:29" ht="15" customHeight="1"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</row>
    <row r="238" spans="9:29" ht="15" customHeight="1"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</row>
    <row r="239" spans="9:29" ht="15" customHeight="1"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</row>
    <row r="240" spans="9:29" ht="15" customHeight="1"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</row>
    <row r="241" spans="9:29" ht="15" customHeight="1"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</row>
    <row r="242" spans="9:29" ht="15" customHeight="1"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</row>
    <row r="243" spans="9:29" ht="15" customHeight="1"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</row>
    <row r="244" spans="9:29" ht="15" customHeight="1"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</row>
    <row r="245" spans="9:29" ht="15" customHeight="1"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</row>
    <row r="246" spans="9:29" ht="15" customHeight="1"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</row>
    <row r="247" spans="9:29" ht="15" customHeight="1"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</row>
    <row r="248" spans="9:29" ht="15" customHeight="1"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</row>
    <row r="249" spans="9:29" ht="15" customHeight="1"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</row>
    <row r="250" spans="9:29" ht="15" customHeight="1"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</row>
    <row r="251" spans="9:29" ht="15" customHeight="1"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</row>
    <row r="252" spans="9:29" ht="15" customHeight="1"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</row>
    <row r="253" spans="9:29" ht="15" customHeight="1"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</row>
    <row r="254" spans="9:29" ht="15" customHeight="1"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</row>
    <row r="255" spans="9:29" ht="15" customHeight="1"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</row>
    <row r="256" spans="9:29" ht="15" customHeight="1"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</row>
    <row r="257" spans="9:29" ht="15" customHeight="1"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</row>
    <row r="258" spans="9:29" ht="15" customHeight="1"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</row>
    <row r="259" spans="9:29" ht="15" customHeight="1"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</row>
    <row r="260" spans="9:29" ht="15" customHeight="1"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</row>
    <row r="261" spans="9:29" ht="15" customHeight="1"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</row>
    <row r="262" spans="9:29" ht="15" customHeight="1"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</row>
    <row r="263" spans="9:29" ht="15" customHeight="1"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</row>
    <row r="264" spans="9:29" ht="15" customHeight="1"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</row>
    <row r="265" spans="9:29" ht="15" customHeight="1"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</row>
    <row r="266" spans="9:29" ht="15" customHeight="1"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</row>
    <row r="267" spans="9:29" ht="15" customHeight="1"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</row>
    <row r="268" spans="9:29" ht="15" customHeight="1"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</row>
    <row r="269" spans="9:29" ht="15" customHeight="1"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</row>
    <row r="270" spans="9:29" ht="15" customHeight="1"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</row>
    <row r="271" spans="9:29" ht="15" customHeight="1"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</row>
    <row r="272" spans="9:29" ht="15" customHeight="1"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</row>
    <row r="273" spans="9:29" ht="15" customHeight="1"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</row>
    <row r="274" spans="9:29" ht="15" customHeight="1"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</row>
    <row r="275" spans="9:29" ht="15" customHeight="1"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</row>
    <row r="276" spans="9:29" ht="15" customHeight="1"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</row>
    <row r="277" spans="9:29" ht="15" customHeight="1"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</row>
    <row r="278" spans="9:29" ht="15" customHeight="1"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</row>
    <row r="279" spans="9:29" ht="15" customHeight="1"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</row>
    <row r="280" spans="9:29" ht="15" customHeight="1"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</row>
    <row r="281" spans="9:29" ht="15" customHeight="1"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</row>
    <row r="282" spans="9:29" ht="15" customHeight="1"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</row>
    <row r="283" spans="9:29" ht="15" customHeight="1"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</row>
    <row r="284" spans="9:29" ht="15" customHeight="1"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</row>
    <row r="285" spans="9:29" ht="15" customHeight="1"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</row>
    <row r="286" spans="9:29" ht="15" customHeight="1"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</row>
    <row r="287" spans="9:29" ht="15" customHeight="1"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</row>
    <row r="288" spans="9:29" ht="15" customHeight="1"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</row>
    <row r="289" spans="9:29" ht="15" customHeight="1"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</row>
    <row r="290" spans="9:29" ht="15" customHeight="1"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</row>
    <row r="291" spans="9:29" ht="15" customHeight="1"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</row>
    <row r="292" spans="9:29" ht="15" customHeight="1"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</row>
    <row r="293" spans="9:29" ht="15" customHeight="1"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</row>
    <row r="294" spans="9:29" ht="15" customHeight="1"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</row>
    <row r="295" spans="9:29" ht="15" customHeight="1"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</row>
    <row r="296" spans="9:29" ht="15" customHeight="1"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</row>
    <row r="297" spans="9:29" ht="15" customHeight="1"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</row>
    <row r="298" spans="9:29" ht="15" customHeight="1"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</row>
    <row r="299" spans="9:29" ht="15" customHeight="1"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</row>
    <row r="300" spans="9:29" ht="15" customHeight="1"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</row>
    <row r="301" spans="9:29" ht="15" customHeight="1"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</row>
    <row r="302" spans="9:29" ht="15" customHeight="1"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</row>
  </sheetData>
  <mergeCells count="5">
    <mergeCell ref="B1:G4"/>
    <mergeCell ref="B5:G5"/>
    <mergeCell ref="B6:G6"/>
    <mergeCell ref="B10:G10"/>
    <mergeCell ref="B45:G45"/>
  </mergeCells>
  <phoneticPr fontId="0" type="noConversion"/>
  <pageMargins left="0.9055118110236221" right="0.31496062992125984" top="0.35433070866141736" bottom="0.51181102362204722" header="0.39370078740157483" footer="0.31496062992125984"/>
  <pageSetup paperSize="9" scale="88" orientation="landscape" r:id="rId1"/>
  <headerFooter alignWithMargins="0">
    <oddFooter>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7"/>
  <dimension ref="A1:P96"/>
  <sheetViews>
    <sheetView zoomScaleNormal="100" workbookViewId="0">
      <selection activeCell="Q14" sqref="Q14"/>
    </sheetView>
  </sheetViews>
  <sheetFormatPr defaultRowHeight="12.75"/>
  <cols>
    <col min="1" max="1" width="9.140625" style="611"/>
    <col min="2" max="2" width="4.7109375" style="9" customWidth="1"/>
    <col min="3" max="3" width="5.140625" style="9" customWidth="1"/>
    <col min="4" max="4" width="5" style="9" customWidth="1"/>
    <col min="5" max="5" width="8.7109375" style="18" customWidth="1"/>
    <col min="6" max="6" width="8.7109375" style="616" customWidth="1"/>
    <col min="7" max="7" width="50.7109375" style="9" customWidth="1"/>
    <col min="8" max="10" width="14.7109375" style="9" customWidth="1"/>
    <col min="11" max="12" width="14.7109375" style="611" customWidth="1"/>
    <col min="13" max="13" width="15.7109375" style="9" customWidth="1"/>
    <col min="14" max="14" width="7.7109375" style="680" customWidth="1"/>
    <col min="15" max="16384" width="9.140625" style="9"/>
  </cols>
  <sheetData>
    <row r="1" spans="1:16" ht="13.5" thickBot="1"/>
    <row r="2" spans="1:16" s="126" customFormat="1" ht="20.100000000000001" customHeight="1" thickTop="1" thickBot="1">
      <c r="A2" s="1052"/>
      <c r="B2" s="1261" t="s">
        <v>169</v>
      </c>
      <c r="C2" s="1262"/>
      <c r="D2" s="1262"/>
      <c r="E2" s="1262"/>
      <c r="F2" s="1262"/>
      <c r="G2" s="1262"/>
      <c r="H2" s="1262"/>
      <c r="I2" s="1262"/>
      <c r="J2" s="1262"/>
      <c r="K2" s="1262"/>
      <c r="L2" s="1262"/>
      <c r="M2" s="1262"/>
      <c r="N2" s="1056"/>
    </row>
    <row r="3" spans="1:16" s="1" customFormat="1" ht="8.1" customHeight="1" thickTop="1" thickBot="1">
      <c r="A3" s="608"/>
      <c r="E3" s="2"/>
      <c r="F3" s="609"/>
      <c r="G3" s="1264"/>
      <c r="H3" s="1264"/>
      <c r="I3" s="306"/>
      <c r="J3" s="306"/>
      <c r="K3" s="119"/>
      <c r="L3" s="119"/>
      <c r="M3" s="119"/>
      <c r="N3" s="674"/>
    </row>
    <row r="4" spans="1:16" s="1" customFormat="1" ht="39" customHeight="1">
      <c r="A4" s="608"/>
      <c r="B4" s="1268" t="s">
        <v>78</v>
      </c>
      <c r="C4" s="1280" t="s">
        <v>79</v>
      </c>
      <c r="D4" s="1281" t="s">
        <v>110</v>
      </c>
      <c r="E4" s="1282" t="s">
        <v>615</v>
      </c>
      <c r="F4" s="1273" t="s">
        <v>695</v>
      </c>
      <c r="G4" s="1274" t="s">
        <v>80</v>
      </c>
      <c r="H4" s="1283" t="s">
        <v>614</v>
      </c>
      <c r="I4" s="1284" t="s">
        <v>747</v>
      </c>
      <c r="J4" s="1283" t="s">
        <v>667</v>
      </c>
      <c r="K4" s="1265" t="s">
        <v>682</v>
      </c>
      <c r="L4" s="1266"/>
      <c r="M4" s="1267"/>
      <c r="N4" s="1278" t="s">
        <v>756</v>
      </c>
    </row>
    <row r="5" spans="1:16" s="608" customFormat="1" ht="27" customHeight="1">
      <c r="B5" s="1269"/>
      <c r="C5" s="1271"/>
      <c r="D5" s="1271"/>
      <c r="E5" s="1275"/>
      <c r="F5" s="1271"/>
      <c r="G5" s="1275"/>
      <c r="H5" s="1275"/>
      <c r="I5" s="1275"/>
      <c r="J5" s="1275"/>
      <c r="K5" s="1048" t="s">
        <v>753</v>
      </c>
      <c r="L5" s="1048" t="s">
        <v>754</v>
      </c>
      <c r="M5" s="1059" t="s">
        <v>426</v>
      </c>
      <c r="N5" s="1279"/>
    </row>
    <row r="6" spans="1:16" s="2" customFormat="1" ht="12.95" customHeight="1">
      <c r="A6" s="609"/>
      <c r="B6" s="1181">
        <v>1</v>
      </c>
      <c r="C6" s="661">
        <v>2</v>
      </c>
      <c r="D6" s="661">
        <v>3</v>
      </c>
      <c r="E6" s="661">
        <v>4</v>
      </c>
      <c r="F6" s="661">
        <v>5</v>
      </c>
      <c r="G6" s="661">
        <v>6</v>
      </c>
      <c r="H6" s="661">
        <v>7</v>
      </c>
      <c r="I6" s="661">
        <v>8</v>
      </c>
      <c r="J6" s="661">
        <v>9</v>
      </c>
      <c r="K6" s="661">
        <v>10</v>
      </c>
      <c r="L6" s="661">
        <v>11</v>
      </c>
      <c r="M6" s="1201" t="s">
        <v>755</v>
      </c>
      <c r="N6" s="1183">
        <v>13</v>
      </c>
    </row>
    <row r="7" spans="1:16" s="2" customFormat="1" ht="12.95" customHeight="1">
      <c r="A7" s="609"/>
      <c r="B7" s="6" t="s">
        <v>143</v>
      </c>
      <c r="C7" s="7" t="s">
        <v>145</v>
      </c>
      <c r="D7" s="7" t="s">
        <v>117</v>
      </c>
      <c r="E7" s="5"/>
      <c r="F7" s="610"/>
      <c r="G7" s="5"/>
      <c r="H7" s="5"/>
      <c r="I7" s="5"/>
      <c r="J7" s="5"/>
      <c r="K7" s="610"/>
      <c r="L7" s="610"/>
      <c r="M7" s="1060"/>
      <c r="N7" s="675"/>
    </row>
    <row r="8" spans="1:16" s="1" customFormat="1" ht="12.95" customHeight="1">
      <c r="A8" s="608"/>
      <c r="B8" s="12"/>
      <c r="C8" s="8"/>
      <c r="D8" s="8"/>
      <c r="E8" s="635">
        <v>611000</v>
      </c>
      <c r="F8" s="661"/>
      <c r="G8" s="8" t="s">
        <v>163</v>
      </c>
      <c r="H8" s="256">
        <f>SUM(H9:H12)</f>
        <v>2157050</v>
      </c>
      <c r="I8" s="886">
        <v>2177270</v>
      </c>
      <c r="J8" s="517">
        <v>1565777</v>
      </c>
      <c r="K8" s="256">
        <f>SUM(K9:K12)</f>
        <v>2271800</v>
      </c>
      <c r="L8" s="256">
        <f>SUM(L9:L12)</f>
        <v>0</v>
      </c>
      <c r="M8" s="1061">
        <f>SUM(M9:M12)</f>
        <v>2271800</v>
      </c>
      <c r="N8" s="676">
        <f>IF(I8=0,"",M8/I8*100)</f>
        <v>104.34167558456231</v>
      </c>
    </row>
    <row r="9" spans="1:16" ht="12.95" customHeight="1">
      <c r="B9" s="10"/>
      <c r="C9" s="11"/>
      <c r="D9" s="11"/>
      <c r="E9" s="636">
        <v>611100</v>
      </c>
      <c r="F9" s="662"/>
      <c r="G9" s="20" t="s">
        <v>204</v>
      </c>
      <c r="H9" s="255">
        <f>1718040+0+660+7000+51550</f>
        <v>1777250</v>
      </c>
      <c r="I9" s="885">
        <v>1774490</v>
      </c>
      <c r="J9" s="516">
        <v>1295427</v>
      </c>
      <c r="K9" s="255">
        <f>1879000+0+8*500</f>
        <v>1883000</v>
      </c>
      <c r="L9" s="255">
        <v>0</v>
      </c>
      <c r="M9" s="1062">
        <f>SUM(K9:L9)</f>
        <v>1883000</v>
      </c>
      <c r="N9" s="677">
        <f>IF(I9=0,"",M9/I9*100)</f>
        <v>106.11499642150703</v>
      </c>
    </row>
    <row r="10" spans="1:16" ht="12.95" customHeight="1">
      <c r="B10" s="10"/>
      <c r="C10" s="11"/>
      <c r="D10" s="11"/>
      <c r="E10" s="636">
        <v>611200</v>
      </c>
      <c r="F10" s="662"/>
      <c r="G10" s="11" t="s">
        <v>205</v>
      </c>
      <c r="H10" s="255">
        <f>366560+4000+3*1470+840+2590+1400</f>
        <v>379800</v>
      </c>
      <c r="I10" s="885">
        <v>402780</v>
      </c>
      <c r="J10" s="516">
        <v>270350</v>
      </c>
      <c r="K10" s="255">
        <f>376200+5400+8*900</f>
        <v>388800</v>
      </c>
      <c r="L10" s="255">
        <v>0</v>
      </c>
      <c r="M10" s="1062">
        <f t="shared" ref="M10:M11" si="0">SUM(K10:L10)</f>
        <v>388800</v>
      </c>
      <c r="N10" s="677">
        <f t="shared" ref="N10:N35" si="1">IF(I10=0,"",M10/I10*100)</f>
        <v>96.52912259794428</v>
      </c>
      <c r="P10" s="64"/>
    </row>
    <row r="11" spans="1:16" ht="12.95" customHeight="1">
      <c r="B11" s="10"/>
      <c r="C11" s="11"/>
      <c r="D11" s="11"/>
      <c r="E11" s="636">
        <v>611200</v>
      </c>
      <c r="F11" s="662"/>
      <c r="G11" s="229" t="s">
        <v>547</v>
      </c>
      <c r="H11" s="255">
        <v>0</v>
      </c>
      <c r="I11" s="885">
        <v>0</v>
      </c>
      <c r="J11" s="516">
        <v>0</v>
      </c>
      <c r="K11" s="255">
        <v>0</v>
      </c>
      <c r="L11" s="255">
        <v>0</v>
      </c>
      <c r="M11" s="1062">
        <f t="shared" si="0"/>
        <v>0</v>
      </c>
      <c r="N11" s="677" t="str">
        <f t="shared" si="1"/>
        <v/>
      </c>
      <c r="P11" s="63"/>
    </row>
    <row r="12" spans="1:16" ht="12.95" customHeight="1">
      <c r="B12" s="10"/>
      <c r="C12" s="11"/>
      <c r="D12" s="11"/>
      <c r="E12" s="636"/>
      <c r="F12" s="662"/>
      <c r="G12" s="20"/>
      <c r="H12" s="255"/>
      <c r="I12" s="885"/>
      <c r="J12" s="516"/>
      <c r="K12" s="255"/>
      <c r="L12" s="255"/>
      <c r="M12" s="1062"/>
      <c r="N12" s="677" t="str">
        <f t="shared" si="1"/>
        <v/>
      </c>
    </row>
    <row r="13" spans="1:16" s="1" customFormat="1" ht="12.95" customHeight="1">
      <c r="A13" s="608"/>
      <c r="B13" s="12"/>
      <c r="C13" s="8"/>
      <c r="D13" s="8"/>
      <c r="E13" s="635">
        <v>612000</v>
      </c>
      <c r="F13" s="661"/>
      <c r="G13" s="8" t="s">
        <v>162</v>
      </c>
      <c r="H13" s="256">
        <f>H14</f>
        <v>190200</v>
      </c>
      <c r="I13" s="886">
        <v>193450</v>
      </c>
      <c r="J13" s="517">
        <v>141143</v>
      </c>
      <c r="K13" s="256">
        <f>K14</f>
        <v>209380</v>
      </c>
      <c r="L13" s="256">
        <f>L14</f>
        <v>0</v>
      </c>
      <c r="M13" s="1061">
        <f>M14</f>
        <v>209380</v>
      </c>
      <c r="N13" s="676">
        <f t="shared" si="1"/>
        <v>108.23468596536571</v>
      </c>
    </row>
    <row r="14" spans="1:16" ht="12.95" customHeight="1">
      <c r="B14" s="10"/>
      <c r="C14" s="11"/>
      <c r="D14" s="11"/>
      <c r="E14" s="636">
        <v>612100</v>
      </c>
      <c r="F14" s="662"/>
      <c r="G14" s="13" t="s">
        <v>83</v>
      </c>
      <c r="H14" s="255">
        <f>183910+0+770+5520</f>
        <v>190200</v>
      </c>
      <c r="I14" s="885">
        <v>193450</v>
      </c>
      <c r="J14" s="516">
        <v>141143</v>
      </c>
      <c r="K14" s="255">
        <f>208000+820+8*70</f>
        <v>209380</v>
      </c>
      <c r="L14" s="255">
        <v>0</v>
      </c>
      <c r="M14" s="1062">
        <f>SUM(K14:L14)</f>
        <v>209380</v>
      </c>
      <c r="N14" s="677">
        <f t="shared" si="1"/>
        <v>108.23468596536571</v>
      </c>
    </row>
    <row r="15" spans="1:16" ht="12.95" customHeight="1">
      <c r="B15" s="10"/>
      <c r="C15" s="11"/>
      <c r="D15" s="11"/>
      <c r="E15" s="636"/>
      <c r="F15" s="662"/>
      <c r="G15" s="11"/>
      <c r="H15" s="57"/>
      <c r="I15" s="882"/>
      <c r="J15" s="513"/>
      <c r="K15" s="595"/>
      <c r="L15" s="595"/>
      <c r="M15" s="1063"/>
      <c r="N15" s="677" t="str">
        <f t="shared" si="1"/>
        <v/>
      </c>
    </row>
    <row r="16" spans="1:16" s="1" customFormat="1" ht="12.95" customHeight="1">
      <c r="A16" s="608"/>
      <c r="B16" s="12"/>
      <c r="C16" s="8"/>
      <c r="D16" s="8"/>
      <c r="E16" s="635">
        <v>613000</v>
      </c>
      <c r="F16" s="661"/>
      <c r="G16" s="8" t="s">
        <v>164</v>
      </c>
      <c r="H16" s="35">
        <f>SUM(H17:H26)</f>
        <v>222000</v>
      </c>
      <c r="I16" s="881">
        <v>208000</v>
      </c>
      <c r="J16" s="512">
        <v>117658</v>
      </c>
      <c r="K16" s="620">
        <f>SUM(K17:K26)</f>
        <v>212000</v>
      </c>
      <c r="L16" s="620">
        <f>SUM(L17:L26)</f>
        <v>0</v>
      </c>
      <c r="M16" s="1064">
        <f>SUM(M17:M26)</f>
        <v>212000</v>
      </c>
      <c r="N16" s="676">
        <f t="shared" si="1"/>
        <v>101.92307692307692</v>
      </c>
    </row>
    <row r="17" spans="1:15" ht="12.95" customHeight="1">
      <c r="B17" s="10"/>
      <c r="C17" s="11"/>
      <c r="D17" s="11"/>
      <c r="E17" s="636">
        <v>613100</v>
      </c>
      <c r="F17" s="662"/>
      <c r="G17" s="11" t="s">
        <v>84</v>
      </c>
      <c r="H17" s="30">
        <v>12000</v>
      </c>
      <c r="I17" s="880">
        <v>11500</v>
      </c>
      <c r="J17" s="511">
        <v>7690</v>
      </c>
      <c r="K17" s="962">
        <v>11500</v>
      </c>
      <c r="L17" s="962">
        <v>0</v>
      </c>
      <c r="M17" s="1062">
        <f t="shared" ref="M17:M26" si="2">SUM(K17:L17)</f>
        <v>11500</v>
      </c>
      <c r="N17" s="677">
        <f t="shared" si="1"/>
        <v>100</v>
      </c>
    </row>
    <row r="18" spans="1:15" ht="12.95" customHeight="1">
      <c r="B18" s="10"/>
      <c r="C18" s="11"/>
      <c r="D18" s="11"/>
      <c r="E18" s="636">
        <v>613200</v>
      </c>
      <c r="F18" s="662"/>
      <c r="G18" s="11" t="s">
        <v>85</v>
      </c>
      <c r="H18" s="30">
        <v>77000</v>
      </c>
      <c r="I18" s="880">
        <v>77000</v>
      </c>
      <c r="J18" s="511">
        <v>30837</v>
      </c>
      <c r="K18" s="962">
        <v>77000</v>
      </c>
      <c r="L18" s="962">
        <v>0</v>
      </c>
      <c r="M18" s="1062">
        <f t="shared" si="2"/>
        <v>77000</v>
      </c>
      <c r="N18" s="677">
        <f t="shared" si="1"/>
        <v>100</v>
      </c>
    </row>
    <row r="19" spans="1:15" ht="12.95" customHeight="1">
      <c r="B19" s="10"/>
      <c r="C19" s="11"/>
      <c r="D19" s="11"/>
      <c r="E19" s="636">
        <v>613300</v>
      </c>
      <c r="F19" s="662"/>
      <c r="G19" s="20" t="s">
        <v>206</v>
      </c>
      <c r="H19" s="30">
        <v>11000</v>
      </c>
      <c r="I19" s="880">
        <v>9200</v>
      </c>
      <c r="J19" s="511">
        <v>5958</v>
      </c>
      <c r="K19" s="962">
        <v>9200</v>
      </c>
      <c r="L19" s="962">
        <v>0</v>
      </c>
      <c r="M19" s="1062">
        <f t="shared" si="2"/>
        <v>9200</v>
      </c>
      <c r="N19" s="677">
        <f t="shared" si="1"/>
        <v>100</v>
      </c>
    </row>
    <row r="20" spans="1:15" ht="12.95" customHeight="1">
      <c r="B20" s="10"/>
      <c r="C20" s="11"/>
      <c r="D20" s="11"/>
      <c r="E20" s="636">
        <v>613400</v>
      </c>
      <c r="F20" s="662"/>
      <c r="G20" s="11" t="s">
        <v>165</v>
      </c>
      <c r="H20" s="57">
        <v>22000</v>
      </c>
      <c r="I20" s="882">
        <v>20300</v>
      </c>
      <c r="J20" s="513">
        <v>12290</v>
      </c>
      <c r="K20" s="982">
        <v>20300</v>
      </c>
      <c r="L20" s="982">
        <v>0</v>
      </c>
      <c r="M20" s="1062">
        <f t="shared" si="2"/>
        <v>20300</v>
      </c>
      <c r="N20" s="677">
        <f t="shared" si="1"/>
        <v>100</v>
      </c>
    </row>
    <row r="21" spans="1:15" ht="12.95" customHeight="1">
      <c r="B21" s="10"/>
      <c r="C21" s="11"/>
      <c r="D21" s="11"/>
      <c r="E21" s="636">
        <v>613500</v>
      </c>
      <c r="F21" s="662"/>
      <c r="G21" s="11" t="s">
        <v>86</v>
      </c>
      <c r="H21" s="57">
        <v>1500</v>
      </c>
      <c r="I21" s="882">
        <v>1500</v>
      </c>
      <c r="J21" s="513">
        <v>1096</v>
      </c>
      <c r="K21" s="982">
        <v>1500</v>
      </c>
      <c r="L21" s="982">
        <v>0</v>
      </c>
      <c r="M21" s="1062">
        <f t="shared" si="2"/>
        <v>1500</v>
      </c>
      <c r="N21" s="677">
        <f t="shared" si="1"/>
        <v>100</v>
      </c>
    </row>
    <row r="22" spans="1:15" ht="12.95" customHeight="1">
      <c r="B22" s="10"/>
      <c r="C22" s="11"/>
      <c r="D22" s="11"/>
      <c r="E22" s="636">
        <v>613600</v>
      </c>
      <c r="F22" s="662"/>
      <c r="G22" s="20" t="s">
        <v>207</v>
      </c>
      <c r="H22" s="57">
        <v>0</v>
      </c>
      <c r="I22" s="882">
        <v>0</v>
      </c>
      <c r="J22" s="513">
        <v>0</v>
      </c>
      <c r="K22" s="982">
        <v>0</v>
      </c>
      <c r="L22" s="982">
        <v>0</v>
      </c>
      <c r="M22" s="1062">
        <f t="shared" si="2"/>
        <v>0</v>
      </c>
      <c r="N22" s="677" t="str">
        <f t="shared" si="1"/>
        <v/>
      </c>
    </row>
    <row r="23" spans="1:15" ht="12.95" customHeight="1">
      <c r="B23" s="10"/>
      <c r="C23" s="11"/>
      <c r="D23" s="11"/>
      <c r="E23" s="636">
        <v>613700</v>
      </c>
      <c r="F23" s="662"/>
      <c r="G23" s="11" t="s">
        <v>87</v>
      </c>
      <c r="H23" s="57">
        <v>26500</v>
      </c>
      <c r="I23" s="882">
        <v>18500</v>
      </c>
      <c r="J23" s="513">
        <v>7137</v>
      </c>
      <c r="K23" s="982">
        <v>22500</v>
      </c>
      <c r="L23" s="982">
        <v>0</v>
      </c>
      <c r="M23" s="1062">
        <f t="shared" si="2"/>
        <v>22500</v>
      </c>
      <c r="N23" s="677">
        <f t="shared" si="1"/>
        <v>121.62162162162163</v>
      </c>
    </row>
    <row r="24" spans="1:15" ht="12.95" customHeight="1">
      <c r="B24" s="10"/>
      <c r="C24" s="11"/>
      <c r="D24" s="11"/>
      <c r="E24" s="636">
        <v>613800</v>
      </c>
      <c r="F24" s="662"/>
      <c r="G24" s="11" t="s">
        <v>166</v>
      </c>
      <c r="H24" s="57">
        <v>0</v>
      </c>
      <c r="I24" s="882">
        <v>0</v>
      </c>
      <c r="J24" s="513">
        <v>0</v>
      </c>
      <c r="K24" s="982">
        <v>0</v>
      </c>
      <c r="L24" s="982">
        <v>0</v>
      </c>
      <c r="M24" s="1062">
        <f t="shared" si="2"/>
        <v>0</v>
      </c>
      <c r="N24" s="677" t="str">
        <f t="shared" si="1"/>
        <v/>
      </c>
    </row>
    <row r="25" spans="1:15" ht="12.95" customHeight="1">
      <c r="B25" s="10"/>
      <c r="C25" s="11"/>
      <c r="D25" s="11"/>
      <c r="E25" s="636">
        <v>613900</v>
      </c>
      <c r="F25" s="662"/>
      <c r="G25" s="11" t="s">
        <v>167</v>
      </c>
      <c r="H25" s="57">
        <v>72000</v>
      </c>
      <c r="I25" s="882">
        <v>70000</v>
      </c>
      <c r="J25" s="513">
        <v>52650</v>
      </c>
      <c r="K25" s="982">
        <v>70000</v>
      </c>
      <c r="L25" s="982">
        <v>0</v>
      </c>
      <c r="M25" s="1062">
        <f t="shared" si="2"/>
        <v>70000</v>
      </c>
      <c r="N25" s="677">
        <f t="shared" si="1"/>
        <v>100</v>
      </c>
    </row>
    <row r="26" spans="1:15" ht="12.95" customHeight="1">
      <c r="B26" s="10"/>
      <c r="C26" s="11"/>
      <c r="D26" s="11"/>
      <c r="E26" s="636">
        <v>613900</v>
      </c>
      <c r="F26" s="662"/>
      <c r="G26" s="229" t="s">
        <v>548</v>
      </c>
      <c r="H26" s="113">
        <v>0</v>
      </c>
      <c r="I26" s="884">
        <v>0</v>
      </c>
      <c r="J26" s="515">
        <v>0</v>
      </c>
      <c r="K26" s="911">
        <v>0</v>
      </c>
      <c r="L26" s="911">
        <v>0</v>
      </c>
      <c r="M26" s="1062">
        <f t="shared" si="2"/>
        <v>0</v>
      </c>
      <c r="N26" s="677" t="str">
        <f t="shared" si="1"/>
        <v/>
      </c>
    </row>
    <row r="27" spans="1:15" s="1" customFormat="1" ht="12.95" customHeight="1">
      <c r="A27" s="608"/>
      <c r="B27" s="12"/>
      <c r="C27" s="8"/>
      <c r="D27" s="8"/>
      <c r="E27" s="635"/>
      <c r="F27" s="661"/>
      <c r="G27" s="8"/>
      <c r="H27" s="57"/>
      <c r="I27" s="882"/>
      <c r="J27" s="513"/>
      <c r="K27" s="595"/>
      <c r="L27" s="595"/>
      <c r="M27" s="1063"/>
      <c r="N27" s="677" t="str">
        <f t="shared" si="1"/>
        <v/>
      </c>
    </row>
    <row r="28" spans="1:15" s="1" customFormat="1" ht="12.95" customHeight="1">
      <c r="A28" s="608"/>
      <c r="B28" s="12"/>
      <c r="C28" s="8"/>
      <c r="D28" s="8"/>
      <c r="E28" s="635">
        <v>821000</v>
      </c>
      <c r="F28" s="661"/>
      <c r="G28" s="8" t="s">
        <v>90</v>
      </c>
      <c r="H28" s="79">
        <f>SUM(H29:H31)</f>
        <v>7000</v>
      </c>
      <c r="I28" s="883">
        <v>23500</v>
      </c>
      <c r="J28" s="514">
        <v>8101</v>
      </c>
      <c r="K28" s="622">
        <f>SUM(K29:K31)</f>
        <v>17000</v>
      </c>
      <c r="L28" s="622">
        <f>SUM(L29:L31)</f>
        <v>4660</v>
      </c>
      <c r="M28" s="1064">
        <f>SUM(M29:M31)</f>
        <v>21660</v>
      </c>
      <c r="N28" s="676">
        <f t="shared" si="1"/>
        <v>92.170212765957444</v>
      </c>
    </row>
    <row r="29" spans="1:15" ht="12.95" customHeight="1">
      <c r="B29" s="10"/>
      <c r="C29" s="11"/>
      <c r="D29" s="11"/>
      <c r="E29" s="636">
        <v>821200</v>
      </c>
      <c r="F29" s="662"/>
      <c r="G29" s="11" t="s">
        <v>91</v>
      </c>
      <c r="H29" s="57">
        <v>0</v>
      </c>
      <c r="I29" s="882">
        <v>7500</v>
      </c>
      <c r="J29" s="513">
        <v>0</v>
      </c>
      <c r="K29" s="595">
        <v>0</v>
      </c>
      <c r="L29" s="595">
        <v>0</v>
      </c>
      <c r="M29" s="1062">
        <f t="shared" ref="M29:M30" si="3">SUM(K29:L29)</f>
        <v>0</v>
      </c>
      <c r="N29" s="677">
        <f t="shared" si="1"/>
        <v>0</v>
      </c>
      <c r="O29" s="56"/>
    </row>
    <row r="30" spans="1:15" ht="12.95" customHeight="1">
      <c r="B30" s="10"/>
      <c r="C30" s="11"/>
      <c r="D30" s="11"/>
      <c r="E30" s="636">
        <v>821300</v>
      </c>
      <c r="F30" s="662"/>
      <c r="G30" s="11" t="s">
        <v>92</v>
      </c>
      <c r="H30" s="57">
        <v>7000</v>
      </c>
      <c r="I30" s="882">
        <v>16000</v>
      </c>
      <c r="J30" s="513">
        <v>8101</v>
      </c>
      <c r="K30" s="595">
        <v>17000</v>
      </c>
      <c r="L30" s="595">
        <v>4660</v>
      </c>
      <c r="M30" s="1062">
        <f t="shared" si="3"/>
        <v>21660</v>
      </c>
      <c r="N30" s="677">
        <f t="shared" si="1"/>
        <v>135.375</v>
      </c>
    </row>
    <row r="31" spans="1:15" ht="12.95" customHeight="1">
      <c r="B31" s="10"/>
      <c r="C31" s="11"/>
      <c r="D31" s="11"/>
      <c r="E31" s="636"/>
      <c r="F31" s="662"/>
      <c r="G31" s="20"/>
      <c r="H31" s="57"/>
      <c r="I31" s="882"/>
      <c r="J31" s="513"/>
      <c r="K31" s="595"/>
      <c r="L31" s="595"/>
      <c r="M31" s="1063"/>
      <c r="N31" s="677" t="str">
        <f t="shared" si="1"/>
        <v/>
      </c>
    </row>
    <row r="32" spans="1:15" s="1" customFormat="1" ht="12.95" customHeight="1">
      <c r="A32" s="608"/>
      <c r="B32" s="12"/>
      <c r="C32" s="8"/>
      <c r="D32" s="8"/>
      <c r="E32" s="635"/>
      <c r="F32" s="661"/>
      <c r="G32" s="8" t="s">
        <v>93</v>
      </c>
      <c r="H32" s="19" t="s">
        <v>624</v>
      </c>
      <c r="I32" s="879" t="s">
        <v>685</v>
      </c>
      <c r="J32" s="510" t="s">
        <v>685</v>
      </c>
      <c r="K32" s="556" t="s">
        <v>685</v>
      </c>
      <c r="L32" s="556"/>
      <c r="M32" s="1066" t="s">
        <v>685</v>
      </c>
      <c r="N32" s="677"/>
    </row>
    <row r="33" spans="1:14" s="1" customFormat="1" ht="12.95" customHeight="1">
      <c r="A33" s="608"/>
      <c r="B33" s="12"/>
      <c r="C33" s="8"/>
      <c r="D33" s="8"/>
      <c r="E33" s="635"/>
      <c r="F33" s="661"/>
      <c r="G33" s="8" t="s">
        <v>113</v>
      </c>
      <c r="H33" s="15">
        <f>H8+H13+H16+H28</f>
        <v>2576250</v>
      </c>
      <c r="I33" s="15">
        <f>I8+I13+I16+I28</f>
        <v>2602220</v>
      </c>
      <c r="J33" s="15">
        <f t="shared" ref="J33" si="4">J8+J13+J16+J28</f>
        <v>1832679</v>
      </c>
      <c r="K33" s="615">
        <f>K8+K13+K16+K28</f>
        <v>2710180</v>
      </c>
      <c r="L33" s="615">
        <f>L8+L13+L16+L28</f>
        <v>4660</v>
      </c>
      <c r="M33" s="1064">
        <f>M8+M13+M16+M28</f>
        <v>2714840</v>
      </c>
      <c r="N33" s="676">
        <f t="shared" si="1"/>
        <v>104.32784314931098</v>
      </c>
    </row>
    <row r="34" spans="1:14" s="1" customFormat="1" ht="12.95" customHeight="1">
      <c r="A34" s="608"/>
      <c r="B34" s="12"/>
      <c r="C34" s="8"/>
      <c r="D34" s="8"/>
      <c r="E34" s="635"/>
      <c r="F34" s="661"/>
      <c r="G34" s="8" t="s">
        <v>94</v>
      </c>
      <c r="H34" s="15"/>
      <c r="I34" s="15"/>
      <c r="J34" s="15"/>
      <c r="K34" s="615"/>
      <c r="L34" s="615"/>
      <c r="M34" s="1064"/>
      <c r="N34" s="677" t="str">
        <f>IF(I34=0,"",M34/I34*100)</f>
        <v/>
      </c>
    </row>
    <row r="35" spans="1:14" s="1" customFormat="1" ht="12.95" customHeight="1">
      <c r="A35" s="608"/>
      <c r="B35" s="12"/>
      <c r="C35" s="8"/>
      <c r="D35" s="8"/>
      <c r="E35" s="635"/>
      <c r="F35" s="661"/>
      <c r="G35" s="8" t="s">
        <v>95</v>
      </c>
      <c r="H35" s="30"/>
      <c r="I35" s="30"/>
      <c r="J35" s="30"/>
      <c r="K35" s="593"/>
      <c r="L35" s="593"/>
      <c r="M35" s="1063"/>
      <c r="N35" s="677" t="str">
        <f t="shared" si="1"/>
        <v/>
      </c>
    </row>
    <row r="36" spans="1:14" ht="12.95" customHeight="1" thickBot="1">
      <c r="B36" s="16"/>
      <c r="C36" s="17"/>
      <c r="D36" s="17"/>
      <c r="E36" s="637"/>
      <c r="F36" s="663"/>
      <c r="G36" s="17"/>
      <c r="H36" s="17"/>
      <c r="I36" s="17"/>
      <c r="J36" s="17"/>
      <c r="K36" s="17"/>
      <c r="L36" s="17"/>
      <c r="M36" s="1071"/>
      <c r="N36" s="679"/>
    </row>
    <row r="37" spans="1:14" ht="12.95" customHeight="1">
      <c r="E37" s="638"/>
      <c r="F37" s="664"/>
      <c r="M37" s="1068"/>
    </row>
    <row r="38" spans="1:14" ht="12.95" customHeight="1">
      <c r="E38" s="638"/>
      <c r="F38" s="664"/>
      <c r="M38" s="1068"/>
    </row>
    <row r="39" spans="1:14" ht="12.95" customHeight="1">
      <c r="B39" s="56"/>
      <c r="E39" s="638"/>
      <c r="F39" s="664"/>
      <c r="M39" s="1068"/>
    </row>
    <row r="40" spans="1:14" ht="12.95" customHeight="1">
      <c r="B40" s="56"/>
      <c r="E40" s="638"/>
      <c r="F40" s="664"/>
      <c r="M40" s="1068"/>
    </row>
    <row r="41" spans="1:14" ht="12.95" customHeight="1">
      <c r="B41" s="56"/>
      <c r="E41" s="638"/>
      <c r="F41" s="664"/>
      <c r="M41" s="1068"/>
    </row>
    <row r="42" spans="1:14" ht="12.95" customHeight="1">
      <c r="B42" s="56"/>
      <c r="E42" s="638"/>
      <c r="F42" s="664"/>
      <c r="M42" s="1068"/>
    </row>
    <row r="43" spans="1:14" ht="12.95" customHeight="1">
      <c r="B43" s="56"/>
      <c r="E43" s="638"/>
      <c r="F43" s="664"/>
      <c r="M43" s="1068"/>
    </row>
    <row r="44" spans="1:14" ht="12.95" customHeight="1">
      <c r="B44" s="56"/>
      <c r="E44" s="638"/>
      <c r="F44" s="664"/>
      <c r="M44" s="1068"/>
    </row>
    <row r="45" spans="1:14" ht="12.95" customHeight="1">
      <c r="B45" s="56"/>
      <c r="E45" s="638"/>
      <c r="F45" s="664"/>
      <c r="M45" s="1068"/>
    </row>
    <row r="46" spans="1:14" ht="12.95" customHeight="1">
      <c r="E46" s="638"/>
      <c r="F46" s="664"/>
      <c r="M46" s="1068"/>
    </row>
    <row r="47" spans="1:14" ht="12.95" customHeight="1">
      <c r="E47" s="638"/>
      <c r="F47" s="664"/>
      <c r="M47" s="1068"/>
    </row>
    <row r="48" spans="1:14" ht="12.95" customHeight="1">
      <c r="E48" s="638"/>
      <c r="F48" s="664"/>
      <c r="M48" s="1068"/>
    </row>
    <row r="49" spans="5:13" ht="12.95" customHeight="1">
      <c r="E49" s="638"/>
      <c r="F49" s="664"/>
      <c r="M49" s="1068"/>
    </row>
    <row r="50" spans="5:13" ht="12.95" customHeight="1">
      <c r="E50" s="638"/>
      <c r="F50" s="664"/>
      <c r="M50" s="1068"/>
    </row>
    <row r="51" spans="5:13" ht="12.95" customHeight="1">
      <c r="E51" s="638"/>
      <c r="F51" s="664"/>
      <c r="M51" s="1068"/>
    </row>
    <row r="52" spans="5:13" ht="12.95" customHeight="1">
      <c r="E52" s="638"/>
      <c r="F52" s="664"/>
      <c r="M52" s="1068"/>
    </row>
    <row r="53" spans="5:13" ht="12.95" customHeight="1">
      <c r="E53" s="638"/>
      <c r="F53" s="664"/>
      <c r="M53" s="1068"/>
    </row>
    <row r="54" spans="5:13" ht="12.95" customHeight="1">
      <c r="E54" s="638"/>
      <c r="F54" s="664"/>
      <c r="M54" s="1068"/>
    </row>
    <row r="55" spans="5:13" ht="12.95" customHeight="1">
      <c r="E55" s="638"/>
      <c r="F55" s="664"/>
      <c r="M55" s="1068"/>
    </row>
    <row r="56" spans="5:13" ht="12.95" customHeight="1">
      <c r="E56" s="638"/>
      <c r="F56" s="664"/>
      <c r="M56" s="1068"/>
    </row>
    <row r="57" spans="5:13" ht="12.95" customHeight="1">
      <c r="E57" s="638"/>
      <c r="F57" s="664"/>
      <c r="M57" s="1068"/>
    </row>
    <row r="58" spans="5:13" ht="12.95" customHeight="1">
      <c r="E58" s="638"/>
      <c r="F58" s="664"/>
      <c r="M58" s="1068"/>
    </row>
    <row r="59" spans="5:13" ht="12.95" customHeight="1">
      <c r="E59" s="638"/>
      <c r="F59" s="664"/>
      <c r="M59" s="1068"/>
    </row>
    <row r="60" spans="5:13" ht="17.100000000000001" customHeight="1">
      <c r="E60" s="638"/>
      <c r="F60" s="664"/>
      <c r="M60" s="1068"/>
    </row>
    <row r="61" spans="5:13" ht="14.25">
      <c r="E61" s="638"/>
      <c r="F61" s="664"/>
      <c r="M61" s="1068"/>
    </row>
    <row r="62" spans="5:13" ht="14.25">
      <c r="E62" s="638"/>
      <c r="F62" s="664"/>
      <c r="M62" s="1068"/>
    </row>
    <row r="63" spans="5:13" ht="14.25">
      <c r="E63" s="638"/>
      <c r="F63" s="664"/>
      <c r="M63" s="1068"/>
    </row>
    <row r="64" spans="5:13" ht="14.25">
      <c r="E64" s="638"/>
      <c r="F64" s="664"/>
      <c r="M64" s="1068"/>
    </row>
    <row r="65" spans="5:13" ht="14.25">
      <c r="E65" s="638"/>
      <c r="F65" s="664"/>
      <c r="M65" s="1068"/>
    </row>
    <row r="66" spans="5:13" ht="14.25">
      <c r="E66" s="638"/>
      <c r="F66" s="664"/>
      <c r="M66" s="1068"/>
    </row>
    <row r="67" spans="5:13" ht="14.25">
      <c r="E67" s="638"/>
      <c r="F67" s="664"/>
      <c r="M67" s="1068"/>
    </row>
    <row r="68" spans="5:13" ht="14.25">
      <c r="E68" s="638"/>
      <c r="F68" s="664"/>
      <c r="M68" s="1068"/>
    </row>
    <row r="69" spans="5:13" ht="14.25">
      <c r="E69" s="638"/>
      <c r="F69" s="664"/>
      <c r="M69" s="1068"/>
    </row>
    <row r="70" spans="5:13" ht="14.25">
      <c r="E70" s="638"/>
      <c r="F70" s="664"/>
      <c r="M70" s="1068"/>
    </row>
    <row r="71" spans="5:13" ht="14.25">
      <c r="E71" s="638"/>
      <c r="F71" s="664"/>
      <c r="M71" s="1068"/>
    </row>
    <row r="72" spans="5:13" ht="14.25">
      <c r="E72" s="638"/>
      <c r="F72" s="664"/>
      <c r="M72" s="1068"/>
    </row>
    <row r="73" spans="5:13" ht="14.25">
      <c r="E73" s="638"/>
      <c r="F73" s="664"/>
      <c r="M73" s="1068"/>
    </row>
    <row r="74" spans="5:13" ht="14.25">
      <c r="E74" s="638"/>
      <c r="F74" s="638"/>
      <c r="M74" s="1068"/>
    </row>
    <row r="75" spans="5:13" ht="14.25">
      <c r="E75" s="638"/>
      <c r="F75" s="638"/>
      <c r="M75" s="1068"/>
    </row>
    <row r="76" spans="5:13" ht="14.25">
      <c r="E76" s="638"/>
      <c r="F76" s="638"/>
      <c r="M76" s="1068"/>
    </row>
    <row r="77" spans="5:13" ht="14.25">
      <c r="E77" s="638"/>
      <c r="F77" s="638"/>
      <c r="M77" s="1068"/>
    </row>
    <row r="78" spans="5:13" ht="14.25">
      <c r="E78" s="638"/>
      <c r="F78" s="638"/>
      <c r="M78" s="1068"/>
    </row>
    <row r="79" spans="5:13" ht="14.25">
      <c r="E79" s="638"/>
      <c r="F79" s="638"/>
      <c r="M79" s="1068"/>
    </row>
    <row r="80" spans="5:13" ht="14.25">
      <c r="E80" s="638"/>
      <c r="F80" s="638"/>
      <c r="M80" s="1068"/>
    </row>
    <row r="81" spans="5:13" ht="14.25">
      <c r="E81" s="638"/>
      <c r="F81" s="638"/>
      <c r="M81" s="1068"/>
    </row>
    <row r="82" spans="5:13" ht="14.25">
      <c r="E82" s="638"/>
      <c r="F82" s="638"/>
      <c r="M82" s="1068"/>
    </row>
    <row r="83" spans="5:13" ht="14.25">
      <c r="E83" s="638"/>
      <c r="F83" s="638"/>
      <c r="M83" s="1068"/>
    </row>
    <row r="84" spans="5:13" ht="14.25">
      <c r="E84" s="638"/>
      <c r="F84" s="638"/>
      <c r="M84" s="1068"/>
    </row>
    <row r="85" spans="5:13" ht="14.25">
      <c r="E85" s="638"/>
      <c r="F85" s="638"/>
      <c r="M85" s="1068"/>
    </row>
    <row r="86" spans="5:13" ht="14.25">
      <c r="E86" s="638"/>
      <c r="F86" s="638"/>
      <c r="M86" s="1068"/>
    </row>
    <row r="87" spans="5:13" ht="14.25">
      <c r="E87" s="638"/>
      <c r="F87" s="638"/>
      <c r="M87" s="1068"/>
    </row>
    <row r="88" spans="5:13" ht="14.25">
      <c r="E88" s="638"/>
      <c r="F88" s="638"/>
      <c r="M88" s="1068"/>
    </row>
    <row r="89" spans="5:13" ht="14.25">
      <c r="E89" s="638"/>
      <c r="F89" s="638"/>
      <c r="M89" s="1068"/>
    </row>
    <row r="90" spans="5:13" ht="14.25">
      <c r="E90" s="638"/>
      <c r="F90" s="638"/>
      <c r="M90" s="1068"/>
    </row>
    <row r="91" spans="5:13">
      <c r="F91" s="638"/>
    </row>
    <row r="92" spans="5:13">
      <c r="F92" s="638"/>
    </row>
    <row r="93" spans="5:13">
      <c r="F93" s="638"/>
    </row>
    <row r="94" spans="5:13">
      <c r="F94" s="638"/>
    </row>
    <row r="95" spans="5:13">
      <c r="F95" s="638"/>
    </row>
    <row r="96" spans="5:13">
      <c r="F96" s="638"/>
    </row>
  </sheetData>
  <mergeCells count="13">
    <mergeCell ref="N4:N5"/>
    <mergeCell ref="G4:G5"/>
    <mergeCell ref="B2:M2"/>
    <mergeCell ref="G3:H3"/>
    <mergeCell ref="K4:M4"/>
    <mergeCell ref="B4:B5"/>
    <mergeCell ref="C4:C5"/>
    <mergeCell ref="D4:D5"/>
    <mergeCell ref="F4:F5"/>
    <mergeCell ref="E4:E5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8"/>
  <dimension ref="A1:P96"/>
  <sheetViews>
    <sheetView zoomScaleNormal="100" workbookViewId="0">
      <selection activeCell="Q14" sqref="Q14"/>
    </sheetView>
  </sheetViews>
  <sheetFormatPr defaultRowHeight="12.75"/>
  <cols>
    <col min="1" max="1" width="9.140625" style="611"/>
    <col min="2" max="2" width="4.7109375" style="9" customWidth="1"/>
    <col min="3" max="3" width="5.140625" style="9" customWidth="1"/>
    <col min="4" max="4" width="5" style="9" customWidth="1"/>
    <col min="5" max="5" width="8.7109375" style="18" customWidth="1"/>
    <col min="6" max="6" width="8.7109375" style="616" customWidth="1"/>
    <col min="7" max="7" width="50.7109375" style="9" customWidth="1"/>
    <col min="8" max="12" width="14.7109375" style="64" customWidth="1"/>
    <col min="13" max="13" width="15.7109375" style="64" customWidth="1"/>
    <col min="14" max="14" width="7.7109375" style="680" customWidth="1"/>
    <col min="15" max="16384" width="9.140625" style="9"/>
  </cols>
  <sheetData>
    <row r="1" spans="1:16" ht="13.5" thickBot="1"/>
    <row r="2" spans="1:16" s="126" customFormat="1" ht="20.100000000000001" customHeight="1" thickTop="1" thickBot="1">
      <c r="A2" s="1052"/>
      <c r="B2" s="1261" t="s">
        <v>170</v>
      </c>
      <c r="C2" s="1262"/>
      <c r="D2" s="1262"/>
      <c r="E2" s="1262"/>
      <c r="F2" s="1262"/>
      <c r="G2" s="1262"/>
      <c r="H2" s="1262"/>
      <c r="I2" s="1285"/>
      <c r="J2" s="1285"/>
      <c r="K2" s="1285"/>
      <c r="L2" s="1285"/>
      <c r="M2" s="1285"/>
      <c r="N2" s="1286"/>
    </row>
    <row r="3" spans="1:16" s="1" customFormat="1" ht="8.1" customHeight="1" thickTop="1" thickBot="1">
      <c r="A3" s="608"/>
      <c r="E3" s="2"/>
      <c r="F3" s="609"/>
      <c r="G3" s="1264"/>
      <c r="H3" s="1264"/>
      <c r="I3" s="306"/>
      <c r="J3" s="306"/>
      <c r="K3" s="119"/>
      <c r="L3" s="119"/>
      <c r="M3" s="119"/>
      <c r="N3" s="674"/>
    </row>
    <row r="4" spans="1:16" s="1" customFormat="1" ht="39" customHeight="1">
      <c r="A4" s="608"/>
      <c r="B4" s="1268" t="s">
        <v>78</v>
      </c>
      <c r="C4" s="1280" t="s">
        <v>79</v>
      </c>
      <c r="D4" s="1281" t="s">
        <v>110</v>
      </c>
      <c r="E4" s="1282" t="s">
        <v>615</v>
      </c>
      <c r="F4" s="1273" t="s">
        <v>695</v>
      </c>
      <c r="G4" s="1274" t="s">
        <v>80</v>
      </c>
      <c r="H4" s="1283" t="s">
        <v>614</v>
      </c>
      <c r="I4" s="1284" t="s">
        <v>747</v>
      </c>
      <c r="J4" s="1283" t="s">
        <v>667</v>
      </c>
      <c r="K4" s="1265" t="s">
        <v>682</v>
      </c>
      <c r="L4" s="1266"/>
      <c r="M4" s="1267"/>
      <c r="N4" s="1278" t="s">
        <v>756</v>
      </c>
    </row>
    <row r="5" spans="1:16" s="608" customFormat="1" ht="27" customHeight="1">
      <c r="B5" s="1269"/>
      <c r="C5" s="1271"/>
      <c r="D5" s="1271"/>
      <c r="E5" s="1275"/>
      <c r="F5" s="1271"/>
      <c r="G5" s="1275"/>
      <c r="H5" s="1275"/>
      <c r="I5" s="1275"/>
      <c r="J5" s="1275"/>
      <c r="K5" s="1048" t="s">
        <v>753</v>
      </c>
      <c r="L5" s="1048" t="s">
        <v>754</v>
      </c>
      <c r="M5" s="1059" t="s">
        <v>426</v>
      </c>
      <c r="N5" s="1279"/>
    </row>
    <row r="6" spans="1:16" s="2" customFormat="1" ht="12.95" customHeight="1">
      <c r="A6" s="609"/>
      <c r="B6" s="1181">
        <v>1</v>
      </c>
      <c r="C6" s="661">
        <v>2</v>
      </c>
      <c r="D6" s="661">
        <v>3</v>
      </c>
      <c r="E6" s="661">
        <v>4</v>
      </c>
      <c r="F6" s="661">
        <v>5</v>
      </c>
      <c r="G6" s="661">
        <v>6</v>
      </c>
      <c r="H6" s="661">
        <v>7</v>
      </c>
      <c r="I6" s="661">
        <v>8</v>
      </c>
      <c r="J6" s="661">
        <v>9</v>
      </c>
      <c r="K6" s="661">
        <v>10</v>
      </c>
      <c r="L6" s="661">
        <v>11</v>
      </c>
      <c r="M6" s="1201" t="s">
        <v>755</v>
      </c>
      <c r="N6" s="1183">
        <v>13</v>
      </c>
    </row>
    <row r="7" spans="1:16" s="2" customFormat="1" ht="12.95" customHeight="1">
      <c r="A7" s="609"/>
      <c r="B7" s="6" t="s">
        <v>143</v>
      </c>
      <c r="C7" s="7" t="s">
        <v>145</v>
      </c>
      <c r="D7" s="7" t="s">
        <v>124</v>
      </c>
      <c r="E7" s="5"/>
      <c r="F7" s="610"/>
      <c r="G7" s="5"/>
      <c r="H7" s="110"/>
      <c r="I7" s="110"/>
      <c r="J7" s="110"/>
      <c r="K7" s="110"/>
      <c r="L7" s="110"/>
      <c r="M7" s="1069"/>
      <c r="N7" s="675"/>
    </row>
    <row r="8" spans="1:16" s="1" customFormat="1" ht="12.95" customHeight="1">
      <c r="A8" s="608"/>
      <c r="B8" s="12"/>
      <c r="C8" s="8"/>
      <c r="D8" s="8"/>
      <c r="E8" s="635">
        <v>611000</v>
      </c>
      <c r="F8" s="661"/>
      <c r="G8" s="8" t="s">
        <v>163</v>
      </c>
      <c r="H8" s="256">
        <f>SUM(H9:H12)</f>
        <v>611040</v>
      </c>
      <c r="I8" s="894">
        <v>601070</v>
      </c>
      <c r="J8" s="525">
        <v>433473</v>
      </c>
      <c r="K8" s="256">
        <f>SUM(K9:K12)</f>
        <v>643400</v>
      </c>
      <c r="L8" s="256">
        <f>SUM(L9:L12)</f>
        <v>0</v>
      </c>
      <c r="M8" s="1061">
        <f>SUM(M9:M12)</f>
        <v>643400</v>
      </c>
      <c r="N8" s="676">
        <f>IF(I8=0,"",M8/I8*100)</f>
        <v>107.04244098025188</v>
      </c>
    </row>
    <row r="9" spans="1:16" ht="12.95" customHeight="1">
      <c r="B9" s="10"/>
      <c r="C9" s="11"/>
      <c r="D9" s="11"/>
      <c r="E9" s="636">
        <v>611100</v>
      </c>
      <c r="F9" s="662"/>
      <c r="G9" s="20" t="s">
        <v>204</v>
      </c>
      <c r="H9" s="258">
        <f>482230+0+7000+14470</f>
        <v>503700</v>
      </c>
      <c r="I9" s="895">
        <v>500500</v>
      </c>
      <c r="J9" s="526">
        <v>366940</v>
      </c>
      <c r="K9" s="258">
        <f>523700+0+7*500</f>
        <v>527200</v>
      </c>
      <c r="L9" s="258">
        <v>0</v>
      </c>
      <c r="M9" s="1062">
        <f>SUM(K9:L9)</f>
        <v>527200</v>
      </c>
      <c r="N9" s="677">
        <f>IF(I9=0,"",M9/I9*100)</f>
        <v>105.33466533466533</v>
      </c>
    </row>
    <row r="10" spans="1:16" ht="12.95" customHeight="1">
      <c r="B10" s="10"/>
      <c r="C10" s="11"/>
      <c r="D10" s="11"/>
      <c r="E10" s="636">
        <v>611200</v>
      </c>
      <c r="F10" s="662"/>
      <c r="G10" s="11" t="s">
        <v>205</v>
      </c>
      <c r="H10" s="258">
        <f>100820+0+3*840+2600+1400</f>
        <v>107340</v>
      </c>
      <c r="I10" s="895">
        <v>100570</v>
      </c>
      <c r="J10" s="526">
        <v>66533</v>
      </c>
      <c r="K10" s="258">
        <f>101000+1700+7200+7*900</f>
        <v>116200</v>
      </c>
      <c r="L10" s="258">
        <v>0</v>
      </c>
      <c r="M10" s="1062">
        <f t="shared" ref="M10:M11" si="0">SUM(K10:L10)</f>
        <v>116200</v>
      </c>
      <c r="N10" s="677">
        <f t="shared" ref="N10:N35" si="1">IF(I10=0,"",M10/I10*100)</f>
        <v>115.54141394053892</v>
      </c>
    </row>
    <row r="11" spans="1:16" ht="12.95" customHeight="1">
      <c r="B11" s="10"/>
      <c r="C11" s="11"/>
      <c r="D11" s="11"/>
      <c r="E11" s="636">
        <v>611200</v>
      </c>
      <c r="F11" s="662"/>
      <c r="G11" s="229" t="s">
        <v>547</v>
      </c>
      <c r="H11" s="255">
        <v>0</v>
      </c>
      <c r="I11" s="893">
        <v>0</v>
      </c>
      <c r="J11" s="524">
        <v>0</v>
      </c>
      <c r="K11" s="255">
        <v>0</v>
      </c>
      <c r="L11" s="255">
        <v>0</v>
      </c>
      <c r="M11" s="1062">
        <f t="shared" si="0"/>
        <v>0</v>
      </c>
      <c r="N11" s="677" t="str">
        <f t="shared" si="1"/>
        <v/>
      </c>
      <c r="P11" s="63"/>
    </row>
    <row r="12" spans="1:16" ht="12.95" customHeight="1">
      <c r="B12" s="10"/>
      <c r="C12" s="11"/>
      <c r="D12" s="11"/>
      <c r="E12" s="636"/>
      <c r="F12" s="662"/>
      <c r="G12" s="20"/>
      <c r="H12" s="258"/>
      <c r="I12" s="895"/>
      <c r="J12" s="526"/>
      <c r="K12" s="258"/>
      <c r="L12" s="258"/>
      <c r="M12" s="1062"/>
      <c r="N12" s="677" t="str">
        <f t="shared" si="1"/>
        <v/>
      </c>
    </row>
    <row r="13" spans="1:16" s="1" customFormat="1" ht="12.95" customHeight="1">
      <c r="A13" s="608"/>
      <c r="B13" s="12"/>
      <c r="C13" s="8"/>
      <c r="D13" s="8"/>
      <c r="E13" s="635">
        <v>612000</v>
      </c>
      <c r="F13" s="661"/>
      <c r="G13" s="8" t="s">
        <v>162</v>
      </c>
      <c r="H13" s="256">
        <f>H14</f>
        <v>53920</v>
      </c>
      <c r="I13" s="894">
        <v>56100</v>
      </c>
      <c r="J13" s="525">
        <v>41148</v>
      </c>
      <c r="K13" s="256">
        <f>K14</f>
        <v>56580</v>
      </c>
      <c r="L13" s="256">
        <f>L14</f>
        <v>0</v>
      </c>
      <c r="M13" s="1061">
        <f>M14</f>
        <v>56580</v>
      </c>
      <c r="N13" s="676">
        <f t="shared" si="1"/>
        <v>100.85561497326204</v>
      </c>
    </row>
    <row r="14" spans="1:16" ht="12.95" customHeight="1">
      <c r="B14" s="10"/>
      <c r="C14" s="11"/>
      <c r="D14" s="11"/>
      <c r="E14" s="636">
        <v>612100</v>
      </c>
      <c r="F14" s="662"/>
      <c r="G14" s="13" t="s">
        <v>83</v>
      </c>
      <c r="H14" s="258">
        <f>51600+0+770+1550</f>
        <v>53920</v>
      </c>
      <c r="I14" s="895">
        <v>56100</v>
      </c>
      <c r="J14" s="526">
        <v>41148</v>
      </c>
      <c r="K14" s="258">
        <f>55800+290+7*70</f>
        <v>56580</v>
      </c>
      <c r="L14" s="258">
        <v>0</v>
      </c>
      <c r="M14" s="1062">
        <f>SUM(K14:L14)</f>
        <v>56580</v>
      </c>
      <c r="N14" s="677">
        <f t="shared" si="1"/>
        <v>100.85561497326204</v>
      </c>
    </row>
    <row r="15" spans="1:16" ht="12.95" customHeight="1">
      <c r="B15" s="10"/>
      <c r="C15" s="11"/>
      <c r="D15" s="11"/>
      <c r="E15" s="636"/>
      <c r="F15" s="662"/>
      <c r="G15" s="11"/>
      <c r="H15" s="31"/>
      <c r="I15" s="888"/>
      <c r="J15" s="519"/>
      <c r="K15" s="618"/>
      <c r="L15" s="618"/>
      <c r="M15" s="1063"/>
      <c r="N15" s="677" t="str">
        <f t="shared" si="1"/>
        <v/>
      </c>
    </row>
    <row r="16" spans="1:16" s="1" customFormat="1" ht="12.95" customHeight="1">
      <c r="A16" s="608"/>
      <c r="B16" s="12"/>
      <c r="C16" s="8"/>
      <c r="D16" s="8"/>
      <c r="E16" s="635">
        <v>613000</v>
      </c>
      <c r="F16" s="661"/>
      <c r="G16" s="8" t="s">
        <v>164</v>
      </c>
      <c r="H16" s="35">
        <f>SUM(H17:H26)</f>
        <v>54600</v>
      </c>
      <c r="I16" s="889">
        <v>61200</v>
      </c>
      <c r="J16" s="520">
        <v>45064</v>
      </c>
      <c r="K16" s="620">
        <f>SUM(K17:K26)</f>
        <v>56700</v>
      </c>
      <c r="L16" s="620">
        <f>SUM(L17:L26)</f>
        <v>0</v>
      </c>
      <c r="M16" s="1064">
        <f>SUM(M17:M26)</f>
        <v>56700</v>
      </c>
      <c r="N16" s="676">
        <f t="shared" si="1"/>
        <v>92.64705882352942</v>
      </c>
    </row>
    <row r="17" spans="1:14" ht="12.95" customHeight="1">
      <c r="B17" s="10"/>
      <c r="C17" s="11"/>
      <c r="D17" s="11"/>
      <c r="E17" s="636">
        <v>613100</v>
      </c>
      <c r="F17" s="662"/>
      <c r="G17" s="11" t="s">
        <v>84</v>
      </c>
      <c r="H17" s="31">
        <v>3500</v>
      </c>
      <c r="I17" s="888">
        <v>3500</v>
      </c>
      <c r="J17" s="519">
        <v>3107</v>
      </c>
      <c r="K17" s="978">
        <v>3500</v>
      </c>
      <c r="L17" s="978">
        <v>0</v>
      </c>
      <c r="M17" s="1062">
        <f t="shared" ref="M17:M26" si="2">SUM(K17:L17)</f>
        <v>3500</v>
      </c>
      <c r="N17" s="677">
        <f t="shared" si="1"/>
        <v>100</v>
      </c>
    </row>
    <row r="18" spans="1:14" ht="12.95" customHeight="1">
      <c r="B18" s="10"/>
      <c r="C18" s="11"/>
      <c r="D18" s="11"/>
      <c r="E18" s="636">
        <v>613200</v>
      </c>
      <c r="F18" s="662"/>
      <c r="G18" s="11" t="s">
        <v>85</v>
      </c>
      <c r="H18" s="31">
        <v>20500</v>
      </c>
      <c r="I18" s="888">
        <v>23700</v>
      </c>
      <c r="J18" s="519">
        <v>14450</v>
      </c>
      <c r="K18" s="978">
        <v>21700</v>
      </c>
      <c r="L18" s="978">
        <v>0</v>
      </c>
      <c r="M18" s="1062">
        <f t="shared" si="2"/>
        <v>21700</v>
      </c>
      <c r="N18" s="677">
        <f t="shared" si="1"/>
        <v>91.561181434599163</v>
      </c>
    </row>
    <row r="19" spans="1:14" ht="12.95" customHeight="1">
      <c r="B19" s="10"/>
      <c r="C19" s="11"/>
      <c r="D19" s="11"/>
      <c r="E19" s="636">
        <v>613300</v>
      </c>
      <c r="F19" s="662"/>
      <c r="G19" s="20" t="s">
        <v>206</v>
      </c>
      <c r="H19" s="31">
        <v>3300</v>
      </c>
      <c r="I19" s="888">
        <v>3000</v>
      </c>
      <c r="J19" s="519">
        <v>2221</v>
      </c>
      <c r="K19" s="978">
        <v>3000</v>
      </c>
      <c r="L19" s="978">
        <v>0</v>
      </c>
      <c r="M19" s="1062">
        <f t="shared" si="2"/>
        <v>3000</v>
      </c>
      <c r="N19" s="677">
        <f t="shared" si="1"/>
        <v>100</v>
      </c>
    </row>
    <row r="20" spans="1:14" ht="12.95" customHeight="1">
      <c r="B20" s="10"/>
      <c r="C20" s="11"/>
      <c r="D20" s="11"/>
      <c r="E20" s="636">
        <v>613400</v>
      </c>
      <c r="F20" s="662"/>
      <c r="G20" s="11" t="s">
        <v>165</v>
      </c>
      <c r="H20" s="31">
        <v>9000</v>
      </c>
      <c r="I20" s="888">
        <v>9000</v>
      </c>
      <c r="J20" s="519">
        <v>7432</v>
      </c>
      <c r="K20" s="978">
        <v>9000</v>
      </c>
      <c r="L20" s="978">
        <v>0</v>
      </c>
      <c r="M20" s="1062">
        <f t="shared" si="2"/>
        <v>9000</v>
      </c>
      <c r="N20" s="677">
        <f t="shared" si="1"/>
        <v>100</v>
      </c>
    </row>
    <row r="21" spans="1:14" ht="12.95" customHeight="1">
      <c r="B21" s="10"/>
      <c r="C21" s="11"/>
      <c r="D21" s="11"/>
      <c r="E21" s="636">
        <v>613500</v>
      </c>
      <c r="F21" s="662"/>
      <c r="G21" s="11" t="s">
        <v>86</v>
      </c>
      <c r="H21" s="31">
        <v>300</v>
      </c>
      <c r="I21" s="888">
        <v>300</v>
      </c>
      <c r="J21" s="519">
        <v>262</v>
      </c>
      <c r="K21" s="978">
        <v>300</v>
      </c>
      <c r="L21" s="978">
        <v>0</v>
      </c>
      <c r="M21" s="1062">
        <f t="shared" si="2"/>
        <v>300</v>
      </c>
      <c r="N21" s="677">
        <f t="shared" si="1"/>
        <v>100</v>
      </c>
    </row>
    <row r="22" spans="1:14" ht="12.95" customHeight="1">
      <c r="B22" s="10"/>
      <c r="C22" s="11"/>
      <c r="D22" s="11"/>
      <c r="E22" s="636">
        <v>613600</v>
      </c>
      <c r="F22" s="662"/>
      <c r="G22" s="20" t="s">
        <v>207</v>
      </c>
      <c r="H22" s="31">
        <v>0</v>
      </c>
      <c r="I22" s="888">
        <v>0</v>
      </c>
      <c r="J22" s="519">
        <v>0</v>
      </c>
      <c r="K22" s="978">
        <v>0</v>
      </c>
      <c r="L22" s="978">
        <v>0</v>
      </c>
      <c r="M22" s="1062">
        <f t="shared" si="2"/>
        <v>0</v>
      </c>
      <c r="N22" s="677" t="str">
        <f t="shared" si="1"/>
        <v/>
      </c>
    </row>
    <row r="23" spans="1:14" ht="12.95" customHeight="1">
      <c r="B23" s="10"/>
      <c r="C23" s="11"/>
      <c r="D23" s="11"/>
      <c r="E23" s="636">
        <v>613700</v>
      </c>
      <c r="F23" s="662"/>
      <c r="G23" s="11" t="s">
        <v>87</v>
      </c>
      <c r="H23" s="88">
        <v>10500</v>
      </c>
      <c r="I23" s="891">
        <v>13000</v>
      </c>
      <c r="J23" s="522">
        <v>10265</v>
      </c>
      <c r="K23" s="984">
        <v>10500</v>
      </c>
      <c r="L23" s="984">
        <v>0</v>
      </c>
      <c r="M23" s="1062">
        <f t="shared" si="2"/>
        <v>10500</v>
      </c>
      <c r="N23" s="677">
        <f t="shared" si="1"/>
        <v>80.769230769230774</v>
      </c>
    </row>
    <row r="24" spans="1:14" ht="12.95" customHeight="1">
      <c r="B24" s="10"/>
      <c r="C24" s="11"/>
      <c r="D24" s="11"/>
      <c r="E24" s="636">
        <v>613800</v>
      </c>
      <c r="F24" s="662"/>
      <c r="G24" s="11" t="s">
        <v>166</v>
      </c>
      <c r="H24" s="88">
        <v>0</v>
      </c>
      <c r="I24" s="891">
        <v>0</v>
      </c>
      <c r="J24" s="522">
        <v>0</v>
      </c>
      <c r="K24" s="984">
        <v>0</v>
      </c>
      <c r="L24" s="984">
        <v>0</v>
      </c>
      <c r="M24" s="1062">
        <f t="shared" si="2"/>
        <v>0</v>
      </c>
      <c r="N24" s="677" t="str">
        <f t="shared" si="1"/>
        <v/>
      </c>
    </row>
    <row r="25" spans="1:14" ht="12.95" customHeight="1">
      <c r="B25" s="10"/>
      <c r="C25" s="11"/>
      <c r="D25" s="11"/>
      <c r="E25" s="636">
        <v>613900</v>
      </c>
      <c r="F25" s="662"/>
      <c r="G25" s="11" t="s">
        <v>167</v>
      </c>
      <c r="H25" s="88">
        <v>7500</v>
      </c>
      <c r="I25" s="891">
        <v>8700</v>
      </c>
      <c r="J25" s="522">
        <v>7327</v>
      </c>
      <c r="K25" s="984">
        <v>8700</v>
      </c>
      <c r="L25" s="984">
        <v>0</v>
      </c>
      <c r="M25" s="1062">
        <f t="shared" si="2"/>
        <v>8700</v>
      </c>
      <c r="N25" s="677">
        <f t="shared" si="1"/>
        <v>100</v>
      </c>
    </row>
    <row r="26" spans="1:14" ht="12.95" customHeight="1">
      <c r="B26" s="10"/>
      <c r="C26" s="11"/>
      <c r="D26" s="11"/>
      <c r="E26" s="636">
        <v>613900</v>
      </c>
      <c r="F26" s="662"/>
      <c r="G26" s="229" t="s">
        <v>548</v>
      </c>
      <c r="H26" s="113">
        <v>0</v>
      </c>
      <c r="I26" s="892">
        <v>0</v>
      </c>
      <c r="J26" s="523">
        <v>0</v>
      </c>
      <c r="K26" s="911">
        <v>0</v>
      </c>
      <c r="L26" s="911">
        <v>0</v>
      </c>
      <c r="M26" s="1062">
        <f t="shared" si="2"/>
        <v>0</v>
      </c>
      <c r="N26" s="677" t="str">
        <f t="shared" si="1"/>
        <v/>
      </c>
    </row>
    <row r="27" spans="1:14" s="1" customFormat="1" ht="12.95" customHeight="1">
      <c r="A27" s="608"/>
      <c r="B27" s="12"/>
      <c r="C27" s="8"/>
      <c r="D27" s="8"/>
      <c r="E27" s="635"/>
      <c r="F27" s="661"/>
      <c r="G27" s="8"/>
      <c r="H27" s="88"/>
      <c r="I27" s="891"/>
      <c r="J27" s="522"/>
      <c r="K27" s="623"/>
      <c r="L27" s="623"/>
      <c r="M27" s="1063"/>
      <c r="N27" s="677" t="str">
        <f t="shared" si="1"/>
        <v/>
      </c>
    </row>
    <row r="28" spans="1:14" s="1" customFormat="1" ht="12.95" customHeight="1">
      <c r="A28" s="608"/>
      <c r="B28" s="12"/>
      <c r="C28" s="8"/>
      <c r="D28" s="8"/>
      <c r="E28" s="635">
        <v>821000</v>
      </c>
      <c r="F28" s="661"/>
      <c r="G28" s="8" t="s">
        <v>90</v>
      </c>
      <c r="H28" s="79">
        <f>SUM(H29:H30)</f>
        <v>35000</v>
      </c>
      <c r="I28" s="890">
        <v>40900</v>
      </c>
      <c r="J28" s="521">
        <v>39876</v>
      </c>
      <c r="K28" s="622">
        <f>SUM(K29:K30)</f>
        <v>20000</v>
      </c>
      <c r="L28" s="622">
        <f>SUM(L29:L30)</f>
        <v>0</v>
      </c>
      <c r="M28" s="1064">
        <f>SUM(M29:M30)</f>
        <v>20000</v>
      </c>
      <c r="N28" s="676">
        <f t="shared" si="1"/>
        <v>48.899755501222494</v>
      </c>
    </row>
    <row r="29" spans="1:14" ht="12.95" customHeight="1">
      <c r="B29" s="10"/>
      <c r="C29" s="11"/>
      <c r="D29" s="11"/>
      <c r="E29" s="636">
        <v>821200</v>
      </c>
      <c r="F29" s="662"/>
      <c r="G29" s="11" t="s">
        <v>91</v>
      </c>
      <c r="H29" s="88">
        <v>30000</v>
      </c>
      <c r="I29" s="891">
        <v>32140</v>
      </c>
      <c r="J29" s="522">
        <v>31230</v>
      </c>
      <c r="K29" s="623">
        <v>5000</v>
      </c>
      <c r="L29" s="623">
        <v>0</v>
      </c>
      <c r="M29" s="1062">
        <f t="shared" ref="M29:M30" si="3">SUM(K29:L29)</f>
        <v>5000</v>
      </c>
      <c r="N29" s="677">
        <f t="shared" si="1"/>
        <v>15.556938394523959</v>
      </c>
    </row>
    <row r="30" spans="1:14" ht="12.95" customHeight="1">
      <c r="B30" s="10"/>
      <c r="C30" s="11"/>
      <c r="D30" s="11"/>
      <c r="E30" s="636">
        <v>821300</v>
      </c>
      <c r="F30" s="662"/>
      <c r="G30" s="11" t="s">
        <v>92</v>
      </c>
      <c r="H30" s="88">
        <v>5000</v>
      </c>
      <c r="I30" s="891">
        <v>8760</v>
      </c>
      <c r="J30" s="522">
        <v>8646</v>
      </c>
      <c r="K30" s="623">
        <v>15000</v>
      </c>
      <c r="L30" s="623">
        <v>0</v>
      </c>
      <c r="M30" s="1062">
        <f t="shared" si="3"/>
        <v>15000</v>
      </c>
      <c r="N30" s="677">
        <f t="shared" si="1"/>
        <v>171.23287671232876</v>
      </c>
    </row>
    <row r="31" spans="1:14" ht="12.95" customHeight="1">
      <c r="B31" s="10"/>
      <c r="C31" s="11"/>
      <c r="D31" s="11"/>
      <c r="E31" s="636"/>
      <c r="F31" s="662"/>
      <c r="G31" s="11"/>
      <c r="H31" s="31"/>
      <c r="I31" s="888"/>
      <c r="J31" s="519"/>
      <c r="K31" s="618"/>
      <c r="L31" s="618"/>
      <c r="M31" s="1063"/>
      <c r="N31" s="677" t="str">
        <f t="shared" si="1"/>
        <v/>
      </c>
    </row>
    <row r="32" spans="1:14" s="1" customFormat="1" ht="12.95" customHeight="1">
      <c r="A32" s="608"/>
      <c r="B32" s="12"/>
      <c r="C32" s="8"/>
      <c r="D32" s="8"/>
      <c r="E32" s="635"/>
      <c r="F32" s="661"/>
      <c r="G32" s="8" t="s">
        <v>93</v>
      </c>
      <c r="H32" s="19" t="s">
        <v>563</v>
      </c>
      <c r="I32" s="887" t="s">
        <v>686</v>
      </c>
      <c r="J32" s="518" t="s">
        <v>686</v>
      </c>
      <c r="K32" s="556" t="s">
        <v>686</v>
      </c>
      <c r="L32" s="556"/>
      <c r="M32" s="1066" t="s">
        <v>686</v>
      </c>
      <c r="N32" s="677"/>
    </row>
    <row r="33" spans="1:14" s="1" customFormat="1" ht="12.95" customHeight="1">
      <c r="A33" s="608"/>
      <c r="B33" s="12"/>
      <c r="C33" s="8"/>
      <c r="D33" s="8"/>
      <c r="E33" s="635"/>
      <c r="F33" s="661"/>
      <c r="G33" s="8" t="s">
        <v>113</v>
      </c>
      <c r="H33" s="15">
        <f>H8+H13+H16+H28</f>
        <v>754560</v>
      </c>
      <c r="I33" s="15">
        <f>I8+I13+I16+I28</f>
        <v>759270</v>
      </c>
      <c r="J33" s="15">
        <f t="shared" ref="J33" si="4">J8+J13+J16+J28</f>
        <v>559561</v>
      </c>
      <c r="K33" s="615">
        <f>K8+K13+K16+K28</f>
        <v>776680</v>
      </c>
      <c r="L33" s="615">
        <f>L8+L13+L16+L28</f>
        <v>0</v>
      </c>
      <c r="M33" s="1064">
        <f>M8+M13+M16+M28</f>
        <v>776680</v>
      </c>
      <c r="N33" s="676">
        <f t="shared" si="1"/>
        <v>102.29299195279677</v>
      </c>
    </row>
    <row r="34" spans="1:14" s="1" customFormat="1" ht="12.95" customHeight="1">
      <c r="A34" s="608"/>
      <c r="B34" s="12"/>
      <c r="C34" s="8"/>
      <c r="D34" s="8"/>
      <c r="E34" s="635"/>
      <c r="F34" s="661"/>
      <c r="G34" s="8" t="s">
        <v>94</v>
      </c>
      <c r="H34" s="15"/>
      <c r="I34" s="15"/>
      <c r="J34" s="15"/>
      <c r="K34" s="615"/>
      <c r="L34" s="615"/>
      <c r="M34" s="1064"/>
      <c r="N34" s="677" t="str">
        <f>IF(I34=0,"",M34/I34*100)</f>
        <v/>
      </c>
    </row>
    <row r="35" spans="1:14" s="1" customFormat="1" ht="12.95" customHeight="1">
      <c r="A35" s="608"/>
      <c r="B35" s="12"/>
      <c r="C35" s="8"/>
      <c r="D35" s="8"/>
      <c r="E35" s="635"/>
      <c r="F35" s="661"/>
      <c r="G35" s="8" t="s">
        <v>95</v>
      </c>
      <c r="H35" s="30"/>
      <c r="I35" s="30"/>
      <c r="J35" s="30"/>
      <c r="K35" s="593"/>
      <c r="L35" s="593"/>
      <c r="M35" s="1063"/>
      <c r="N35" s="677" t="str">
        <f t="shared" si="1"/>
        <v/>
      </c>
    </row>
    <row r="36" spans="1:14" ht="12.95" customHeight="1" thickBot="1">
      <c r="B36" s="16"/>
      <c r="C36" s="17"/>
      <c r="D36" s="17"/>
      <c r="E36" s="637"/>
      <c r="F36" s="663"/>
      <c r="G36" s="17"/>
      <c r="H36" s="32"/>
      <c r="I36" s="32"/>
      <c r="J36" s="32"/>
      <c r="K36" s="32"/>
      <c r="L36" s="32"/>
      <c r="M36" s="1067"/>
      <c r="N36" s="679"/>
    </row>
    <row r="37" spans="1:14" ht="12.95" customHeight="1">
      <c r="E37" s="638"/>
      <c r="F37" s="664"/>
      <c r="M37" s="1070"/>
    </row>
    <row r="38" spans="1:14" ht="12.95" customHeight="1">
      <c r="B38" s="56"/>
      <c r="E38" s="638"/>
      <c r="F38" s="664"/>
      <c r="M38" s="1070"/>
    </row>
    <row r="39" spans="1:14" ht="12.95" customHeight="1">
      <c r="B39" s="56"/>
      <c r="E39" s="638"/>
      <c r="F39" s="664"/>
      <c r="M39" s="1070"/>
    </row>
    <row r="40" spans="1:14" ht="12.95" customHeight="1">
      <c r="B40" s="56"/>
      <c r="E40" s="638"/>
      <c r="F40" s="664"/>
      <c r="M40" s="1070"/>
    </row>
    <row r="41" spans="1:14" ht="12.95" customHeight="1">
      <c r="B41" s="56"/>
      <c r="E41" s="638"/>
      <c r="F41" s="664"/>
      <c r="M41" s="1070"/>
    </row>
    <row r="42" spans="1:14" ht="12.95" customHeight="1">
      <c r="B42" s="56"/>
      <c r="E42" s="638"/>
      <c r="F42" s="664"/>
      <c r="M42" s="1070"/>
    </row>
    <row r="43" spans="1:14" ht="12.95" customHeight="1">
      <c r="B43" s="56"/>
      <c r="E43" s="638"/>
      <c r="F43" s="664"/>
      <c r="M43" s="1070"/>
    </row>
    <row r="44" spans="1:14" ht="12.95" customHeight="1">
      <c r="B44" s="56"/>
      <c r="E44" s="638"/>
      <c r="F44" s="664"/>
      <c r="M44" s="1070"/>
    </row>
    <row r="45" spans="1:14" ht="12.95" customHeight="1">
      <c r="B45" s="56"/>
      <c r="E45" s="638"/>
      <c r="F45" s="664"/>
      <c r="M45" s="1070"/>
    </row>
    <row r="46" spans="1:14" ht="12.95" customHeight="1">
      <c r="B46" s="56"/>
      <c r="E46" s="638"/>
      <c r="F46" s="664"/>
      <c r="M46" s="1070"/>
    </row>
    <row r="47" spans="1:14" ht="12.95" customHeight="1">
      <c r="B47" s="56"/>
      <c r="E47" s="638"/>
      <c r="F47" s="664"/>
      <c r="M47" s="1070"/>
    </row>
    <row r="48" spans="1:14" ht="12.95" customHeight="1">
      <c r="B48" s="56"/>
      <c r="E48" s="638"/>
      <c r="F48" s="664"/>
      <c r="M48" s="1070"/>
    </row>
    <row r="49" spans="5:13" ht="12.95" customHeight="1">
      <c r="E49" s="638"/>
      <c r="F49" s="664"/>
      <c r="M49" s="1070"/>
    </row>
    <row r="50" spans="5:13" ht="12.95" customHeight="1">
      <c r="E50" s="638"/>
      <c r="F50" s="664"/>
      <c r="M50" s="1070"/>
    </row>
    <row r="51" spans="5:13" ht="12.95" customHeight="1">
      <c r="E51" s="638"/>
      <c r="F51" s="664"/>
      <c r="M51" s="1070"/>
    </row>
    <row r="52" spans="5:13" ht="12.95" customHeight="1">
      <c r="E52" s="638"/>
      <c r="F52" s="664"/>
      <c r="M52" s="1070"/>
    </row>
    <row r="53" spans="5:13" ht="12.95" customHeight="1">
      <c r="E53" s="638"/>
      <c r="F53" s="664"/>
      <c r="M53" s="1070"/>
    </row>
    <row r="54" spans="5:13" ht="12.95" customHeight="1">
      <c r="E54" s="638"/>
      <c r="F54" s="664"/>
      <c r="M54" s="1070"/>
    </row>
    <row r="55" spans="5:13" ht="12.95" customHeight="1">
      <c r="E55" s="638"/>
      <c r="F55" s="664"/>
      <c r="M55" s="1070"/>
    </row>
    <row r="56" spans="5:13" ht="12.95" customHeight="1">
      <c r="E56" s="638"/>
      <c r="F56" s="664"/>
      <c r="M56" s="1070"/>
    </row>
    <row r="57" spans="5:13" ht="12.95" customHeight="1">
      <c r="E57" s="638"/>
      <c r="F57" s="664"/>
      <c r="M57" s="1070"/>
    </row>
    <row r="58" spans="5:13" ht="12.95" customHeight="1">
      <c r="E58" s="638"/>
      <c r="F58" s="664"/>
      <c r="M58" s="1070"/>
    </row>
    <row r="59" spans="5:13" ht="12.95" customHeight="1">
      <c r="E59" s="638"/>
      <c r="F59" s="664"/>
      <c r="M59" s="1070"/>
    </row>
    <row r="60" spans="5:13" ht="17.100000000000001" customHeight="1">
      <c r="E60" s="638"/>
      <c r="F60" s="664"/>
      <c r="M60" s="1070"/>
    </row>
    <row r="61" spans="5:13" ht="14.25">
      <c r="E61" s="638"/>
      <c r="F61" s="664"/>
      <c r="M61" s="1070"/>
    </row>
    <row r="62" spans="5:13" ht="14.25">
      <c r="E62" s="638"/>
      <c r="F62" s="664"/>
      <c r="M62" s="1070"/>
    </row>
    <row r="63" spans="5:13" ht="14.25">
      <c r="E63" s="638"/>
      <c r="F63" s="664"/>
      <c r="M63" s="1070"/>
    </row>
    <row r="64" spans="5:13" ht="14.25">
      <c r="E64" s="638"/>
      <c r="F64" s="664"/>
      <c r="M64" s="1070"/>
    </row>
    <row r="65" spans="5:13" ht="14.25">
      <c r="E65" s="638"/>
      <c r="F65" s="664"/>
      <c r="M65" s="1070"/>
    </row>
    <row r="66" spans="5:13" ht="14.25">
      <c r="E66" s="638"/>
      <c r="F66" s="664"/>
      <c r="M66" s="1070"/>
    </row>
    <row r="67" spans="5:13" ht="14.25">
      <c r="E67" s="638"/>
      <c r="F67" s="664"/>
      <c r="M67" s="1070"/>
    </row>
    <row r="68" spans="5:13" ht="14.25">
      <c r="E68" s="638"/>
      <c r="F68" s="664"/>
      <c r="M68" s="1070"/>
    </row>
    <row r="69" spans="5:13" ht="14.25">
      <c r="E69" s="638"/>
      <c r="F69" s="664"/>
      <c r="M69" s="1070"/>
    </row>
    <row r="70" spans="5:13" ht="14.25">
      <c r="E70" s="638"/>
      <c r="F70" s="664"/>
      <c r="M70" s="1070"/>
    </row>
    <row r="71" spans="5:13" ht="14.25">
      <c r="E71" s="638"/>
      <c r="F71" s="664"/>
      <c r="M71" s="1070"/>
    </row>
    <row r="72" spans="5:13" ht="14.25">
      <c r="E72" s="638"/>
      <c r="F72" s="664"/>
      <c r="M72" s="1070"/>
    </row>
    <row r="73" spans="5:13" ht="14.25">
      <c r="E73" s="638"/>
      <c r="F73" s="664"/>
      <c r="M73" s="1070"/>
    </row>
    <row r="74" spans="5:13" ht="14.25">
      <c r="E74" s="638"/>
      <c r="F74" s="638"/>
      <c r="M74" s="1070"/>
    </row>
    <row r="75" spans="5:13" ht="14.25">
      <c r="E75" s="638"/>
      <c r="F75" s="638"/>
      <c r="M75" s="1070"/>
    </row>
    <row r="76" spans="5:13" ht="14.25">
      <c r="E76" s="638"/>
      <c r="F76" s="638"/>
      <c r="M76" s="1070"/>
    </row>
    <row r="77" spans="5:13" ht="14.25">
      <c r="E77" s="638"/>
      <c r="F77" s="638"/>
      <c r="M77" s="1070"/>
    </row>
    <row r="78" spans="5:13" ht="14.25">
      <c r="E78" s="638"/>
      <c r="F78" s="638"/>
      <c r="M78" s="1070"/>
    </row>
    <row r="79" spans="5:13" ht="14.25">
      <c r="E79" s="638"/>
      <c r="F79" s="638"/>
      <c r="M79" s="1070"/>
    </row>
    <row r="80" spans="5:13" ht="14.25">
      <c r="E80" s="638"/>
      <c r="F80" s="638"/>
      <c r="M80" s="1070"/>
    </row>
    <row r="81" spans="5:13" ht="14.25">
      <c r="E81" s="638"/>
      <c r="F81" s="638"/>
      <c r="M81" s="1070"/>
    </row>
    <row r="82" spans="5:13" ht="14.25">
      <c r="E82" s="638"/>
      <c r="F82" s="638"/>
      <c r="M82" s="1070"/>
    </row>
    <row r="83" spans="5:13" ht="14.25">
      <c r="E83" s="638"/>
      <c r="F83" s="638"/>
      <c r="M83" s="1070"/>
    </row>
    <row r="84" spans="5:13" ht="14.25">
      <c r="E84" s="638"/>
      <c r="F84" s="638"/>
      <c r="M84" s="1070"/>
    </row>
    <row r="85" spans="5:13" ht="14.25">
      <c r="E85" s="638"/>
      <c r="F85" s="638"/>
      <c r="M85" s="1070"/>
    </row>
    <row r="86" spans="5:13" ht="14.25">
      <c r="E86" s="638"/>
      <c r="F86" s="638"/>
      <c r="M86" s="1070"/>
    </row>
    <row r="87" spans="5:13" ht="14.25">
      <c r="E87" s="638"/>
      <c r="F87" s="638"/>
      <c r="M87" s="1070"/>
    </row>
    <row r="88" spans="5:13" ht="14.25">
      <c r="E88" s="638"/>
      <c r="F88" s="638"/>
      <c r="M88" s="1070"/>
    </row>
    <row r="89" spans="5:13" ht="14.25">
      <c r="E89" s="638"/>
      <c r="F89" s="638"/>
      <c r="M89" s="1070"/>
    </row>
    <row r="90" spans="5:13" ht="14.25">
      <c r="E90" s="638"/>
      <c r="F90" s="638"/>
      <c r="M90" s="1070"/>
    </row>
    <row r="91" spans="5:13">
      <c r="F91" s="638"/>
    </row>
    <row r="92" spans="5:13">
      <c r="F92" s="638"/>
    </row>
    <row r="93" spans="5:13">
      <c r="F93" s="638"/>
    </row>
    <row r="94" spans="5:13">
      <c r="F94" s="638"/>
    </row>
    <row r="95" spans="5:13">
      <c r="F95" s="638"/>
    </row>
    <row r="96" spans="5:13">
      <c r="F96" s="638"/>
    </row>
  </sheetData>
  <mergeCells count="13">
    <mergeCell ref="B2:N2"/>
    <mergeCell ref="N4:N5"/>
    <mergeCell ref="G4:G5"/>
    <mergeCell ref="G3:H3"/>
    <mergeCell ref="K4:M4"/>
    <mergeCell ref="B4:B5"/>
    <mergeCell ref="C4:C5"/>
    <mergeCell ref="D4:D5"/>
    <mergeCell ref="F4:F5"/>
    <mergeCell ref="E4:E5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9"/>
  <dimension ref="A1:P96"/>
  <sheetViews>
    <sheetView zoomScaleNormal="100" workbookViewId="0">
      <selection activeCell="Q14" sqref="Q14"/>
    </sheetView>
  </sheetViews>
  <sheetFormatPr defaultRowHeight="12.75"/>
  <cols>
    <col min="1" max="1" width="9.140625" style="611"/>
    <col min="2" max="2" width="4.7109375" style="9" customWidth="1"/>
    <col min="3" max="3" width="5.140625" style="9" customWidth="1"/>
    <col min="4" max="4" width="5" style="9" customWidth="1"/>
    <col min="5" max="5" width="8.7109375" style="18" customWidth="1"/>
    <col min="6" max="6" width="8.7109375" style="616" customWidth="1"/>
    <col min="7" max="7" width="50.7109375" style="9" customWidth="1"/>
    <col min="8" max="12" width="14.7109375" style="64" customWidth="1"/>
    <col min="13" max="13" width="15.7109375" style="64" customWidth="1"/>
    <col min="14" max="14" width="7.7109375" style="680" customWidth="1"/>
    <col min="15" max="16384" width="9.140625" style="9"/>
  </cols>
  <sheetData>
    <row r="1" spans="1:16" ht="13.5" thickBot="1"/>
    <row r="2" spans="1:16" s="126" customFormat="1" ht="20.100000000000001" customHeight="1" thickTop="1" thickBot="1">
      <c r="A2" s="1052"/>
      <c r="B2" s="1261" t="s">
        <v>171</v>
      </c>
      <c r="C2" s="1262"/>
      <c r="D2" s="1262"/>
      <c r="E2" s="1262"/>
      <c r="F2" s="1262"/>
      <c r="G2" s="1262"/>
      <c r="H2" s="1262"/>
      <c r="I2" s="1053"/>
      <c r="J2" s="1053"/>
      <c r="K2" s="1054"/>
      <c r="L2" s="1054"/>
      <c r="M2" s="1054"/>
      <c r="N2" s="1057"/>
    </row>
    <row r="3" spans="1:16" s="1" customFormat="1" ht="8.1" customHeight="1" thickTop="1" thickBot="1">
      <c r="A3" s="608"/>
      <c r="E3" s="2"/>
      <c r="F3" s="609"/>
      <c r="G3" s="1264"/>
      <c r="H3" s="1264"/>
      <c r="I3" s="306"/>
      <c r="J3" s="306"/>
      <c r="K3" s="119"/>
      <c r="L3" s="119"/>
      <c r="M3" s="119"/>
      <c r="N3" s="674"/>
    </row>
    <row r="4" spans="1:16" s="1" customFormat="1" ht="39" customHeight="1">
      <c r="A4" s="608"/>
      <c r="B4" s="1268" t="s">
        <v>78</v>
      </c>
      <c r="C4" s="1280" t="s">
        <v>79</v>
      </c>
      <c r="D4" s="1281" t="s">
        <v>110</v>
      </c>
      <c r="E4" s="1282" t="s">
        <v>615</v>
      </c>
      <c r="F4" s="1273" t="s">
        <v>695</v>
      </c>
      <c r="G4" s="1274" t="s">
        <v>80</v>
      </c>
      <c r="H4" s="1283" t="s">
        <v>614</v>
      </c>
      <c r="I4" s="1284" t="s">
        <v>747</v>
      </c>
      <c r="J4" s="1283" t="s">
        <v>667</v>
      </c>
      <c r="K4" s="1265" t="s">
        <v>682</v>
      </c>
      <c r="L4" s="1266"/>
      <c r="M4" s="1267"/>
      <c r="N4" s="1278" t="s">
        <v>756</v>
      </c>
    </row>
    <row r="5" spans="1:16" s="608" customFormat="1" ht="27" customHeight="1">
      <c r="B5" s="1269"/>
      <c r="C5" s="1271"/>
      <c r="D5" s="1271"/>
      <c r="E5" s="1275"/>
      <c r="F5" s="1271"/>
      <c r="G5" s="1275"/>
      <c r="H5" s="1275"/>
      <c r="I5" s="1275"/>
      <c r="J5" s="1275"/>
      <c r="K5" s="1048" t="s">
        <v>753</v>
      </c>
      <c r="L5" s="1048" t="s">
        <v>754</v>
      </c>
      <c r="M5" s="1059" t="s">
        <v>426</v>
      </c>
      <c r="N5" s="1279"/>
    </row>
    <row r="6" spans="1:16" s="2" customFormat="1" ht="12.95" customHeight="1">
      <c r="A6" s="609"/>
      <c r="B6" s="1181">
        <v>1</v>
      </c>
      <c r="C6" s="661">
        <v>2</v>
      </c>
      <c r="D6" s="661">
        <v>3</v>
      </c>
      <c r="E6" s="661">
        <v>4</v>
      </c>
      <c r="F6" s="661">
        <v>5</v>
      </c>
      <c r="G6" s="661">
        <v>6</v>
      </c>
      <c r="H6" s="661">
        <v>7</v>
      </c>
      <c r="I6" s="661">
        <v>8</v>
      </c>
      <c r="J6" s="661">
        <v>9</v>
      </c>
      <c r="K6" s="661">
        <v>10</v>
      </c>
      <c r="L6" s="661">
        <v>11</v>
      </c>
      <c r="M6" s="1201" t="s">
        <v>755</v>
      </c>
      <c r="N6" s="1183">
        <v>13</v>
      </c>
    </row>
    <row r="7" spans="1:16" s="2" customFormat="1" ht="12.95" customHeight="1">
      <c r="A7" s="609"/>
      <c r="B7" s="6" t="s">
        <v>143</v>
      </c>
      <c r="C7" s="7" t="s">
        <v>145</v>
      </c>
      <c r="D7" s="7" t="s">
        <v>125</v>
      </c>
      <c r="E7" s="5"/>
      <c r="F7" s="610"/>
      <c r="G7" s="5"/>
      <c r="H7" s="110"/>
      <c r="I7" s="110"/>
      <c r="J7" s="110"/>
      <c r="K7" s="110"/>
      <c r="L7" s="110"/>
      <c r="M7" s="1069"/>
      <c r="N7" s="675"/>
    </row>
    <row r="8" spans="1:16" s="1" customFormat="1" ht="12.95" customHeight="1">
      <c r="A8" s="608"/>
      <c r="B8" s="12"/>
      <c r="C8" s="8"/>
      <c r="D8" s="8"/>
      <c r="E8" s="635">
        <v>611000</v>
      </c>
      <c r="F8" s="661"/>
      <c r="G8" s="8" t="s">
        <v>163</v>
      </c>
      <c r="H8" s="256">
        <f>SUM(H9:H11)</f>
        <v>805680</v>
      </c>
      <c r="I8" s="903">
        <v>767390</v>
      </c>
      <c r="J8" s="534">
        <v>543576</v>
      </c>
      <c r="K8" s="256">
        <f>SUM(K9:K11)</f>
        <v>777700</v>
      </c>
      <c r="L8" s="256">
        <f>SUM(L9:L11)</f>
        <v>0</v>
      </c>
      <c r="M8" s="1061">
        <f>SUM(M9:M11)</f>
        <v>777700</v>
      </c>
      <c r="N8" s="676">
        <f>IF(I8=0,"",M8/I8*100)</f>
        <v>101.3435150314703</v>
      </c>
    </row>
    <row r="9" spans="1:16" ht="12.95" customHeight="1">
      <c r="B9" s="10"/>
      <c r="C9" s="11"/>
      <c r="D9" s="11"/>
      <c r="E9" s="636">
        <v>611100</v>
      </c>
      <c r="F9" s="662"/>
      <c r="G9" s="20" t="s">
        <v>204</v>
      </c>
      <c r="H9" s="258">
        <f>633490+2000+3290+7000+19010</f>
        <v>664790</v>
      </c>
      <c r="I9" s="904">
        <v>637280</v>
      </c>
      <c r="J9" s="535">
        <v>461417</v>
      </c>
      <c r="K9" s="258">
        <f>638300+2500+5*500</f>
        <v>643300</v>
      </c>
      <c r="L9" s="258">
        <v>0</v>
      </c>
      <c r="M9" s="1062">
        <f>SUM(K9:L9)</f>
        <v>643300</v>
      </c>
      <c r="N9" s="677">
        <f>IF(I9=0,"",M9/I9*100)</f>
        <v>100.94463971880492</v>
      </c>
    </row>
    <row r="10" spans="1:16" ht="12.95" customHeight="1">
      <c r="B10" s="10"/>
      <c r="C10" s="11"/>
      <c r="D10" s="11"/>
      <c r="E10" s="636">
        <v>611200</v>
      </c>
      <c r="F10" s="662"/>
      <c r="G10" s="11" t="s">
        <v>205</v>
      </c>
      <c r="H10" s="258">
        <f>132930+0+4*840+3200+1400</f>
        <v>140890</v>
      </c>
      <c r="I10" s="904">
        <v>130110</v>
      </c>
      <c r="J10" s="535">
        <v>82159</v>
      </c>
      <c r="K10" s="258">
        <f>127700+2200+5*900</f>
        <v>134400</v>
      </c>
      <c r="L10" s="258">
        <v>0</v>
      </c>
      <c r="M10" s="1062">
        <f t="shared" ref="M10:M11" si="0">SUM(K10:L10)</f>
        <v>134400</v>
      </c>
      <c r="N10" s="677">
        <f t="shared" ref="N10:N35" si="1">IF(I10=0,"",M10/I10*100)</f>
        <v>103.29721005303205</v>
      </c>
    </row>
    <row r="11" spans="1:16" ht="12.95" customHeight="1">
      <c r="B11" s="10"/>
      <c r="C11" s="11"/>
      <c r="D11" s="11"/>
      <c r="E11" s="636">
        <v>611200</v>
      </c>
      <c r="F11" s="662"/>
      <c r="G11" s="229" t="s">
        <v>547</v>
      </c>
      <c r="H11" s="255">
        <v>0</v>
      </c>
      <c r="I11" s="902">
        <v>0</v>
      </c>
      <c r="J11" s="533">
        <v>0</v>
      </c>
      <c r="K11" s="255">
        <v>0</v>
      </c>
      <c r="L11" s="255">
        <v>0</v>
      </c>
      <c r="M11" s="1062">
        <f t="shared" si="0"/>
        <v>0</v>
      </c>
      <c r="N11" s="677" t="str">
        <f t="shared" si="1"/>
        <v/>
      </c>
      <c r="P11" s="63"/>
    </row>
    <row r="12" spans="1:16" ht="12.95" customHeight="1">
      <c r="B12" s="10"/>
      <c r="C12" s="11"/>
      <c r="D12" s="11"/>
      <c r="E12" s="636"/>
      <c r="F12" s="662"/>
      <c r="G12" s="11"/>
      <c r="H12" s="256"/>
      <c r="I12" s="903"/>
      <c r="J12" s="534"/>
      <c r="K12" s="256"/>
      <c r="L12" s="256"/>
      <c r="M12" s="1061"/>
      <c r="N12" s="677" t="str">
        <f t="shared" si="1"/>
        <v/>
      </c>
    </row>
    <row r="13" spans="1:16" s="1" customFormat="1" ht="12.95" customHeight="1">
      <c r="A13" s="608"/>
      <c r="B13" s="12"/>
      <c r="C13" s="8"/>
      <c r="D13" s="8"/>
      <c r="E13" s="635">
        <v>612000</v>
      </c>
      <c r="F13" s="661"/>
      <c r="G13" s="8" t="s">
        <v>162</v>
      </c>
      <c r="H13" s="256">
        <f>H14</f>
        <v>72470</v>
      </c>
      <c r="I13" s="903">
        <v>71090</v>
      </c>
      <c r="J13" s="534">
        <v>51364</v>
      </c>
      <c r="K13" s="256">
        <f>K14</f>
        <v>72350</v>
      </c>
      <c r="L13" s="256">
        <f>L14</f>
        <v>0</v>
      </c>
      <c r="M13" s="1061">
        <f>M14</f>
        <v>72350</v>
      </c>
      <c r="N13" s="676">
        <f t="shared" si="1"/>
        <v>101.77240118160078</v>
      </c>
    </row>
    <row r="14" spans="1:16" ht="12.95" customHeight="1">
      <c r="B14" s="10"/>
      <c r="C14" s="11"/>
      <c r="D14" s="11"/>
      <c r="E14" s="636">
        <v>612100</v>
      </c>
      <c r="F14" s="662"/>
      <c r="G14" s="13" t="s">
        <v>83</v>
      </c>
      <c r="H14" s="258">
        <f>69030+600+770+2070</f>
        <v>72470</v>
      </c>
      <c r="I14" s="904">
        <v>71090</v>
      </c>
      <c r="J14" s="535">
        <v>51364</v>
      </c>
      <c r="K14" s="258">
        <f>71700+300+5*70</f>
        <v>72350</v>
      </c>
      <c r="L14" s="258">
        <v>0</v>
      </c>
      <c r="M14" s="1062">
        <f>SUM(K14:L14)</f>
        <v>72350</v>
      </c>
      <c r="N14" s="677">
        <f t="shared" si="1"/>
        <v>101.77240118160078</v>
      </c>
    </row>
    <row r="15" spans="1:16" ht="12.95" customHeight="1">
      <c r="B15" s="10"/>
      <c r="C15" s="11"/>
      <c r="D15" s="11"/>
      <c r="E15" s="636"/>
      <c r="F15" s="662"/>
      <c r="G15" s="11"/>
      <c r="H15" s="15"/>
      <c r="I15" s="896"/>
      <c r="J15" s="527"/>
      <c r="K15" s="615"/>
      <c r="L15" s="615"/>
      <c r="M15" s="1064"/>
      <c r="N15" s="677" t="str">
        <f t="shared" si="1"/>
        <v/>
      </c>
    </row>
    <row r="16" spans="1:16" s="1" customFormat="1" ht="12.95" customHeight="1">
      <c r="A16" s="608"/>
      <c r="B16" s="12"/>
      <c r="C16" s="8"/>
      <c r="D16" s="8"/>
      <c r="E16" s="635">
        <v>613000</v>
      </c>
      <c r="F16" s="661"/>
      <c r="G16" s="8" t="s">
        <v>164</v>
      </c>
      <c r="H16" s="35">
        <f>SUM(H17:H26)</f>
        <v>63550</v>
      </c>
      <c r="I16" s="899">
        <v>66300</v>
      </c>
      <c r="J16" s="530">
        <v>39148</v>
      </c>
      <c r="K16" s="620">
        <f>SUM(K17:K26)</f>
        <v>63300</v>
      </c>
      <c r="L16" s="620">
        <f>SUM(L17:L26)</f>
        <v>0</v>
      </c>
      <c r="M16" s="1064">
        <f>SUM(M17:M26)</f>
        <v>63300</v>
      </c>
      <c r="N16" s="676">
        <f t="shared" si="1"/>
        <v>95.475113122171948</v>
      </c>
    </row>
    <row r="17" spans="1:14" ht="12.95" customHeight="1">
      <c r="B17" s="10"/>
      <c r="C17" s="11"/>
      <c r="D17" s="11"/>
      <c r="E17" s="636">
        <v>613100</v>
      </c>
      <c r="F17" s="662"/>
      <c r="G17" s="11" t="s">
        <v>84</v>
      </c>
      <c r="H17" s="31">
        <v>4500</v>
      </c>
      <c r="I17" s="898">
        <v>4500</v>
      </c>
      <c r="J17" s="529">
        <v>3373</v>
      </c>
      <c r="K17" s="978">
        <v>4500</v>
      </c>
      <c r="L17" s="978">
        <v>0</v>
      </c>
      <c r="M17" s="1062">
        <f t="shared" ref="M17:M26" si="2">SUM(K17:L17)</f>
        <v>4500</v>
      </c>
      <c r="N17" s="677">
        <f t="shared" si="1"/>
        <v>100</v>
      </c>
    </row>
    <row r="18" spans="1:14" ht="12.95" customHeight="1">
      <c r="B18" s="10"/>
      <c r="C18" s="11"/>
      <c r="D18" s="11"/>
      <c r="E18" s="636">
        <v>613200</v>
      </c>
      <c r="F18" s="662"/>
      <c r="G18" s="11" t="s">
        <v>85</v>
      </c>
      <c r="H18" s="31">
        <v>30000</v>
      </c>
      <c r="I18" s="898">
        <v>30000</v>
      </c>
      <c r="J18" s="529">
        <v>13800</v>
      </c>
      <c r="K18" s="978">
        <v>30000</v>
      </c>
      <c r="L18" s="978">
        <v>0</v>
      </c>
      <c r="M18" s="1062">
        <f t="shared" si="2"/>
        <v>30000</v>
      </c>
      <c r="N18" s="677">
        <f t="shared" si="1"/>
        <v>100</v>
      </c>
    </row>
    <row r="19" spans="1:14" ht="12.95" customHeight="1">
      <c r="B19" s="10"/>
      <c r="C19" s="11"/>
      <c r="D19" s="11"/>
      <c r="E19" s="636">
        <v>613300</v>
      </c>
      <c r="F19" s="662"/>
      <c r="G19" s="20" t="s">
        <v>206</v>
      </c>
      <c r="H19" s="88">
        <v>3050</v>
      </c>
      <c r="I19" s="901">
        <v>2600</v>
      </c>
      <c r="J19" s="532">
        <v>1905</v>
      </c>
      <c r="K19" s="984">
        <v>2600</v>
      </c>
      <c r="L19" s="984">
        <v>0</v>
      </c>
      <c r="M19" s="1062">
        <f t="shared" si="2"/>
        <v>2600</v>
      </c>
      <c r="N19" s="677">
        <f t="shared" si="1"/>
        <v>100</v>
      </c>
    </row>
    <row r="20" spans="1:14" ht="12.95" customHeight="1">
      <c r="B20" s="10"/>
      <c r="C20" s="11"/>
      <c r="D20" s="11"/>
      <c r="E20" s="636">
        <v>613400</v>
      </c>
      <c r="F20" s="662"/>
      <c r="G20" s="11" t="s">
        <v>165</v>
      </c>
      <c r="H20" s="88">
        <v>9000</v>
      </c>
      <c r="I20" s="901">
        <v>8200</v>
      </c>
      <c r="J20" s="532">
        <v>6902</v>
      </c>
      <c r="K20" s="984">
        <v>8200</v>
      </c>
      <c r="L20" s="984">
        <v>0</v>
      </c>
      <c r="M20" s="1062">
        <f t="shared" si="2"/>
        <v>8200</v>
      </c>
      <c r="N20" s="677">
        <f t="shared" si="1"/>
        <v>100</v>
      </c>
    </row>
    <row r="21" spans="1:14" ht="12.95" customHeight="1">
      <c r="B21" s="10"/>
      <c r="C21" s="11"/>
      <c r="D21" s="11"/>
      <c r="E21" s="636">
        <v>613500</v>
      </c>
      <c r="F21" s="662"/>
      <c r="G21" s="11" t="s">
        <v>86</v>
      </c>
      <c r="H21" s="88">
        <v>0</v>
      </c>
      <c r="I21" s="901">
        <v>0</v>
      </c>
      <c r="J21" s="532">
        <v>0</v>
      </c>
      <c r="K21" s="984">
        <v>0</v>
      </c>
      <c r="L21" s="984">
        <v>0</v>
      </c>
      <c r="M21" s="1062">
        <f t="shared" si="2"/>
        <v>0</v>
      </c>
      <c r="N21" s="677" t="str">
        <f t="shared" si="1"/>
        <v/>
      </c>
    </row>
    <row r="22" spans="1:14" ht="12.95" customHeight="1">
      <c r="B22" s="10"/>
      <c r="C22" s="11"/>
      <c r="D22" s="11"/>
      <c r="E22" s="636">
        <v>613600</v>
      </c>
      <c r="F22" s="662"/>
      <c r="G22" s="20" t="s">
        <v>207</v>
      </c>
      <c r="H22" s="88">
        <v>0</v>
      </c>
      <c r="I22" s="901">
        <v>0</v>
      </c>
      <c r="J22" s="532">
        <v>0</v>
      </c>
      <c r="K22" s="984">
        <v>0</v>
      </c>
      <c r="L22" s="984">
        <v>0</v>
      </c>
      <c r="M22" s="1062">
        <f t="shared" si="2"/>
        <v>0</v>
      </c>
      <c r="N22" s="677" t="str">
        <f t="shared" si="1"/>
        <v/>
      </c>
    </row>
    <row r="23" spans="1:14" ht="12.95" customHeight="1">
      <c r="B23" s="10"/>
      <c r="C23" s="11"/>
      <c r="D23" s="11"/>
      <c r="E23" s="636">
        <v>613700</v>
      </c>
      <c r="F23" s="662"/>
      <c r="G23" s="11" t="s">
        <v>87</v>
      </c>
      <c r="H23" s="88">
        <v>9000</v>
      </c>
      <c r="I23" s="901">
        <v>8000</v>
      </c>
      <c r="J23" s="532">
        <v>3222</v>
      </c>
      <c r="K23" s="984">
        <v>9000</v>
      </c>
      <c r="L23" s="984">
        <v>0</v>
      </c>
      <c r="M23" s="1062">
        <f t="shared" si="2"/>
        <v>9000</v>
      </c>
      <c r="N23" s="677">
        <f t="shared" si="1"/>
        <v>112.5</v>
      </c>
    </row>
    <row r="24" spans="1:14" ht="12.95" customHeight="1">
      <c r="B24" s="10"/>
      <c r="C24" s="11"/>
      <c r="D24" s="11"/>
      <c r="E24" s="636">
        <v>613800</v>
      </c>
      <c r="F24" s="662"/>
      <c r="G24" s="11" t="s">
        <v>166</v>
      </c>
      <c r="H24" s="88">
        <v>0</v>
      </c>
      <c r="I24" s="901">
        <v>0</v>
      </c>
      <c r="J24" s="532">
        <v>0</v>
      </c>
      <c r="K24" s="984">
        <v>0</v>
      </c>
      <c r="L24" s="984">
        <v>0</v>
      </c>
      <c r="M24" s="1062">
        <f t="shared" si="2"/>
        <v>0</v>
      </c>
      <c r="N24" s="677" t="str">
        <f t="shared" si="1"/>
        <v/>
      </c>
    </row>
    <row r="25" spans="1:14" ht="12.95" customHeight="1">
      <c r="B25" s="10"/>
      <c r="C25" s="11"/>
      <c r="D25" s="11"/>
      <c r="E25" s="636">
        <v>613900</v>
      </c>
      <c r="F25" s="662"/>
      <c r="G25" s="11" t="s">
        <v>167</v>
      </c>
      <c r="H25" s="88">
        <v>8000</v>
      </c>
      <c r="I25" s="901">
        <v>13000</v>
      </c>
      <c r="J25" s="532">
        <v>9946</v>
      </c>
      <c r="K25" s="984">
        <v>9000</v>
      </c>
      <c r="L25" s="984">
        <v>0</v>
      </c>
      <c r="M25" s="1062">
        <f t="shared" si="2"/>
        <v>9000</v>
      </c>
      <c r="N25" s="677">
        <f t="shared" si="1"/>
        <v>69.230769230769226</v>
      </c>
    </row>
    <row r="26" spans="1:14" ht="12.95" customHeight="1">
      <c r="B26" s="10"/>
      <c r="C26" s="11"/>
      <c r="D26" s="11"/>
      <c r="E26" s="636">
        <v>613900</v>
      </c>
      <c r="F26" s="662"/>
      <c r="G26" s="229" t="s">
        <v>548</v>
      </c>
      <c r="H26" s="88">
        <v>0</v>
      </c>
      <c r="I26" s="901">
        <v>0</v>
      </c>
      <c r="J26" s="532">
        <v>0</v>
      </c>
      <c r="K26" s="984">
        <v>0</v>
      </c>
      <c r="L26" s="984">
        <v>0</v>
      </c>
      <c r="M26" s="1062">
        <f t="shared" si="2"/>
        <v>0</v>
      </c>
      <c r="N26" s="677" t="str">
        <f t="shared" si="1"/>
        <v/>
      </c>
    </row>
    <row r="27" spans="1:14" s="1" customFormat="1" ht="12.95" customHeight="1">
      <c r="A27" s="608"/>
      <c r="B27" s="12"/>
      <c r="C27" s="8"/>
      <c r="D27" s="8"/>
      <c r="E27" s="635"/>
      <c r="F27" s="661"/>
      <c r="G27" s="8"/>
      <c r="H27" s="88"/>
      <c r="I27" s="901"/>
      <c r="J27" s="532"/>
      <c r="K27" s="623"/>
      <c r="L27" s="623"/>
      <c r="M27" s="1063"/>
      <c r="N27" s="677" t="str">
        <f t="shared" si="1"/>
        <v/>
      </c>
    </row>
    <row r="28" spans="1:14" s="1" customFormat="1" ht="12.95" customHeight="1">
      <c r="A28" s="608"/>
      <c r="B28" s="12"/>
      <c r="C28" s="8"/>
      <c r="D28" s="8"/>
      <c r="E28" s="635">
        <v>821000</v>
      </c>
      <c r="F28" s="661"/>
      <c r="G28" s="8" t="s">
        <v>90</v>
      </c>
      <c r="H28" s="79">
        <f>SUM(H29:H30)</f>
        <v>13500</v>
      </c>
      <c r="I28" s="900">
        <v>13500</v>
      </c>
      <c r="J28" s="531">
        <v>0</v>
      </c>
      <c r="K28" s="622">
        <f>SUM(K29:K30)</f>
        <v>5100</v>
      </c>
      <c r="L28" s="622">
        <f>SUM(L29:L30)</f>
        <v>4900</v>
      </c>
      <c r="M28" s="1064">
        <f>SUM(M29:M30)</f>
        <v>10000</v>
      </c>
      <c r="N28" s="676">
        <f t="shared" si="1"/>
        <v>74.074074074074076</v>
      </c>
    </row>
    <row r="29" spans="1:14" ht="12.95" customHeight="1">
      <c r="B29" s="10"/>
      <c r="C29" s="11"/>
      <c r="D29" s="11"/>
      <c r="E29" s="636">
        <v>821200</v>
      </c>
      <c r="F29" s="662"/>
      <c r="G29" s="11" t="s">
        <v>91</v>
      </c>
      <c r="H29" s="88">
        <v>13500</v>
      </c>
      <c r="I29" s="901">
        <v>13500</v>
      </c>
      <c r="J29" s="532">
        <v>0</v>
      </c>
      <c r="K29" s="623">
        <v>5000</v>
      </c>
      <c r="L29" s="623">
        <v>0</v>
      </c>
      <c r="M29" s="1062">
        <f t="shared" ref="M29:M30" si="3">SUM(K29:L29)</f>
        <v>5000</v>
      </c>
      <c r="N29" s="677">
        <f t="shared" si="1"/>
        <v>37.037037037037038</v>
      </c>
    </row>
    <row r="30" spans="1:14" ht="12.95" customHeight="1">
      <c r="B30" s="10"/>
      <c r="C30" s="11"/>
      <c r="D30" s="11"/>
      <c r="E30" s="636">
        <v>821300</v>
      </c>
      <c r="F30" s="662"/>
      <c r="G30" s="11" t="s">
        <v>92</v>
      </c>
      <c r="H30" s="88">
        <v>0</v>
      </c>
      <c r="I30" s="901">
        <v>0</v>
      </c>
      <c r="J30" s="532">
        <v>0</v>
      </c>
      <c r="K30" s="623">
        <v>100</v>
      </c>
      <c r="L30" s="623">
        <v>4900</v>
      </c>
      <c r="M30" s="1062">
        <f t="shared" si="3"/>
        <v>5000</v>
      </c>
      <c r="N30" s="677" t="str">
        <f t="shared" si="1"/>
        <v/>
      </c>
    </row>
    <row r="31" spans="1:14" ht="12.95" customHeight="1">
      <c r="B31" s="10"/>
      <c r="C31" s="11"/>
      <c r="D31" s="11"/>
      <c r="E31" s="636"/>
      <c r="F31" s="662"/>
      <c r="G31" s="11"/>
      <c r="H31" s="31"/>
      <c r="I31" s="898"/>
      <c r="J31" s="529"/>
      <c r="K31" s="618"/>
      <c r="L31" s="618"/>
      <c r="M31" s="1063"/>
      <c r="N31" s="677" t="str">
        <f t="shared" si="1"/>
        <v/>
      </c>
    </row>
    <row r="32" spans="1:14" s="1" customFormat="1" ht="12.95" customHeight="1">
      <c r="A32" s="608"/>
      <c r="B32" s="12"/>
      <c r="C32" s="8"/>
      <c r="D32" s="8"/>
      <c r="E32" s="635"/>
      <c r="F32" s="661"/>
      <c r="G32" s="8" t="s">
        <v>93</v>
      </c>
      <c r="H32" s="19" t="s">
        <v>618</v>
      </c>
      <c r="I32" s="897" t="s">
        <v>618</v>
      </c>
      <c r="J32" s="528" t="s">
        <v>618</v>
      </c>
      <c r="K32" s="556" t="s">
        <v>618</v>
      </c>
      <c r="L32" s="556"/>
      <c r="M32" s="1066" t="s">
        <v>618</v>
      </c>
      <c r="N32" s="677"/>
    </row>
    <row r="33" spans="1:14" s="1" customFormat="1" ht="12.95" customHeight="1">
      <c r="A33" s="608"/>
      <c r="B33" s="12"/>
      <c r="C33" s="8"/>
      <c r="D33" s="8"/>
      <c r="E33" s="635"/>
      <c r="F33" s="661"/>
      <c r="G33" s="8" t="s">
        <v>113</v>
      </c>
      <c r="H33" s="15">
        <f>H8+H13+H16+H28</f>
        <v>955200</v>
      </c>
      <c r="I33" s="15">
        <f>I8+I13+I16+I28</f>
        <v>918280</v>
      </c>
      <c r="J33" s="15">
        <f t="shared" ref="J33" si="4">J8+J13+J16+J28</f>
        <v>634088</v>
      </c>
      <c r="K33" s="615">
        <f>K8+K13+K16+K28</f>
        <v>918450</v>
      </c>
      <c r="L33" s="615">
        <f>L8+L13+L16+L28</f>
        <v>4900</v>
      </c>
      <c r="M33" s="1064">
        <f>M8+M13+M16+M28</f>
        <v>923350</v>
      </c>
      <c r="N33" s="676">
        <f t="shared" si="1"/>
        <v>100.55211917933529</v>
      </c>
    </row>
    <row r="34" spans="1:14" s="1" customFormat="1" ht="12.95" customHeight="1">
      <c r="A34" s="608"/>
      <c r="B34" s="12"/>
      <c r="C34" s="8"/>
      <c r="D34" s="8"/>
      <c r="E34" s="635"/>
      <c r="F34" s="661"/>
      <c r="G34" s="8" t="s">
        <v>94</v>
      </c>
      <c r="H34" s="15"/>
      <c r="I34" s="15"/>
      <c r="J34" s="15"/>
      <c r="K34" s="615"/>
      <c r="L34" s="615"/>
      <c r="M34" s="1064"/>
      <c r="N34" s="677" t="str">
        <f>IF(I34=0,"",M34/I34*100)</f>
        <v/>
      </c>
    </row>
    <row r="35" spans="1:14" s="1" customFormat="1" ht="12.95" customHeight="1">
      <c r="A35" s="608"/>
      <c r="B35" s="12"/>
      <c r="C35" s="8"/>
      <c r="D35" s="8"/>
      <c r="E35" s="635"/>
      <c r="F35" s="661"/>
      <c r="G35" s="8" t="s">
        <v>95</v>
      </c>
      <c r="H35" s="30"/>
      <c r="I35" s="30"/>
      <c r="J35" s="30"/>
      <c r="K35" s="593"/>
      <c r="L35" s="593"/>
      <c r="M35" s="1063"/>
      <c r="N35" s="677" t="str">
        <f t="shared" si="1"/>
        <v/>
      </c>
    </row>
    <row r="36" spans="1:14" ht="12.95" customHeight="1" thickBot="1">
      <c r="B36" s="16"/>
      <c r="C36" s="17"/>
      <c r="D36" s="17"/>
      <c r="E36" s="637"/>
      <c r="F36" s="663"/>
      <c r="G36" s="17"/>
      <c r="H36" s="32"/>
      <c r="I36" s="32"/>
      <c r="J36" s="32"/>
      <c r="K36" s="32"/>
      <c r="L36" s="32"/>
      <c r="M36" s="1067"/>
      <c r="N36" s="679"/>
    </row>
    <row r="37" spans="1:14" ht="12.95" customHeight="1">
      <c r="E37" s="638"/>
      <c r="F37" s="664"/>
      <c r="M37" s="1070"/>
    </row>
    <row r="38" spans="1:14" ht="12.95" customHeight="1">
      <c r="E38" s="638"/>
      <c r="F38" s="664"/>
      <c r="M38" s="1070"/>
    </row>
    <row r="39" spans="1:14" ht="12.95" customHeight="1">
      <c r="B39" s="56"/>
      <c r="E39" s="638"/>
      <c r="F39" s="664"/>
      <c r="M39" s="1070"/>
    </row>
    <row r="40" spans="1:14" ht="12.95" customHeight="1">
      <c r="B40" s="56"/>
      <c r="E40" s="638"/>
      <c r="F40" s="664"/>
      <c r="M40" s="1070"/>
    </row>
    <row r="41" spans="1:14" ht="12.95" customHeight="1">
      <c r="B41" s="56"/>
      <c r="E41" s="638"/>
      <c r="F41" s="664"/>
      <c r="M41" s="1070"/>
    </row>
    <row r="42" spans="1:14" ht="12.95" customHeight="1">
      <c r="B42" s="56"/>
      <c r="E42" s="638"/>
      <c r="F42" s="664"/>
      <c r="M42" s="1070"/>
    </row>
    <row r="43" spans="1:14" ht="12.95" customHeight="1">
      <c r="B43" s="56"/>
      <c r="E43" s="638"/>
      <c r="F43" s="664"/>
      <c r="M43" s="1070"/>
    </row>
    <row r="44" spans="1:14" ht="12.95" customHeight="1">
      <c r="E44" s="638"/>
      <c r="F44" s="664"/>
      <c r="M44" s="1070"/>
    </row>
    <row r="45" spans="1:14" ht="12.95" customHeight="1">
      <c r="E45" s="638"/>
      <c r="F45" s="664"/>
      <c r="M45" s="1070"/>
    </row>
    <row r="46" spans="1:14" ht="12.95" customHeight="1">
      <c r="E46" s="638"/>
      <c r="F46" s="664"/>
      <c r="M46" s="1070"/>
    </row>
    <row r="47" spans="1:14" ht="12.95" customHeight="1">
      <c r="E47" s="638"/>
      <c r="F47" s="664"/>
      <c r="M47" s="1070"/>
    </row>
    <row r="48" spans="1:14" ht="12.95" customHeight="1">
      <c r="E48" s="638"/>
      <c r="F48" s="664"/>
      <c r="M48" s="1070"/>
    </row>
    <row r="49" spans="5:13" ht="12.95" customHeight="1">
      <c r="E49" s="638"/>
      <c r="F49" s="664"/>
      <c r="M49" s="1070"/>
    </row>
    <row r="50" spans="5:13" ht="12.95" customHeight="1">
      <c r="E50" s="638"/>
      <c r="F50" s="664"/>
      <c r="M50" s="1070"/>
    </row>
    <row r="51" spans="5:13" ht="12.95" customHeight="1">
      <c r="E51" s="638"/>
      <c r="F51" s="664"/>
      <c r="M51" s="1070"/>
    </row>
    <row r="52" spans="5:13" ht="12.95" customHeight="1">
      <c r="E52" s="638"/>
      <c r="F52" s="664"/>
      <c r="M52" s="1070"/>
    </row>
    <row r="53" spans="5:13" ht="12.95" customHeight="1">
      <c r="E53" s="638"/>
      <c r="F53" s="664"/>
      <c r="M53" s="1070"/>
    </row>
    <row r="54" spans="5:13" ht="12.95" customHeight="1">
      <c r="E54" s="638"/>
      <c r="F54" s="664"/>
      <c r="M54" s="1070"/>
    </row>
    <row r="55" spans="5:13" ht="12.95" customHeight="1">
      <c r="E55" s="638"/>
      <c r="F55" s="664"/>
      <c r="M55" s="1070"/>
    </row>
    <row r="56" spans="5:13" ht="12.95" customHeight="1">
      <c r="E56" s="638"/>
      <c r="F56" s="664"/>
      <c r="M56" s="1070"/>
    </row>
    <row r="57" spans="5:13" ht="12.95" customHeight="1">
      <c r="E57" s="638"/>
      <c r="F57" s="664"/>
      <c r="M57" s="1070"/>
    </row>
    <row r="58" spans="5:13" ht="12.95" customHeight="1">
      <c r="E58" s="638"/>
      <c r="F58" s="664"/>
      <c r="M58" s="1070"/>
    </row>
    <row r="59" spans="5:13" ht="12.95" customHeight="1">
      <c r="E59" s="638"/>
      <c r="F59" s="664"/>
      <c r="M59" s="1070"/>
    </row>
    <row r="60" spans="5:13" ht="17.100000000000001" customHeight="1">
      <c r="E60" s="638"/>
      <c r="F60" s="664"/>
      <c r="M60" s="1070"/>
    </row>
    <row r="61" spans="5:13" ht="14.25">
      <c r="E61" s="638"/>
      <c r="F61" s="664"/>
      <c r="M61" s="1070"/>
    </row>
    <row r="62" spans="5:13" ht="14.25">
      <c r="E62" s="638"/>
      <c r="F62" s="664"/>
      <c r="M62" s="1070"/>
    </row>
    <row r="63" spans="5:13" ht="14.25">
      <c r="E63" s="638"/>
      <c r="F63" s="664"/>
      <c r="M63" s="1070"/>
    </row>
    <row r="64" spans="5:13" ht="14.25">
      <c r="E64" s="638"/>
      <c r="F64" s="664"/>
      <c r="M64" s="1070"/>
    </row>
    <row r="65" spans="5:13" ht="14.25">
      <c r="E65" s="638"/>
      <c r="F65" s="664"/>
      <c r="M65" s="1070"/>
    </row>
    <row r="66" spans="5:13" ht="14.25">
      <c r="E66" s="638"/>
      <c r="F66" s="664"/>
      <c r="M66" s="1070"/>
    </row>
    <row r="67" spans="5:13" ht="14.25">
      <c r="E67" s="638"/>
      <c r="F67" s="664"/>
      <c r="M67" s="1070"/>
    </row>
    <row r="68" spans="5:13" ht="14.25">
      <c r="E68" s="638"/>
      <c r="F68" s="664"/>
      <c r="M68" s="1070"/>
    </row>
    <row r="69" spans="5:13" ht="14.25">
      <c r="E69" s="638"/>
      <c r="F69" s="664"/>
      <c r="M69" s="1070"/>
    </row>
    <row r="70" spans="5:13" ht="14.25">
      <c r="E70" s="638"/>
      <c r="F70" s="664"/>
      <c r="M70" s="1070"/>
    </row>
    <row r="71" spans="5:13" ht="14.25">
      <c r="E71" s="638"/>
      <c r="F71" s="664"/>
      <c r="M71" s="1070"/>
    </row>
    <row r="72" spans="5:13" ht="14.25">
      <c r="E72" s="638"/>
      <c r="F72" s="664"/>
      <c r="M72" s="1070"/>
    </row>
    <row r="73" spans="5:13" ht="14.25">
      <c r="E73" s="638"/>
      <c r="F73" s="664"/>
      <c r="M73" s="1070"/>
    </row>
    <row r="74" spans="5:13" ht="14.25">
      <c r="E74" s="638"/>
      <c r="F74" s="638"/>
      <c r="M74" s="1070"/>
    </row>
    <row r="75" spans="5:13" ht="14.25">
      <c r="E75" s="638"/>
      <c r="F75" s="638"/>
      <c r="M75" s="1070"/>
    </row>
    <row r="76" spans="5:13" ht="14.25">
      <c r="E76" s="638"/>
      <c r="F76" s="638"/>
      <c r="M76" s="1070"/>
    </row>
    <row r="77" spans="5:13" ht="14.25">
      <c r="E77" s="638"/>
      <c r="F77" s="638"/>
      <c r="M77" s="1070"/>
    </row>
    <row r="78" spans="5:13" ht="14.25">
      <c r="E78" s="638"/>
      <c r="F78" s="638"/>
      <c r="M78" s="1070"/>
    </row>
    <row r="79" spans="5:13" ht="14.25">
      <c r="E79" s="638"/>
      <c r="F79" s="638"/>
      <c r="M79" s="1070"/>
    </row>
    <row r="80" spans="5:13" ht="14.25">
      <c r="E80" s="638"/>
      <c r="F80" s="638"/>
      <c r="M80" s="1070"/>
    </row>
    <row r="81" spans="5:13" ht="14.25">
      <c r="E81" s="638"/>
      <c r="F81" s="638"/>
      <c r="M81" s="1070"/>
    </row>
    <row r="82" spans="5:13" ht="14.25">
      <c r="E82" s="638"/>
      <c r="F82" s="638"/>
      <c r="M82" s="1070"/>
    </row>
    <row r="83" spans="5:13" ht="14.25">
      <c r="E83" s="638"/>
      <c r="F83" s="638"/>
      <c r="M83" s="1070"/>
    </row>
    <row r="84" spans="5:13" ht="14.25">
      <c r="E84" s="638"/>
      <c r="F84" s="638"/>
      <c r="M84" s="1070"/>
    </row>
    <row r="85" spans="5:13" ht="14.25">
      <c r="E85" s="638"/>
      <c r="F85" s="638"/>
      <c r="M85" s="1070"/>
    </row>
    <row r="86" spans="5:13" ht="14.25">
      <c r="E86" s="638"/>
      <c r="F86" s="638"/>
      <c r="M86" s="1070"/>
    </row>
    <row r="87" spans="5:13" ht="14.25">
      <c r="E87" s="638"/>
      <c r="F87" s="638"/>
      <c r="M87" s="1070"/>
    </row>
    <row r="88" spans="5:13" ht="14.25">
      <c r="E88" s="638"/>
      <c r="F88" s="638"/>
      <c r="M88" s="1070"/>
    </row>
    <row r="89" spans="5:13" ht="14.25">
      <c r="E89" s="638"/>
      <c r="F89" s="638"/>
      <c r="M89" s="1070"/>
    </row>
    <row r="90" spans="5:13" ht="14.25">
      <c r="E90" s="638"/>
      <c r="F90" s="638"/>
      <c r="M90" s="1070"/>
    </row>
    <row r="91" spans="5:13">
      <c r="F91" s="638"/>
    </row>
    <row r="92" spans="5:13">
      <c r="F92" s="638"/>
    </row>
    <row r="93" spans="5:13">
      <c r="F93" s="638"/>
    </row>
    <row r="94" spans="5:13">
      <c r="F94" s="638"/>
    </row>
    <row r="95" spans="5:13">
      <c r="F95" s="638"/>
    </row>
    <row r="96" spans="5:13">
      <c r="F96" s="638"/>
    </row>
  </sheetData>
  <mergeCells count="13">
    <mergeCell ref="N4:N5"/>
    <mergeCell ref="G4:G5"/>
    <mergeCell ref="B2:H2"/>
    <mergeCell ref="G3:H3"/>
    <mergeCell ref="K4:M4"/>
    <mergeCell ref="B4:B5"/>
    <mergeCell ref="C4:C5"/>
    <mergeCell ref="D4:D5"/>
    <mergeCell ref="F4:F5"/>
    <mergeCell ref="E4:E5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0"/>
  <dimension ref="A1:P96"/>
  <sheetViews>
    <sheetView zoomScaleNormal="100" workbookViewId="0">
      <selection activeCell="Q14" sqref="Q14"/>
    </sheetView>
  </sheetViews>
  <sheetFormatPr defaultRowHeight="12.75"/>
  <cols>
    <col min="1" max="1" width="9.140625" style="611"/>
    <col min="2" max="2" width="4.7109375" style="9" customWidth="1"/>
    <col min="3" max="3" width="5.140625" style="9" customWidth="1"/>
    <col min="4" max="4" width="5" style="9" customWidth="1"/>
    <col min="5" max="5" width="8.7109375" style="18" customWidth="1"/>
    <col min="6" max="6" width="8.7109375" style="616" customWidth="1"/>
    <col min="7" max="7" width="50.7109375" style="9" customWidth="1"/>
    <col min="8" max="12" width="14.7109375" style="64" customWidth="1"/>
    <col min="13" max="13" width="15.7109375" style="64" customWidth="1"/>
    <col min="14" max="14" width="7.7109375" style="680" customWidth="1"/>
    <col min="15" max="16384" width="9.140625" style="9"/>
  </cols>
  <sheetData>
    <row r="1" spans="1:16" ht="13.5" thickBot="1"/>
    <row r="2" spans="1:16" s="126" customFormat="1" ht="20.100000000000001" customHeight="1" thickTop="1" thickBot="1">
      <c r="A2" s="1052"/>
      <c r="B2" s="1261" t="s">
        <v>172</v>
      </c>
      <c r="C2" s="1262"/>
      <c r="D2" s="1262"/>
      <c r="E2" s="1262"/>
      <c r="F2" s="1262"/>
      <c r="G2" s="1262"/>
      <c r="H2" s="1262"/>
      <c r="I2" s="1285"/>
      <c r="J2" s="1285"/>
      <c r="K2" s="1285"/>
      <c r="L2" s="1285"/>
      <c r="M2" s="1285"/>
      <c r="N2" s="1286"/>
    </row>
    <row r="3" spans="1:16" s="1" customFormat="1" ht="8.1" customHeight="1" thickTop="1" thickBot="1">
      <c r="A3" s="608"/>
      <c r="E3" s="2"/>
      <c r="F3" s="609"/>
      <c r="G3" s="1264"/>
      <c r="H3" s="1264"/>
      <c r="I3" s="306"/>
      <c r="J3" s="306"/>
      <c r="K3" s="119"/>
      <c r="L3" s="119"/>
      <c r="M3" s="119"/>
      <c r="N3" s="674"/>
    </row>
    <row r="4" spans="1:16" s="1" customFormat="1" ht="39" customHeight="1">
      <c r="A4" s="608"/>
      <c r="B4" s="1268" t="s">
        <v>78</v>
      </c>
      <c r="C4" s="1280" t="s">
        <v>79</v>
      </c>
      <c r="D4" s="1281" t="s">
        <v>110</v>
      </c>
      <c r="E4" s="1282" t="s">
        <v>615</v>
      </c>
      <c r="F4" s="1273" t="s">
        <v>695</v>
      </c>
      <c r="G4" s="1274" t="s">
        <v>80</v>
      </c>
      <c r="H4" s="1283" t="s">
        <v>614</v>
      </c>
      <c r="I4" s="1284" t="s">
        <v>747</v>
      </c>
      <c r="J4" s="1283" t="s">
        <v>667</v>
      </c>
      <c r="K4" s="1265" t="s">
        <v>682</v>
      </c>
      <c r="L4" s="1266"/>
      <c r="M4" s="1267"/>
      <c r="N4" s="1278" t="s">
        <v>756</v>
      </c>
    </row>
    <row r="5" spans="1:16" s="608" customFormat="1" ht="27" customHeight="1">
      <c r="B5" s="1269"/>
      <c r="C5" s="1271"/>
      <c r="D5" s="1271"/>
      <c r="E5" s="1275"/>
      <c r="F5" s="1271"/>
      <c r="G5" s="1275"/>
      <c r="H5" s="1275"/>
      <c r="I5" s="1275"/>
      <c r="J5" s="1275"/>
      <c r="K5" s="1048" t="s">
        <v>753</v>
      </c>
      <c r="L5" s="1048" t="s">
        <v>754</v>
      </c>
      <c r="M5" s="1059" t="s">
        <v>426</v>
      </c>
      <c r="N5" s="1279"/>
    </row>
    <row r="6" spans="1:16" s="2" customFormat="1" ht="12.95" customHeight="1">
      <c r="A6" s="609"/>
      <c r="B6" s="1181">
        <v>1</v>
      </c>
      <c r="C6" s="661">
        <v>2</v>
      </c>
      <c r="D6" s="661">
        <v>3</v>
      </c>
      <c r="E6" s="661">
        <v>4</v>
      </c>
      <c r="F6" s="661">
        <v>5</v>
      </c>
      <c r="G6" s="661">
        <v>6</v>
      </c>
      <c r="H6" s="661">
        <v>7</v>
      </c>
      <c r="I6" s="661">
        <v>8</v>
      </c>
      <c r="J6" s="661">
        <v>9</v>
      </c>
      <c r="K6" s="661">
        <v>10</v>
      </c>
      <c r="L6" s="661">
        <v>11</v>
      </c>
      <c r="M6" s="1201" t="s">
        <v>755</v>
      </c>
      <c r="N6" s="1183">
        <v>13</v>
      </c>
    </row>
    <row r="7" spans="1:16" s="2" customFormat="1" ht="12.95" customHeight="1">
      <c r="A7" s="609"/>
      <c r="B7" s="6" t="s">
        <v>143</v>
      </c>
      <c r="C7" s="7" t="s">
        <v>145</v>
      </c>
      <c r="D7" s="7" t="s">
        <v>146</v>
      </c>
      <c r="E7" s="5"/>
      <c r="F7" s="610"/>
      <c r="G7" s="5"/>
      <c r="H7" s="110"/>
      <c r="I7" s="110"/>
      <c r="J7" s="110"/>
      <c r="K7" s="110"/>
      <c r="L7" s="110"/>
      <c r="M7" s="1069"/>
      <c r="N7" s="675"/>
    </row>
    <row r="8" spans="1:16" s="1" customFormat="1" ht="12.95" customHeight="1">
      <c r="A8" s="608"/>
      <c r="B8" s="12"/>
      <c r="C8" s="8"/>
      <c r="D8" s="8"/>
      <c r="E8" s="635">
        <v>611000</v>
      </c>
      <c r="F8" s="661"/>
      <c r="G8" s="8" t="s">
        <v>163</v>
      </c>
      <c r="H8" s="256">
        <f>SUM(H9:H11)</f>
        <v>864760</v>
      </c>
      <c r="I8" s="913">
        <v>882730</v>
      </c>
      <c r="J8" s="544">
        <v>622719</v>
      </c>
      <c r="K8" s="256">
        <f>SUM(K9:K11)</f>
        <v>979810</v>
      </c>
      <c r="L8" s="256">
        <f>SUM(L9:L11)</f>
        <v>0</v>
      </c>
      <c r="M8" s="1061">
        <f>SUM(M9:M11)</f>
        <v>979810</v>
      </c>
      <c r="N8" s="676">
        <f>IF(I8=0,"",M8/I8*100)</f>
        <v>110.99770031606494</v>
      </c>
    </row>
    <row r="9" spans="1:16" ht="12.95" customHeight="1">
      <c r="B9" s="10"/>
      <c r="C9" s="11"/>
      <c r="D9" s="11"/>
      <c r="E9" s="636">
        <v>611100</v>
      </c>
      <c r="F9" s="662"/>
      <c r="G9" s="20" t="s">
        <v>204</v>
      </c>
      <c r="H9" s="258">
        <f>650610+2000+230+7000+16600+10600+19520+820</f>
        <v>707380</v>
      </c>
      <c r="I9" s="914">
        <v>720970</v>
      </c>
      <c r="J9" s="545">
        <v>517726</v>
      </c>
      <c r="K9" s="258">
        <f>801200+3200+550+500</f>
        <v>805450</v>
      </c>
      <c r="L9" s="258">
        <v>0</v>
      </c>
      <c r="M9" s="1062">
        <f>SUM(K9:L9)</f>
        <v>805450</v>
      </c>
      <c r="N9" s="677">
        <f>IF(I9=0,"",M9/I9*100)</f>
        <v>111.71754719336448</v>
      </c>
      <c r="O9" s="56"/>
      <c r="P9" s="64"/>
    </row>
    <row r="10" spans="1:16" ht="12.95" customHeight="1">
      <c r="B10" s="10"/>
      <c r="C10" s="11"/>
      <c r="D10" s="11"/>
      <c r="E10" s="636">
        <v>611200</v>
      </c>
      <c r="F10" s="662"/>
      <c r="G10" s="11" t="s">
        <v>205</v>
      </c>
      <c r="H10" s="258">
        <f>144490+1000+840+1470+2580+1400+3000+2600</f>
        <v>157380</v>
      </c>
      <c r="I10" s="914">
        <v>161760</v>
      </c>
      <c r="J10" s="545">
        <v>104993</v>
      </c>
      <c r="K10" s="258">
        <f>167800+2100+3560+900</f>
        <v>174360</v>
      </c>
      <c r="L10" s="258">
        <v>0</v>
      </c>
      <c r="M10" s="1062">
        <f t="shared" ref="M10:M11" si="0">SUM(K10:L10)</f>
        <v>174360</v>
      </c>
      <c r="N10" s="677">
        <f t="shared" ref="N10:N35" si="1">IF(I10=0,"",M10/I10*100)</f>
        <v>107.7893175074184</v>
      </c>
    </row>
    <row r="11" spans="1:16" ht="12.95" customHeight="1">
      <c r="B11" s="10"/>
      <c r="C11" s="11"/>
      <c r="D11" s="11"/>
      <c r="E11" s="636">
        <v>611200</v>
      </c>
      <c r="F11" s="662"/>
      <c r="G11" s="229" t="s">
        <v>547</v>
      </c>
      <c r="H11" s="255">
        <v>0</v>
      </c>
      <c r="I11" s="912">
        <v>0</v>
      </c>
      <c r="J11" s="543">
        <v>0</v>
      </c>
      <c r="K11" s="255">
        <v>0</v>
      </c>
      <c r="L11" s="255">
        <v>0</v>
      </c>
      <c r="M11" s="1062">
        <f t="shared" si="0"/>
        <v>0</v>
      </c>
      <c r="N11" s="677" t="str">
        <f t="shared" si="1"/>
        <v/>
      </c>
      <c r="P11" s="63"/>
    </row>
    <row r="12" spans="1:16" ht="12.95" customHeight="1">
      <c r="B12" s="10"/>
      <c r="C12" s="11"/>
      <c r="D12" s="11"/>
      <c r="E12" s="636"/>
      <c r="F12" s="662"/>
      <c r="G12" s="11"/>
      <c r="H12" s="256"/>
      <c r="I12" s="913"/>
      <c r="J12" s="544"/>
      <c r="K12" s="256"/>
      <c r="L12" s="256"/>
      <c r="M12" s="1061"/>
      <c r="N12" s="677" t="str">
        <f t="shared" si="1"/>
        <v/>
      </c>
    </row>
    <row r="13" spans="1:16" s="1" customFormat="1" ht="12.95" customHeight="1">
      <c r="A13" s="608"/>
      <c r="B13" s="12"/>
      <c r="C13" s="8"/>
      <c r="D13" s="8"/>
      <c r="E13" s="635">
        <v>612000</v>
      </c>
      <c r="F13" s="661"/>
      <c r="G13" s="8" t="s">
        <v>162</v>
      </c>
      <c r="H13" s="256">
        <f>H14</f>
        <v>76420</v>
      </c>
      <c r="I13" s="913">
        <v>77560</v>
      </c>
      <c r="J13" s="544">
        <v>55347</v>
      </c>
      <c r="K13" s="256">
        <f>K14</f>
        <v>85620</v>
      </c>
      <c r="L13" s="256">
        <f>L14</f>
        <v>0</v>
      </c>
      <c r="M13" s="1061">
        <f>M14</f>
        <v>85620</v>
      </c>
      <c r="N13" s="676">
        <f t="shared" si="1"/>
        <v>110.39195461578133</v>
      </c>
    </row>
    <row r="14" spans="1:16" ht="12.95" customHeight="1">
      <c r="B14" s="10"/>
      <c r="C14" s="11"/>
      <c r="D14" s="11"/>
      <c r="E14" s="636">
        <v>612100</v>
      </c>
      <c r="F14" s="662"/>
      <c r="G14" s="13" t="s">
        <v>83</v>
      </c>
      <c r="H14" s="258">
        <f>69760+700+770+1830+1170+2100+90</f>
        <v>76420</v>
      </c>
      <c r="I14" s="914">
        <v>77560</v>
      </c>
      <c r="J14" s="545">
        <v>55347</v>
      </c>
      <c r="K14" s="258">
        <f>85200+350+70</f>
        <v>85620</v>
      </c>
      <c r="L14" s="258">
        <v>0</v>
      </c>
      <c r="M14" s="1062">
        <f>SUM(K14:L14)</f>
        <v>85620</v>
      </c>
      <c r="N14" s="677">
        <f t="shared" si="1"/>
        <v>110.39195461578133</v>
      </c>
    </row>
    <row r="15" spans="1:16" ht="12.95" customHeight="1">
      <c r="B15" s="10"/>
      <c r="C15" s="11"/>
      <c r="D15" s="11"/>
      <c r="E15" s="636"/>
      <c r="F15" s="662"/>
      <c r="G15" s="11"/>
      <c r="H15" s="15"/>
      <c r="I15" s="905"/>
      <c r="J15" s="536"/>
      <c r="K15" s="615"/>
      <c r="L15" s="615"/>
      <c r="M15" s="1064"/>
      <c r="N15" s="677" t="str">
        <f t="shared" si="1"/>
        <v/>
      </c>
    </row>
    <row r="16" spans="1:16" s="1" customFormat="1" ht="12.95" customHeight="1">
      <c r="A16" s="608"/>
      <c r="B16" s="12"/>
      <c r="C16" s="8"/>
      <c r="D16" s="8"/>
      <c r="E16" s="635">
        <v>613000</v>
      </c>
      <c r="F16" s="661"/>
      <c r="G16" s="8" t="s">
        <v>164</v>
      </c>
      <c r="H16" s="35">
        <f>SUM(H17:H26)</f>
        <v>99600</v>
      </c>
      <c r="I16" s="907">
        <v>99550</v>
      </c>
      <c r="J16" s="538">
        <v>51783</v>
      </c>
      <c r="K16" s="620">
        <f>SUM(K17:K26)</f>
        <v>98650</v>
      </c>
      <c r="L16" s="620">
        <f>SUM(L17:L26)</f>
        <v>0</v>
      </c>
      <c r="M16" s="1064">
        <f>SUM(M17:M26)</f>
        <v>98650</v>
      </c>
      <c r="N16" s="676">
        <f t="shared" si="1"/>
        <v>99.095931692616773</v>
      </c>
    </row>
    <row r="17" spans="1:14" ht="12.95" customHeight="1">
      <c r="B17" s="10"/>
      <c r="C17" s="11"/>
      <c r="D17" s="11"/>
      <c r="E17" s="636">
        <v>613100</v>
      </c>
      <c r="F17" s="662"/>
      <c r="G17" s="11" t="s">
        <v>84</v>
      </c>
      <c r="H17" s="31">
        <v>4000</v>
      </c>
      <c r="I17" s="906">
        <v>4000</v>
      </c>
      <c r="J17" s="537">
        <v>2839</v>
      </c>
      <c r="K17" s="978">
        <v>4000</v>
      </c>
      <c r="L17" s="978">
        <v>0</v>
      </c>
      <c r="M17" s="1062">
        <f t="shared" ref="M17:M26" si="2">SUM(K17:L17)</f>
        <v>4000</v>
      </c>
      <c r="N17" s="677">
        <f t="shared" si="1"/>
        <v>100</v>
      </c>
    </row>
    <row r="18" spans="1:14" ht="12.95" customHeight="1">
      <c r="B18" s="10"/>
      <c r="C18" s="11"/>
      <c r="D18" s="11"/>
      <c r="E18" s="636">
        <v>613200</v>
      </c>
      <c r="F18" s="662"/>
      <c r="G18" s="11" t="s">
        <v>85</v>
      </c>
      <c r="H18" s="31">
        <v>55000</v>
      </c>
      <c r="I18" s="906">
        <v>49300</v>
      </c>
      <c r="J18" s="537">
        <v>14370</v>
      </c>
      <c r="K18" s="978">
        <v>55000</v>
      </c>
      <c r="L18" s="978">
        <v>0</v>
      </c>
      <c r="M18" s="1062">
        <f t="shared" si="2"/>
        <v>55000</v>
      </c>
      <c r="N18" s="677">
        <f t="shared" si="1"/>
        <v>111.56186612576064</v>
      </c>
    </row>
    <row r="19" spans="1:14" ht="12.95" customHeight="1">
      <c r="B19" s="10"/>
      <c r="C19" s="11"/>
      <c r="D19" s="11"/>
      <c r="E19" s="636">
        <v>613300</v>
      </c>
      <c r="F19" s="662"/>
      <c r="G19" s="20" t="s">
        <v>206</v>
      </c>
      <c r="H19" s="31">
        <v>4500</v>
      </c>
      <c r="I19" s="906">
        <v>4500</v>
      </c>
      <c r="J19" s="537">
        <v>3154</v>
      </c>
      <c r="K19" s="978">
        <v>4500</v>
      </c>
      <c r="L19" s="978">
        <v>0</v>
      </c>
      <c r="M19" s="1062">
        <f t="shared" si="2"/>
        <v>4500</v>
      </c>
      <c r="N19" s="677">
        <f t="shared" si="1"/>
        <v>100</v>
      </c>
    </row>
    <row r="20" spans="1:14" ht="12.95" customHeight="1">
      <c r="B20" s="10"/>
      <c r="C20" s="11"/>
      <c r="D20" s="11"/>
      <c r="E20" s="636">
        <v>613400</v>
      </c>
      <c r="F20" s="662"/>
      <c r="G20" s="11" t="s">
        <v>165</v>
      </c>
      <c r="H20" s="31">
        <v>12000</v>
      </c>
      <c r="I20" s="906">
        <v>12000</v>
      </c>
      <c r="J20" s="537">
        <v>8615</v>
      </c>
      <c r="K20" s="978">
        <v>12000</v>
      </c>
      <c r="L20" s="978">
        <v>0</v>
      </c>
      <c r="M20" s="1062">
        <f t="shared" si="2"/>
        <v>12000</v>
      </c>
      <c r="N20" s="677">
        <f t="shared" si="1"/>
        <v>100</v>
      </c>
    </row>
    <row r="21" spans="1:14" ht="12.95" customHeight="1">
      <c r="B21" s="10"/>
      <c r="C21" s="11"/>
      <c r="D21" s="11"/>
      <c r="E21" s="636">
        <v>613500</v>
      </c>
      <c r="F21" s="662"/>
      <c r="G21" s="11" t="s">
        <v>86</v>
      </c>
      <c r="H21" s="88">
        <v>1000</v>
      </c>
      <c r="I21" s="909">
        <v>1000</v>
      </c>
      <c r="J21" s="540">
        <v>962</v>
      </c>
      <c r="K21" s="984">
        <v>1000</v>
      </c>
      <c r="L21" s="984">
        <v>0</v>
      </c>
      <c r="M21" s="1062">
        <f t="shared" si="2"/>
        <v>1000</v>
      </c>
      <c r="N21" s="677">
        <f t="shared" si="1"/>
        <v>100</v>
      </c>
    </row>
    <row r="22" spans="1:14" ht="12.95" customHeight="1">
      <c r="B22" s="10"/>
      <c r="C22" s="11"/>
      <c r="D22" s="11"/>
      <c r="E22" s="636">
        <v>613600</v>
      </c>
      <c r="F22" s="662"/>
      <c r="G22" s="20" t="s">
        <v>207</v>
      </c>
      <c r="H22" s="88">
        <v>0</v>
      </c>
      <c r="I22" s="909">
        <v>0</v>
      </c>
      <c r="J22" s="540">
        <v>0</v>
      </c>
      <c r="K22" s="984">
        <v>0</v>
      </c>
      <c r="L22" s="984">
        <v>0</v>
      </c>
      <c r="M22" s="1062">
        <f t="shared" si="2"/>
        <v>0</v>
      </c>
      <c r="N22" s="677" t="str">
        <f t="shared" si="1"/>
        <v/>
      </c>
    </row>
    <row r="23" spans="1:14" ht="12.95" customHeight="1">
      <c r="B23" s="10"/>
      <c r="C23" s="11"/>
      <c r="D23" s="11"/>
      <c r="E23" s="636">
        <v>613700</v>
      </c>
      <c r="F23" s="662"/>
      <c r="G23" s="11" t="s">
        <v>87</v>
      </c>
      <c r="H23" s="88">
        <v>12000</v>
      </c>
      <c r="I23" s="909">
        <v>11100</v>
      </c>
      <c r="J23" s="540">
        <v>7041</v>
      </c>
      <c r="K23" s="984">
        <v>11100</v>
      </c>
      <c r="L23" s="984">
        <v>0</v>
      </c>
      <c r="M23" s="1062">
        <f t="shared" si="2"/>
        <v>11100</v>
      </c>
      <c r="N23" s="677">
        <f t="shared" si="1"/>
        <v>100</v>
      </c>
    </row>
    <row r="24" spans="1:14" ht="12.95" customHeight="1">
      <c r="B24" s="10"/>
      <c r="C24" s="11"/>
      <c r="D24" s="11"/>
      <c r="E24" s="636">
        <v>613800</v>
      </c>
      <c r="F24" s="662"/>
      <c r="G24" s="11" t="s">
        <v>166</v>
      </c>
      <c r="H24" s="88">
        <v>2100</v>
      </c>
      <c r="I24" s="909">
        <v>1050</v>
      </c>
      <c r="J24" s="540">
        <v>1050</v>
      </c>
      <c r="K24" s="984">
        <v>1050</v>
      </c>
      <c r="L24" s="984">
        <v>0</v>
      </c>
      <c r="M24" s="1062">
        <f t="shared" si="2"/>
        <v>1050</v>
      </c>
      <c r="N24" s="677">
        <f t="shared" si="1"/>
        <v>100</v>
      </c>
    </row>
    <row r="25" spans="1:14" ht="12.95" customHeight="1">
      <c r="B25" s="10"/>
      <c r="C25" s="11"/>
      <c r="D25" s="11"/>
      <c r="E25" s="636">
        <v>613900</v>
      </c>
      <c r="F25" s="662"/>
      <c r="G25" s="11" t="s">
        <v>167</v>
      </c>
      <c r="H25" s="88">
        <v>9000</v>
      </c>
      <c r="I25" s="909">
        <v>16600</v>
      </c>
      <c r="J25" s="540">
        <v>13752</v>
      </c>
      <c r="K25" s="984">
        <v>10000</v>
      </c>
      <c r="L25" s="984">
        <v>0</v>
      </c>
      <c r="M25" s="1062">
        <f t="shared" si="2"/>
        <v>10000</v>
      </c>
      <c r="N25" s="677">
        <f t="shared" si="1"/>
        <v>60.24096385542169</v>
      </c>
    </row>
    <row r="26" spans="1:14" ht="12.95" customHeight="1">
      <c r="B26" s="10"/>
      <c r="C26" s="11"/>
      <c r="D26" s="11"/>
      <c r="E26" s="636">
        <v>613900</v>
      </c>
      <c r="F26" s="662"/>
      <c r="G26" s="229" t="s">
        <v>548</v>
      </c>
      <c r="H26" s="113">
        <v>0</v>
      </c>
      <c r="I26" s="911">
        <v>0</v>
      </c>
      <c r="J26" s="542">
        <v>0</v>
      </c>
      <c r="K26" s="911">
        <v>0</v>
      </c>
      <c r="L26" s="911">
        <v>0</v>
      </c>
      <c r="M26" s="1062">
        <f t="shared" si="2"/>
        <v>0</v>
      </c>
      <c r="N26" s="677" t="str">
        <f t="shared" si="1"/>
        <v/>
      </c>
    </row>
    <row r="27" spans="1:14" s="1" customFormat="1" ht="12.95" customHeight="1">
      <c r="A27" s="608"/>
      <c r="B27" s="12"/>
      <c r="C27" s="8"/>
      <c r="D27" s="8"/>
      <c r="E27" s="635"/>
      <c r="F27" s="661"/>
      <c r="G27" s="8"/>
      <c r="H27" s="88"/>
      <c r="I27" s="909"/>
      <c r="J27" s="540"/>
      <c r="K27" s="623"/>
      <c r="L27" s="623"/>
      <c r="M27" s="1063"/>
      <c r="N27" s="677" t="str">
        <f t="shared" si="1"/>
        <v/>
      </c>
    </row>
    <row r="28" spans="1:14" s="1" customFormat="1" ht="12.95" customHeight="1">
      <c r="A28" s="608"/>
      <c r="B28" s="12"/>
      <c r="C28" s="8"/>
      <c r="D28" s="8"/>
      <c r="E28" s="635">
        <v>821000</v>
      </c>
      <c r="F28" s="661"/>
      <c r="G28" s="8" t="s">
        <v>90</v>
      </c>
      <c r="H28" s="79">
        <f>SUM(H29:H30)</f>
        <v>30000</v>
      </c>
      <c r="I28" s="908">
        <v>29580</v>
      </c>
      <c r="J28" s="539">
        <v>24570</v>
      </c>
      <c r="K28" s="622">
        <f>SUM(K29:K30)</f>
        <v>16000</v>
      </c>
      <c r="L28" s="622">
        <f>SUM(L29:L30)</f>
        <v>0</v>
      </c>
      <c r="M28" s="1064">
        <f>SUM(M29:M30)</f>
        <v>16000</v>
      </c>
      <c r="N28" s="676">
        <f t="shared" si="1"/>
        <v>54.090601757944555</v>
      </c>
    </row>
    <row r="29" spans="1:14" ht="12.95" customHeight="1">
      <c r="B29" s="10"/>
      <c r="C29" s="11"/>
      <c r="D29" s="11"/>
      <c r="E29" s="636">
        <v>821200</v>
      </c>
      <c r="F29" s="662"/>
      <c r="G29" s="11" t="s">
        <v>91</v>
      </c>
      <c r="H29" s="88">
        <v>25000</v>
      </c>
      <c r="I29" s="909">
        <v>24580</v>
      </c>
      <c r="J29" s="540">
        <v>24570</v>
      </c>
      <c r="K29" s="623">
        <v>11000</v>
      </c>
      <c r="L29" s="623">
        <v>0</v>
      </c>
      <c r="M29" s="1062">
        <f t="shared" ref="M29:M30" si="3">SUM(K29:L29)</f>
        <v>11000</v>
      </c>
      <c r="N29" s="677">
        <f t="shared" si="1"/>
        <v>44.751830756712771</v>
      </c>
    </row>
    <row r="30" spans="1:14" ht="12.95" customHeight="1">
      <c r="B30" s="10"/>
      <c r="C30" s="11"/>
      <c r="D30" s="11"/>
      <c r="E30" s="636">
        <v>821300</v>
      </c>
      <c r="F30" s="662"/>
      <c r="G30" s="11" t="s">
        <v>92</v>
      </c>
      <c r="H30" s="88">
        <v>5000</v>
      </c>
      <c r="I30" s="909">
        <v>5000</v>
      </c>
      <c r="J30" s="540">
        <v>0</v>
      </c>
      <c r="K30" s="623">
        <v>5000</v>
      </c>
      <c r="L30" s="623">
        <v>0</v>
      </c>
      <c r="M30" s="1062">
        <f t="shared" si="3"/>
        <v>5000</v>
      </c>
      <c r="N30" s="677">
        <f t="shared" si="1"/>
        <v>100</v>
      </c>
    </row>
    <row r="31" spans="1:14" ht="12.95" customHeight="1">
      <c r="B31" s="10"/>
      <c r="C31" s="11"/>
      <c r="D31" s="11"/>
      <c r="E31" s="636"/>
      <c r="F31" s="662"/>
      <c r="G31" s="11"/>
      <c r="H31" s="31"/>
      <c r="I31" s="906"/>
      <c r="J31" s="537"/>
      <c r="K31" s="618"/>
      <c r="L31" s="618"/>
      <c r="M31" s="1063"/>
      <c r="N31" s="677" t="str">
        <f t="shared" si="1"/>
        <v/>
      </c>
    </row>
    <row r="32" spans="1:14" s="1" customFormat="1" ht="12.95" customHeight="1">
      <c r="A32" s="608"/>
      <c r="B32" s="12"/>
      <c r="C32" s="8"/>
      <c r="D32" s="8"/>
      <c r="E32" s="635"/>
      <c r="F32" s="661"/>
      <c r="G32" s="8" t="s">
        <v>93</v>
      </c>
      <c r="H32" s="92" t="s">
        <v>628</v>
      </c>
      <c r="I32" s="910" t="s">
        <v>687</v>
      </c>
      <c r="J32" s="541" t="s">
        <v>687</v>
      </c>
      <c r="K32" s="624" t="s">
        <v>687</v>
      </c>
      <c r="L32" s="624"/>
      <c r="M32" s="1066" t="s">
        <v>687</v>
      </c>
      <c r="N32" s="677"/>
    </row>
    <row r="33" spans="1:14" s="1" customFormat="1" ht="12.95" customHeight="1">
      <c r="A33" s="608"/>
      <c r="B33" s="12"/>
      <c r="C33" s="8"/>
      <c r="D33" s="8"/>
      <c r="E33" s="635"/>
      <c r="F33" s="661"/>
      <c r="G33" s="8" t="s">
        <v>113</v>
      </c>
      <c r="H33" s="15">
        <f>H8+H13+H16+H28</f>
        <v>1070780</v>
      </c>
      <c r="I33" s="15">
        <f>I8+I13+I16+I28</f>
        <v>1089420</v>
      </c>
      <c r="J33" s="15">
        <f t="shared" ref="J33" si="4">J8+J13+J16+J28</f>
        <v>754419</v>
      </c>
      <c r="K33" s="615">
        <f>K8+K13+K16+K28</f>
        <v>1180080</v>
      </c>
      <c r="L33" s="615">
        <f>L8+L13+L16+L28</f>
        <v>0</v>
      </c>
      <c r="M33" s="1064">
        <f>M8+M13+M16+M28</f>
        <v>1180080</v>
      </c>
      <c r="N33" s="676">
        <f t="shared" si="1"/>
        <v>108.32185933799636</v>
      </c>
    </row>
    <row r="34" spans="1:14" s="1" customFormat="1" ht="12.95" customHeight="1">
      <c r="A34" s="608"/>
      <c r="B34" s="12"/>
      <c r="C34" s="8"/>
      <c r="D34" s="8"/>
      <c r="E34" s="635"/>
      <c r="F34" s="661"/>
      <c r="G34" s="8" t="s">
        <v>94</v>
      </c>
      <c r="H34" s="15"/>
      <c r="I34" s="15"/>
      <c r="J34" s="15"/>
      <c r="K34" s="615"/>
      <c r="L34" s="615"/>
      <c r="M34" s="1064"/>
      <c r="N34" s="677" t="str">
        <f>IF(I34=0,"",M34/I34*100)</f>
        <v/>
      </c>
    </row>
    <row r="35" spans="1:14" s="1" customFormat="1" ht="12.95" customHeight="1">
      <c r="A35" s="608"/>
      <c r="B35" s="12"/>
      <c r="C35" s="8"/>
      <c r="D35" s="8"/>
      <c r="E35" s="635"/>
      <c r="F35" s="661"/>
      <c r="G35" s="8" t="s">
        <v>95</v>
      </c>
      <c r="H35" s="30"/>
      <c r="I35" s="30"/>
      <c r="J35" s="30"/>
      <c r="K35" s="593"/>
      <c r="L35" s="593"/>
      <c r="M35" s="1063"/>
      <c r="N35" s="677" t="str">
        <f t="shared" si="1"/>
        <v/>
      </c>
    </row>
    <row r="36" spans="1:14" ht="12.95" customHeight="1" thickBot="1">
      <c r="B36" s="16"/>
      <c r="C36" s="17"/>
      <c r="D36" s="17"/>
      <c r="E36" s="637"/>
      <c r="F36" s="663"/>
      <c r="G36" s="17"/>
      <c r="H36" s="32"/>
      <c r="I36" s="32"/>
      <c r="J36" s="32"/>
      <c r="K36" s="32"/>
      <c r="L36" s="32"/>
      <c r="M36" s="1067"/>
      <c r="N36" s="679"/>
    </row>
    <row r="37" spans="1:14" ht="12.95" customHeight="1">
      <c r="E37" s="638"/>
      <c r="F37" s="664"/>
      <c r="M37" s="1070"/>
    </row>
    <row r="38" spans="1:14" ht="12.95" customHeight="1">
      <c r="B38" s="56"/>
      <c r="E38" s="638"/>
      <c r="F38" s="664"/>
      <c r="M38" s="1070"/>
    </row>
    <row r="39" spans="1:14" ht="12.95" customHeight="1">
      <c r="B39" s="56"/>
      <c r="E39" s="638"/>
      <c r="F39" s="664"/>
      <c r="M39" s="1070"/>
    </row>
    <row r="40" spans="1:14" ht="12.95" customHeight="1">
      <c r="B40" s="56"/>
      <c r="E40" s="638"/>
      <c r="F40" s="664"/>
      <c r="M40" s="1070"/>
    </row>
    <row r="41" spans="1:14" ht="12.95" customHeight="1">
      <c r="B41" s="56"/>
      <c r="E41" s="638"/>
      <c r="F41" s="664"/>
      <c r="M41" s="1070"/>
    </row>
    <row r="42" spans="1:14" ht="12.95" customHeight="1">
      <c r="B42" s="56"/>
      <c r="E42" s="638"/>
      <c r="F42" s="664"/>
      <c r="M42" s="1070"/>
    </row>
    <row r="43" spans="1:14" ht="12.95" customHeight="1">
      <c r="B43" s="56"/>
      <c r="E43" s="638"/>
      <c r="F43" s="664"/>
      <c r="M43" s="1070"/>
    </row>
    <row r="44" spans="1:14" ht="12.95" customHeight="1">
      <c r="B44" s="56"/>
      <c r="E44" s="638"/>
      <c r="F44" s="664"/>
      <c r="M44" s="1070"/>
    </row>
    <row r="45" spans="1:14" ht="12.95" customHeight="1">
      <c r="E45" s="638"/>
      <c r="F45" s="664"/>
      <c r="M45" s="1070"/>
    </row>
    <row r="46" spans="1:14" ht="12.95" customHeight="1">
      <c r="E46" s="638"/>
      <c r="F46" s="664"/>
      <c r="M46" s="1070"/>
    </row>
    <row r="47" spans="1:14" ht="12.95" customHeight="1">
      <c r="E47" s="638"/>
      <c r="F47" s="664"/>
      <c r="M47" s="1070"/>
    </row>
    <row r="48" spans="1:14" ht="12.95" customHeight="1">
      <c r="E48" s="638"/>
      <c r="F48" s="664"/>
      <c r="M48" s="1070"/>
    </row>
    <row r="49" spans="5:13" ht="12.95" customHeight="1">
      <c r="E49" s="638"/>
      <c r="F49" s="664"/>
      <c r="M49" s="1070"/>
    </row>
    <row r="50" spans="5:13" ht="12.95" customHeight="1">
      <c r="E50" s="638"/>
      <c r="F50" s="664"/>
      <c r="M50" s="1070"/>
    </row>
    <row r="51" spans="5:13" ht="12.95" customHeight="1">
      <c r="E51" s="638"/>
      <c r="F51" s="664"/>
      <c r="M51" s="1070"/>
    </row>
    <row r="52" spans="5:13" ht="12.95" customHeight="1">
      <c r="E52" s="638"/>
      <c r="F52" s="664"/>
      <c r="M52" s="1070"/>
    </row>
    <row r="53" spans="5:13" ht="12.95" customHeight="1">
      <c r="E53" s="638"/>
      <c r="F53" s="664"/>
      <c r="M53" s="1070"/>
    </row>
    <row r="54" spans="5:13" ht="12.95" customHeight="1">
      <c r="E54" s="638"/>
      <c r="F54" s="664"/>
      <c r="M54" s="1070"/>
    </row>
    <row r="55" spans="5:13" ht="12.95" customHeight="1">
      <c r="E55" s="638"/>
      <c r="F55" s="664"/>
      <c r="M55" s="1070"/>
    </row>
    <row r="56" spans="5:13" ht="12.95" customHeight="1">
      <c r="E56" s="638"/>
      <c r="F56" s="664"/>
      <c r="M56" s="1070"/>
    </row>
    <row r="57" spans="5:13" ht="12.95" customHeight="1">
      <c r="E57" s="638"/>
      <c r="F57" s="664"/>
      <c r="M57" s="1070"/>
    </row>
    <row r="58" spans="5:13" ht="12.95" customHeight="1">
      <c r="E58" s="638"/>
      <c r="F58" s="664"/>
      <c r="M58" s="1070"/>
    </row>
    <row r="59" spans="5:13" ht="12.95" customHeight="1">
      <c r="E59" s="638"/>
      <c r="F59" s="664"/>
      <c r="M59" s="1070"/>
    </row>
    <row r="60" spans="5:13" ht="17.100000000000001" customHeight="1">
      <c r="E60" s="638"/>
      <c r="F60" s="664"/>
      <c r="M60" s="1070"/>
    </row>
    <row r="61" spans="5:13" ht="14.25">
      <c r="E61" s="638"/>
      <c r="F61" s="664"/>
      <c r="M61" s="1070"/>
    </row>
    <row r="62" spans="5:13" ht="14.25">
      <c r="E62" s="638"/>
      <c r="F62" s="664"/>
      <c r="M62" s="1070"/>
    </row>
    <row r="63" spans="5:13" ht="14.25">
      <c r="E63" s="638"/>
      <c r="F63" s="664"/>
      <c r="M63" s="1070"/>
    </row>
    <row r="64" spans="5:13" ht="14.25">
      <c r="E64" s="638"/>
      <c r="F64" s="664"/>
      <c r="M64" s="1070"/>
    </row>
    <row r="65" spans="5:13" ht="14.25">
      <c r="E65" s="638"/>
      <c r="F65" s="664"/>
      <c r="M65" s="1070"/>
    </row>
    <row r="66" spans="5:13" ht="14.25">
      <c r="E66" s="638"/>
      <c r="F66" s="664"/>
      <c r="M66" s="1070"/>
    </row>
    <row r="67" spans="5:13" ht="14.25">
      <c r="E67" s="638"/>
      <c r="F67" s="664"/>
      <c r="M67" s="1070"/>
    </row>
    <row r="68" spans="5:13" ht="14.25">
      <c r="E68" s="638"/>
      <c r="F68" s="664"/>
      <c r="M68" s="1070"/>
    </row>
    <row r="69" spans="5:13" ht="14.25">
      <c r="E69" s="638"/>
      <c r="F69" s="664"/>
      <c r="M69" s="1070"/>
    </row>
    <row r="70" spans="5:13" ht="14.25">
      <c r="E70" s="638"/>
      <c r="F70" s="664"/>
      <c r="M70" s="1070"/>
    </row>
    <row r="71" spans="5:13" ht="14.25">
      <c r="E71" s="638"/>
      <c r="F71" s="664"/>
      <c r="M71" s="1070"/>
    </row>
    <row r="72" spans="5:13" ht="14.25">
      <c r="E72" s="638"/>
      <c r="F72" s="664"/>
      <c r="M72" s="1070"/>
    </row>
    <row r="73" spans="5:13" ht="14.25">
      <c r="E73" s="638"/>
      <c r="F73" s="664"/>
      <c r="M73" s="1070"/>
    </row>
    <row r="74" spans="5:13" ht="14.25">
      <c r="E74" s="638"/>
      <c r="F74" s="638"/>
      <c r="M74" s="1070"/>
    </row>
    <row r="75" spans="5:13" ht="14.25">
      <c r="E75" s="638"/>
      <c r="F75" s="638"/>
      <c r="M75" s="1070"/>
    </row>
    <row r="76" spans="5:13" ht="14.25">
      <c r="E76" s="638"/>
      <c r="F76" s="638"/>
      <c r="M76" s="1070"/>
    </row>
    <row r="77" spans="5:13" ht="14.25">
      <c r="E77" s="638"/>
      <c r="F77" s="638"/>
      <c r="M77" s="1070"/>
    </row>
    <row r="78" spans="5:13" ht="14.25">
      <c r="E78" s="638"/>
      <c r="F78" s="638"/>
      <c r="M78" s="1070"/>
    </row>
    <row r="79" spans="5:13" ht="14.25">
      <c r="E79" s="638"/>
      <c r="F79" s="638"/>
      <c r="M79" s="1070"/>
    </row>
    <row r="80" spans="5:13" ht="14.25">
      <c r="E80" s="638"/>
      <c r="F80" s="638"/>
      <c r="M80" s="1070"/>
    </row>
    <row r="81" spans="5:13" ht="14.25">
      <c r="E81" s="638"/>
      <c r="F81" s="638"/>
      <c r="M81" s="1070"/>
    </row>
    <row r="82" spans="5:13" ht="14.25">
      <c r="E82" s="638"/>
      <c r="F82" s="638"/>
      <c r="M82" s="1070"/>
    </row>
    <row r="83" spans="5:13" ht="14.25">
      <c r="E83" s="638"/>
      <c r="F83" s="638"/>
      <c r="M83" s="1070"/>
    </row>
    <row r="84" spans="5:13" ht="14.25">
      <c r="E84" s="638"/>
      <c r="F84" s="638"/>
      <c r="M84" s="1070"/>
    </row>
    <row r="85" spans="5:13" ht="14.25">
      <c r="E85" s="638"/>
      <c r="F85" s="638"/>
      <c r="M85" s="1070"/>
    </row>
    <row r="86" spans="5:13" ht="14.25">
      <c r="E86" s="638"/>
      <c r="F86" s="638"/>
      <c r="M86" s="1070"/>
    </row>
    <row r="87" spans="5:13" ht="14.25">
      <c r="E87" s="638"/>
      <c r="F87" s="638"/>
      <c r="M87" s="1070"/>
    </row>
    <row r="88" spans="5:13" ht="14.25">
      <c r="E88" s="638"/>
      <c r="F88" s="638"/>
      <c r="M88" s="1070"/>
    </row>
    <row r="89" spans="5:13" ht="14.25">
      <c r="E89" s="638"/>
      <c r="F89" s="638"/>
      <c r="M89" s="1070"/>
    </row>
    <row r="90" spans="5:13" ht="14.25">
      <c r="E90" s="638"/>
      <c r="F90" s="638"/>
      <c r="M90" s="1070"/>
    </row>
    <row r="91" spans="5:13">
      <c r="F91" s="638"/>
    </row>
    <row r="92" spans="5:13">
      <c r="F92" s="638"/>
    </row>
    <row r="93" spans="5:13">
      <c r="F93" s="638"/>
    </row>
    <row r="94" spans="5:13">
      <c r="F94" s="638"/>
    </row>
    <row r="95" spans="5:13">
      <c r="F95" s="638"/>
    </row>
    <row r="96" spans="5:13">
      <c r="F96" s="638"/>
    </row>
  </sheetData>
  <mergeCells count="13">
    <mergeCell ref="B2:N2"/>
    <mergeCell ref="N4:N5"/>
    <mergeCell ref="G4:G5"/>
    <mergeCell ref="G3:H3"/>
    <mergeCell ref="K4:M4"/>
    <mergeCell ref="B4:B5"/>
    <mergeCell ref="C4:C5"/>
    <mergeCell ref="D4:D5"/>
    <mergeCell ref="F4:F5"/>
    <mergeCell ref="E4:E5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1"/>
  <dimension ref="A1:P96"/>
  <sheetViews>
    <sheetView zoomScaleNormal="100" workbookViewId="0">
      <selection activeCell="Q14" sqref="Q14"/>
    </sheetView>
  </sheetViews>
  <sheetFormatPr defaultRowHeight="12.75"/>
  <cols>
    <col min="1" max="1" width="9.140625" style="611"/>
    <col min="2" max="2" width="4.7109375" style="9" customWidth="1"/>
    <col min="3" max="3" width="5.140625" style="9" customWidth="1"/>
    <col min="4" max="4" width="5" style="9" customWidth="1"/>
    <col min="5" max="5" width="8.7109375" style="18" customWidth="1"/>
    <col min="6" max="6" width="8.7109375" style="616" customWidth="1"/>
    <col min="7" max="7" width="50.7109375" style="9" customWidth="1"/>
    <col min="8" max="12" width="14.7109375" style="64" customWidth="1"/>
    <col min="13" max="13" width="15.7109375" style="64" customWidth="1"/>
    <col min="14" max="14" width="7.7109375" style="680" customWidth="1"/>
    <col min="15" max="16384" width="9.140625" style="9"/>
  </cols>
  <sheetData>
    <row r="1" spans="1:16" ht="13.5" thickBot="1"/>
    <row r="2" spans="1:16" s="126" customFormat="1" ht="20.100000000000001" customHeight="1" thickTop="1" thickBot="1">
      <c r="A2" s="1052"/>
      <c r="B2" s="1261" t="s">
        <v>173</v>
      </c>
      <c r="C2" s="1262"/>
      <c r="D2" s="1262"/>
      <c r="E2" s="1262"/>
      <c r="F2" s="1262"/>
      <c r="G2" s="1262"/>
      <c r="H2" s="1262"/>
      <c r="I2" s="1053"/>
      <c r="J2" s="1053"/>
      <c r="K2" s="1054"/>
      <c r="L2" s="1054"/>
      <c r="M2" s="1054"/>
      <c r="N2" s="1057"/>
    </row>
    <row r="3" spans="1:16" s="1" customFormat="1" ht="8.1" customHeight="1" thickTop="1" thickBot="1">
      <c r="A3" s="608"/>
      <c r="E3" s="2"/>
      <c r="F3" s="609"/>
      <c r="G3" s="1264"/>
      <c r="H3" s="1264"/>
      <c r="I3" s="306"/>
      <c r="J3" s="306"/>
      <c r="K3" s="119"/>
      <c r="L3" s="119"/>
      <c r="M3" s="119"/>
      <c r="N3" s="674"/>
    </row>
    <row r="4" spans="1:16" s="1" customFormat="1" ht="39" customHeight="1">
      <c r="A4" s="608"/>
      <c r="B4" s="1268" t="s">
        <v>78</v>
      </c>
      <c r="C4" s="1280" t="s">
        <v>79</v>
      </c>
      <c r="D4" s="1281" t="s">
        <v>110</v>
      </c>
      <c r="E4" s="1282" t="s">
        <v>615</v>
      </c>
      <c r="F4" s="1273" t="s">
        <v>695</v>
      </c>
      <c r="G4" s="1274" t="s">
        <v>80</v>
      </c>
      <c r="H4" s="1283" t="s">
        <v>614</v>
      </c>
      <c r="I4" s="1284" t="s">
        <v>747</v>
      </c>
      <c r="J4" s="1283" t="s">
        <v>667</v>
      </c>
      <c r="K4" s="1265" t="s">
        <v>682</v>
      </c>
      <c r="L4" s="1266"/>
      <c r="M4" s="1267"/>
      <c r="N4" s="1278" t="s">
        <v>756</v>
      </c>
    </row>
    <row r="5" spans="1:16" s="608" customFormat="1" ht="27" customHeight="1">
      <c r="B5" s="1269"/>
      <c r="C5" s="1271"/>
      <c r="D5" s="1271"/>
      <c r="E5" s="1275"/>
      <c r="F5" s="1271"/>
      <c r="G5" s="1275"/>
      <c r="H5" s="1275"/>
      <c r="I5" s="1275"/>
      <c r="J5" s="1275"/>
      <c r="K5" s="1048" t="s">
        <v>753</v>
      </c>
      <c r="L5" s="1048" t="s">
        <v>754</v>
      </c>
      <c r="M5" s="1059" t="s">
        <v>426</v>
      </c>
      <c r="N5" s="1279"/>
    </row>
    <row r="6" spans="1:16" s="2" customFormat="1" ht="12.95" customHeight="1">
      <c r="A6" s="609"/>
      <c r="B6" s="1181">
        <v>1</v>
      </c>
      <c r="C6" s="661">
        <v>2</v>
      </c>
      <c r="D6" s="661">
        <v>3</v>
      </c>
      <c r="E6" s="661">
        <v>4</v>
      </c>
      <c r="F6" s="661">
        <v>5</v>
      </c>
      <c r="G6" s="661">
        <v>6</v>
      </c>
      <c r="H6" s="661">
        <v>7</v>
      </c>
      <c r="I6" s="661">
        <v>8</v>
      </c>
      <c r="J6" s="661">
        <v>9</v>
      </c>
      <c r="K6" s="661">
        <v>10</v>
      </c>
      <c r="L6" s="661">
        <v>11</v>
      </c>
      <c r="M6" s="1201" t="s">
        <v>755</v>
      </c>
      <c r="N6" s="1183">
        <v>13</v>
      </c>
    </row>
    <row r="7" spans="1:16" s="2" customFormat="1" ht="12.95" customHeight="1">
      <c r="A7" s="609"/>
      <c r="B7" s="6" t="s">
        <v>143</v>
      </c>
      <c r="C7" s="7" t="s">
        <v>145</v>
      </c>
      <c r="D7" s="7" t="s">
        <v>147</v>
      </c>
      <c r="E7" s="5"/>
      <c r="F7" s="610"/>
      <c r="G7" s="5"/>
      <c r="H7" s="110"/>
      <c r="I7" s="110"/>
      <c r="J7" s="110"/>
      <c r="K7" s="110"/>
      <c r="L7" s="110"/>
      <c r="M7" s="1069"/>
      <c r="N7" s="675"/>
    </row>
    <row r="8" spans="1:16" s="1" customFormat="1" ht="12.95" customHeight="1">
      <c r="A8" s="608"/>
      <c r="B8" s="12"/>
      <c r="C8" s="8"/>
      <c r="D8" s="8"/>
      <c r="E8" s="635">
        <v>611000</v>
      </c>
      <c r="F8" s="661"/>
      <c r="G8" s="8" t="s">
        <v>163</v>
      </c>
      <c r="H8" s="256">
        <f>SUM(H9:H11)</f>
        <v>447110</v>
      </c>
      <c r="I8" s="922">
        <v>410600</v>
      </c>
      <c r="J8" s="553">
        <v>301366</v>
      </c>
      <c r="K8" s="256">
        <f>SUM(K9:K11)</f>
        <v>390200</v>
      </c>
      <c r="L8" s="256">
        <f>SUM(L9:L11)</f>
        <v>0</v>
      </c>
      <c r="M8" s="1061">
        <f>SUM(M9:M11)</f>
        <v>390200</v>
      </c>
      <c r="N8" s="676">
        <f>IF(I8=0,"",M8/I8*100)</f>
        <v>95.03166098392596</v>
      </c>
    </row>
    <row r="9" spans="1:16" ht="12.95" customHeight="1">
      <c r="B9" s="10"/>
      <c r="C9" s="11"/>
      <c r="D9" s="11"/>
      <c r="E9" s="636">
        <v>611100</v>
      </c>
      <c r="F9" s="662"/>
      <c r="G9" s="20" t="s">
        <v>204</v>
      </c>
      <c r="H9" s="258">
        <f>340340+500+7000+10210</f>
        <v>358050</v>
      </c>
      <c r="I9" s="923">
        <v>331600</v>
      </c>
      <c r="J9" s="554">
        <v>248182</v>
      </c>
      <c r="K9" s="258">
        <f>314100+1300+500</f>
        <v>315900</v>
      </c>
      <c r="L9" s="258">
        <v>0</v>
      </c>
      <c r="M9" s="1062">
        <f>SUM(K9:L9)</f>
        <v>315900</v>
      </c>
      <c r="N9" s="677">
        <f>IF(I9=0,"",M9/I9*100)</f>
        <v>95.265379975874538</v>
      </c>
    </row>
    <row r="10" spans="1:16" ht="12.95" customHeight="1">
      <c r="B10" s="10"/>
      <c r="C10" s="11"/>
      <c r="D10" s="11"/>
      <c r="E10" s="636">
        <v>611200</v>
      </c>
      <c r="F10" s="662"/>
      <c r="G10" s="11" t="s">
        <v>205</v>
      </c>
      <c r="H10" s="258">
        <f>86820+0+840+1400</f>
        <v>89060</v>
      </c>
      <c r="I10" s="923">
        <v>79000</v>
      </c>
      <c r="J10" s="554">
        <v>53184</v>
      </c>
      <c r="K10" s="258">
        <f>72000+1400+900</f>
        <v>74300</v>
      </c>
      <c r="L10" s="258">
        <v>0</v>
      </c>
      <c r="M10" s="1062">
        <f t="shared" ref="M10:M11" si="0">SUM(K10:L10)</f>
        <v>74300</v>
      </c>
      <c r="N10" s="677">
        <f t="shared" ref="N10:N35" si="1">IF(I10=0,"",M10/I10*100)</f>
        <v>94.050632911392412</v>
      </c>
    </row>
    <row r="11" spans="1:16" ht="12.95" customHeight="1">
      <c r="B11" s="10"/>
      <c r="C11" s="11"/>
      <c r="D11" s="11"/>
      <c r="E11" s="636">
        <v>611200</v>
      </c>
      <c r="F11" s="662"/>
      <c r="G11" s="229" t="s">
        <v>547</v>
      </c>
      <c r="H11" s="255">
        <v>0</v>
      </c>
      <c r="I11" s="921">
        <v>0</v>
      </c>
      <c r="J11" s="552">
        <v>0</v>
      </c>
      <c r="K11" s="255">
        <v>0</v>
      </c>
      <c r="L11" s="255">
        <v>0</v>
      </c>
      <c r="M11" s="1062">
        <f t="shared" si="0"/>
        <v>0</v>
      </c>
      <c r="N11" s="677" t="str">
        <f t="shared" si="1"/>
        <v/>
      </c>
      <c r="P11" s="63"/>
    </row>
    <row r="12" spans="1:16" ht="12.95" customHeight="1">
      <c r="B12" s="10"/>
      <c r="C12" s="11"/>
      <c r="D12" s="11"/>
      <c r="E12" s="636"/>
      <c r="F12" s="662"/>
      <c r="G12" s="11"/>
      <c r="H12" s="256"/>
      <c r="I12" s="922"/>
      <c r="J12" s="553"/>
      <c r="K12" s="256"/>
      <c r="L12" s="256"/>
      <c r="M12" s="1061"/>
      <c r="N12" s="677" t="str">
        <f t="shared" si="1"/>
        <v/>
      </c>
    </row>
    <row r="13" spans="1:16" s="1" customFormat="1" ht="12.95" customHeight="1">
      <c r="A13" s="608"/>
      <c r="B13" s="12"/>
      <c r="C13" s="8"/>
      <c r="D13" s="8"/>
      <c r="E13" s="635">
        <v>612000</v>
      </c>
      <c r="F13" s="661"/>
      <c r="G13" s="8" t="s">
        <v>162</v>
      </c>
      <c r="H13" s="256">
        <f>H14</f>
        <v>38370</v>
      </c>
      <c r="I13" s="922">
        <v>37100</v>
      </c>
      <c r="J13" s="553">
        <v>28138</v>
      </c>
      <c r="K13" s="256">
        <f>K14</f>
        <v>35840</v>
      </c>
      <c r="L13" s="256">
        <f>L14</f>
        <v>0</v>
      </c>
      <c r="M13" s="1061">
        <f>M14</f>
        <v>35840</v>
      </c>
      <c r="N13" s="676">
        <f t="shared" si="1"/>
        <v>96.603773584905667</v>
      </c>
    </row>
    <row r="14" spans="1:16" ht="12.95" customHeight="1">
      <c r="B14" s="10"/>
      <c r="C14" s="11"/>
      <c r="D14" s="11"/>
      <c r="E14" s="636">
        <v>612100</v>
      </c>
      <c r="F14" s="662"/>
      <c r="G14" s="13" t="s">
        <v>83</v>
      </c>
      <c r="H14" s="258">
        <f>36400+100+770+1100</f>
        <v>38370</v>
      </c>
      <c r="I14" s="923">
        <v>37100</v>
      </c>
      <c r="J14" s="554">
        <v>28138</v>
      </c>
      <c r="K14" s="258">
        <f>35600+170+70</f>
        <v>35840</v>
      </c>
      <c r="L14" s="258">
        <v>0</v>
      </c>
      <c r="M14" s="1062">
        <f>SUM(K14:L14)</f>
        <v>35840</v>
      </c>
      <c r="N14" s="677">
        <f t="shared" si="1"/>
        <v>96.603773584905667</v>
      </c>
    </row>
    <row r="15" spans="1:16" ht="12.95" customHeight="1">
      <c r="B15" s="10"/>
      <c r="C15" s="11"/>
      <c r="D15" s="11"/>
      <c r="E15" s="636"/>
      <c r="F15" s="662"/>
      <c r="G15" s="11"/>
      <c r="H15" s="15"/>
      <c r="I15" s="915"/>
      <c r="J15" s="546"/>
      <c r="K15" s="615"/>
      <c r="L15" s="615"/>
      <c r="M15" s="1064"/>
      <c r="N15" s="677" t="str">
        <f t="shared" si="1"/>
        <v/>
      </c>
    </row>
    <row r="16" spans="1:16" s="1" customFormat="1" ht="12.95" customHeight="1">
      <c r="A16" s="608"/>
      <c r="B16" s="12"/>
      <c r="C16" s="8"/>
      <c r="D16" s="8"/>
      <c r="E16" s="635">
        <v>613000</v>
      </c>
      <c r="F16" s="661"/>
      <c r="G16" s="8" t="s">
        <v>164</v>
      </c>
      <c r="H16" s="35">
        <f>SUM(H17:H26)</f>
        <v>49400</v>
      </c>
      <c r="I16" s="918">
        <v>46300</v>
      </c>
      <c r="J16" s="549">
        <v>27777</v>
      </c>
      <c r="K16" s="620">
        <f>SUM(K17:K26)</f>
        <v>47300</v>
      </c>
      <c r="L16" s="620">
        <f>SUM(L17:L26)</f>
        <v>0</v>
      </c>
      <c r="M16" s="1064">
        <f>SUM(M17:M26)</f>
        <v>47300</v>
      </c>
      <c r="N16" s="676">
        <f t="shared" si="1"/>
        <v>102.15982721382288</v>
      </c>
    </row>
    <row r="17" spans="1:14" ht="12.95" customHeight="1">
      <c r="B17" s="10"/>
      <c r="C17" s="11"/>
      <c r="D17" s="11"/>
      <c r="E17" s="636">
        <v>613100</v>
      </c>
      <c r="F17" s="662"/>
      <c r="G17" s="11" t="s">
        <v>84</v>
      </c>
      <c r="H17" s="31">
        <v>4000</v>
      </c>
      <c r="I17" s="917">
        <v>4000</v>
      </c>
      <c r="J17" s="548">
        <v>3152</v>
      </c>
      <c r="K17" s="978">
        <v>4000</v>
      </c>
      <c r="L17" s="978">
        <v>0</v>
      </c>
      <c r="M17" s="1062">
        <f t="shared" ref="M17:M26" si="2">SUM(K17:L17)</f>
        <v>4000</v>
      </c>
      <c r="N17" s="677">
        <f t="shared" si="1"/>
        <v>100</v>
      </c>
    </row>
    <row r="18" spans="1:14" ht="12.95" customHeight="1">
      <c r="B18" s="10"/>
      <c r="C18" s="11"/>
      <c r="D18" s="11"/>
      <c r="E18" s="636">
        <v>613200</v>
      </c>
      <c r="F18" s="662"/>
      <c r="G18" s="11" t="s">
        <v>85</v>
      </c>
      <c r="H18" s="31">
        <v>18000</v>
      </c>
      <c r="I18" s="917">
        <v>16200</v>
      </c>
      <c r="J18" s="548">
        <v>4501</v>
      </c>
      <c r="K18" s="978">
        <v>16200</v>
      </c>
      <c r="L18" s="978">
        <v>0</v>
      </c>
      <c r="M18" s="1062">
        <f t="shared" si="2"/>
        <v>16200</v>
      </c>
      <c r="N18" s="677">
        <f t="shared" si="1"/>
        <v>100</v>
      </c>
    </row>
    <row r="19" spans="1:14" ht="12.95" customHeight="1">
      <c r="B19" s="10"/>
      <c r="C19" s="11"/>
      <c r="D19" s="11"/>
      <c r="E19" s="636">
        <v>613300</v>
      </c>
      <c r="F19" s="662"/>
      <c r="G19" s="20" t="s">
        <v>206</v>
      </c>
      <c r="H19" s="31">
        <v>2800</v>
      </c>
      <c r="I19" s="917">
        <v>2500</v>
      </c>
      <c r="J19" s="548">
        <v>1714</v>
      </c>
      <c r="K19" s="978">
        <v>2500</v>
      </c>
      <c r="L19" s="978">
        <v>0</v>
      </c>
      <c r="M19" s="1062">
        <f t="shared" si="2"/>
        <v>2500</v>
      </c>
      <c r="N19" s="677">
        <f t="shared" si="1"/>
        <v>100</v>
      </c>
    </row>
    <row r="20" spans="1:14" ht="12.95" customHeight="1">
      <c r="B20" s="10"/>
      <c r="C20" s="11"/>
      <c r="D20" s="11"/>
      <c r="E20" s="636">
        <v>613400</v>
      </c>
      <c r="F20" s="662"/>
      <c r="G20" s="11" t="s">
        <v>165</v>
      </c>
      <c r="H20" s="31">
        <v>9000</v>
      </c>
      <c r="I20" s="917">
        <v>10500</v>
      </c>
      <c r="J20" s="548">
        <v>9279</v>
      </c>
      <c r="K20" s="978">
        <v>10500</v>
      </c>
      <c r="L20" s="978">
        <v>0</v>
      </c>
      <c r="M20" s="1062">
        <f t="shared" si="2"/>
        <v>10500</v>
      </c>
      <c r="N20" s="677">
        <f t="shared" si="1"/>
        <v>100</v>
      </c>
    </row>
    <row r="21" spans="1:14" ht="12.95" customHeight="1">
      <c r="B21" s="10"/>
      <c r="C21" s="11"/>
      <c r="D21" s="11"/>
      <c r="E21" s="636">
        <v>613500</v>
      </c>
      <c r="F21" s="662"/>
      <c r="G21" s="11" t="s">
        <v>86</v>
      </c>
      <c r="H21" s="31">
        <v>600</v>
      </c>
      <c r="I21" s="917">
        <v>600</v>
      </c>
      <c r="J21" s="548">
        <v>509</v>
      </c>
      <c r="K21" s="978">
        <v>600</v>
      </c>
      <c r="L21" s="978">
        <v>0</v>
      </c>
      <c r="M21" s="1062">
        <f t="shared" si="2"/>
        <v>600</v>
      </c>
      <c r="N21" s="677">
        <f t="shared" si="1"/>
        <v>100</v>
      </c>
    </row>
    <row r="22" spans="1:14" ht="12.95" customHeight="1">
      <c r="B22" s="10"/>
      <c r="C22" s="11"/>
      <c r="D22" s="11"/>
      <c r="E22" s="636">
        <v>613600</v>
      </c>
      <c r="F22" s="662"/>
      <c r="G22" s="20" t="s">
        <v>207</v>
      </c>
      <c r="H22" s="31">
        <v>0</v>
      </c>
      <c r="I22" s="917">
        <v>0</v>
      </c>
      <c r="J22" s="548">
        <v>0</v>
      </c>
      <c r="K22" s="978">
        <v>0</v>
      </c>
      <c r="L22" s="978">
        <v>0</v>
      </c>
      <c r="M22" s="1062">
        <f t="shared" si="2"/>
        <v>0</v>
      </c>
      <c r="N22" s="677" t="str">
        <f t="shared" si="1"/>
        <v/>
      </c>
    </row>
    <row r="23" spans="1:14" ht="12.95" customHeight="1">
      <c r="B23" s="10"/>
      <c r="C23" s="11"/>
      <c r="D23" s="11"/>
      <c r="E23" s="636">
        <v>613700</v>
      </c>
      <c r="F23" s="662"/>
      <c r="G23" s="11" t="s">
        <v>87</v>
      </c>
      <c r="H23" s="31">
        <v>8000</v>
      </c>
      <c r="I23" s="917">
        <v>5500</v>
      </c>
      <c r="J23" s="548">
        <v>3019</v>
      </c>
      <c r="K23" s="978">
        <v>6500</v>
      </c>
      <c r="L23" s="978">
        <v>0</v>
      </c>
      <c r="M23" s="1062">
        <f t="shared" si="2"/>
        <v>6500</v>
      </c>
      <c r="N23" s="677">
        <f t="shared" si="1"/>
        <v>118.18181818181819</v>
      </c>
    </row>
    <row r="24" spans="1:14" ht="12.95" customHeight="1">
      <c r="B24" s="10"/>
      <c r="C24" s="11"/>
      <c r="D24" s="11"/>
      <c r="E24" s="636">
        <v>613800</v>
      </c>
      <c r="F24" s="662"/>
      <c r="G24" s="11" t="s">
        <v>166</v>
      </c>
      <c r="H24" s="88">
        <v>0</v>
      </c>
      <c r="I24" s="920">
        <v>0</v>
      </c>
      <c r="J24" s="551">
        <v>0</v>
      </c>
      <c r="K24" s="984">
        <v>0</v>
      </c>
      <c r="L24" s="984">
        <v>0</v>
      </c>
      <c r="M24" s="1062">
        <f t="shared" si="2"/>
        <v>0</v>
      </c>
      <c r="N24" s="677" t="str">
        <f t="shared" si="1"/>
        <v/>
      </c>
    </row>
    <row r="25" spans="1:14" ht="12.95" customHeight="1">
      <c r="B25" s="10"/>
      <c r="C25" s="11"/>
      <c r="D25" s="11"/>
      <c r="E25" s="636">
        <v>613900</v>
      </c>
      <c r="F25" s="662"/>
      <c r="G25" s="11" t="s">
        <v>167</v>
      </c>
      <c r="H25" s="88">
        <v>7000</v>
      </c>
      <c r="I25" s="920">
        <v>7000</v>
      </c>
      <c r="J25" s="551">
        <v>5603</v>
      </c>
      <c r="K25" s="984">
        <v>7000</v>
      </c>
      <c r="L25" s="984">
        <v>0</v>
      </c>
      <c r="M25" s="1062">
        <f t="shared" si="2"/>
        <v>7000</v>
      </c>
      <c r="N25" s="677">
        <f t="shared" si="1"/>
        <v>100</v>
      </c>
    </row>
    <row r="26" spans="1:14" ht="12.95" customHeight="1">
      <c r="B26" s="10"/>
      <c r="C26" s="11"/>
      <c r="D26" s="11"/>
      <c r="E26" s="636">
        <v>613900</v>
      </c>
      <c r="F26" s="662"/>
      <c r="G26" s="229" t="s">
        <v>548</v>
      </c>
      <c r="H26" s="88">
        <v>0</v>
      </c>
      <c r="I26" s="920">
        <v>0</v>
      </c>
      <c r="J26" s="551">
        <v>0</v>
      </c>
      <c r="K26" s="984">
        <v>0</v>
      </c>
      <c r="L26" s="984">
        <v>0</v>
      </c>
      <c r="M26" s="1062">
        <f t="shared" si="2"/>
        <v>0</v>
      </c>
      <c r="N26" s="677" t="str">
        <f t="shared" si="1"/>
        <v/>
      </c>
    </row>
    <row r="27" spans="1:14" ht="12.95" customHeight="1">
      <c r="B27" s="10"/>
      <c r="C27" s="11"/>
      <c r="D27" s="11"/>
      <c r="E27" s="636"/>
      <c r="F27" s="662"/>
      <c r="G27" s="11"/>
      <c r="H27" s="79"/>
      <c r="I27" s="919"/>
      <c r="J27" s="550"/>
      <c r="K27" s="622"/>
      <c r="L27" s="622"/>
      <c r="M27" s="1064"/>
      <c r="N27" s="677" t="str">
        <f t="shared" si="1"/>
        <v/>
      </c>
    </row>
    <row r="28" spans="1:14" s="1" customFormat="1" ht="12.95" customHeight="1">
      <c r="A28" s="608"/>
      <c r="B28" s="12"/>
      <c r="C28" s="8"/>
      <c r="D28" s="8"/>
      <c r="E28" s="635">
        <v>821000</v>
      </c>
      <c r="F28" s="661"/>
      <c r="G28" s="8" t="s">
        <v>90</v>
      </c>
      <c r="H28" s="79">
        <f>SUM(H29:H30)</f>
        <v>2500</v>
      </c>
      <c r="I28" s="919">
        <v>3100</v>
      </c>
      <c r="J28" s="550">
        <v>2500</v>
      </c>
      <c r="K28" s="622">
        <f>SUM(K29:K30)</f>
        <v>3000</v>
      </c>
      <c r="L28" s="622">
        <f>SUM(L29:L30)</f>
        <v>0</v>
      </c>
      <c r="M28" s="1064">
        <f>SUM(M29:M30)</f>
        <v>3000</v>
      </c>
      <c r="N28" s="676">
        <f t="shared" si="1"/>
        <v>96.774193548387103</v>
      </c>
    </row>
    <row r="29" spans="1:14" ht="12.95" customHeight="1">
      <c r="B29" s="10"/>
      <c r="C29" s="11"/>
      <c r="D29" s="11"/>
      <c r="E29" s="636">
        <v>821200</v>
      </c>
      <c r="F29" s="662"/>
      <c r="G29" s="11" t="s">
        <v>91</v>
      </c>
      <c r="H29" s="88">
        <v>0</v>
      </c>
      <c r="I29" s="920">
        <v>0</v>
      </c>
      <c r="J29" s="551">
        <v>0</v>
      </c>
      <c r="K29" s="623">
        <v>0</v>
      </c>
      <c r="L29" s="623">
        <v>0</v>
      </c>
      <c r="M29" s="1062">
        <f t="shared" ref="M29:M30" si="3">SUM(K29:L29)</f>
        <v>0</v>
      </c>
      <c r="N29" s="677" t="str">
        <f t="shared" si="1"/>
        <v/>
      </c>
    </row>
    <row r="30" spans="1:14" ht="12.95" customHeight="1">
      <c r="B30" s="10"/>
      <c r="C30" s="11"/>
      <c r="D30" s="11"/>
      <c r="E30" s="636">
        <v>821300</v>
      </c>
      <c r="F30" s="662"/>
      <c r="G30" s="11" t="s">
        <v>92</v>
      </c>
      <c r="H30" s="88">
        <v>2500</v>
      </c>
      <c r="I30" s="920">
        <v>3100</v>
      </c>
      <c r="J30" s="551">
        <v>2500</v>
      </c>
      <c r="K30" s="623">
        <v>3000</v>
      </c>
      <c r="L30" s="623">
        <v>0</v>
      </c>
      <c r="M30" s="1062">
        <f t="shared" si="3"/>
        <v>3000</v>
      </c>
      <c r="N30" s="677">
        <f t="shared" si="1"/>
        <v>96.774193548387103</v>
      </c>
    </row>
    <row r="31" spans="1:14" ht="12.95" customHeight="1">
      <c r="B31" s="10"/>
      <c r="C31" s="11"/>
      <c r="D31" s="11"/>
      <c r="E31" s="636"/>
      <c r="F31" s="662"/>
      <c r="G31" s="11"/>
      <c r="H31" s="31"/>
      <c r="I31" s="917"/>
      <c r="J31" s="548"/>
      <c r="K31" s="618"/>
      <c r="L31" s="618"/>
      <c r="M31" s="1063"/>
      <c r="N31" s="677" t="str">
        <f t="shared" si="1"/>
        <v/>
      </c>
    </row>
    <row r="32" spans="1:14" s="1" customFormat="1" ht="12.95" customHeight="1">
      <c r="A32" s="608"/>
      <c r="B32" s="12"/>
      <c r="C32" s="8"/>
      <c r="D32" s="8"/>
      <c r="E32" s="635"/>
      <c r="F32" s="661"/>
      <c r="G32" s="8" t="s">
        <v>93</v>
      </c>
      <c r="H32" s="19" t="s">
        <v>552</v>
      </c>
      <c r="I32" s="916" t="s">
        <v>688</v>
      </c>
      <c r="J32" s="547" t="s">
        <v>688</v>
      </c>
      <c r="K32" s="556" t="s">
        <v>688</v>
      </c>
      <c r="L32" s="556"/>
      <c r="M32" s="1066" t="s">
        <v>688</v>
      </c>
      <c r="N32" s="677"/>
    </row>
    <row r="33" spans="1:14" s="1" customFormat="1" ht="12.95" customHeight="1">
      <c r="A33" s="608"/>
      <c r="B33" s="12"/>
      <c r="C33" s="8"/>
      <c r="D33" s="8"/>
      <c r="E33" s="635"/>
      <c r="F33" s="661"/>
      <c r="G33" s="8" t="s">
        <v>113</v>
      </c>
      <c r="H33" s="15">
        <f>H8+H13+H16+H28</f>
        <v>537380</v>
      </c>
      <c r="I33" s="15">
        <f>I8+I13+I16+I28</f>
        <v>497100</v>
      </c>
      <c r="J33" s="15">
        <f t="shared" ref="J33" si="4">J8+J13+J16+J28</f>
        <v>359781</v>
      </c>
      <c r="K33" s="615">
        <f>K8+K13+K16+K28</f>
        <v>476340</v>
      </c>
      <c r="L33" s="615">
        <f>L8+L13+L16+L28</f>
        <v>0</v>
      </c>
      <c r="M33" s="1064">
        <f>M8+M13+M16+M28</f>
        <v>476340</v>
      </c>
      <c r="N33" s="676">
        <f t="shared" si="1"/>
        <v>95.823777911888953</v>
      </c>
    </row>
    <row r="34" spans="1:14" s="1" customFormat="1" ht="12.95" customHeight="1">
      <c r="A34" s="608"/>
      <c r="B34" s="12"/>
      <c r="C34" s="8"/>
      <c r="D34" s="8"/>
      <c r="E34" s="635"/>
      <c r="F34" s="661"/>
      <c r="G34" s="8" t="s">
        <v>94</v>
      </c>
      <c r="H34" s="15"/>
      <c r="I34" s="15"/>
      <c r="J34" s="15"/>
      <c r="K34" s="615"/>
      <c r="L34" s="615"/>
      <c r="M34" s="1064"/>
      <c r="N34" s="677" t="str">
        <f>IF(I34=0,"",M34/I34*100)</f>
        <v/>
      </c>
    </row>
    <row r="35" spans="1:14" s="1" customFormat="1" ht="12.95" customHeight="1">
      <c r="A35" s="608"/>
      <c r="B35" s="12"/>
      <c r="C35" s="8"/>
      <c r="D35" s="8"/>
      <c r="E35" s="635"/>
      <c r="F35" s="661"/>
      <c r="G35" s="8" t="s">
        <v>95</v>
      </c>
      <c r="H35" s="30"/>
      <c r="I35" s="30"/>
      <c r="J35" s="30"/>
      <c r="K35" s="593"/>
      <c r="L35" s="593"/>
      <c r="M35" s="1063"/>
      <c r="N35" s="677" t="str">
        <f t="shared" si="1"/>
        <v/>
      </c>
    </row>
    <row r="36" spans="1:14" ht="12.95" customHeight="1" thickBot="1">
      <c r="B36" s="16"/>
      <c r="C36" s="17"/>
      <c r="D36" s="17"/>
      <c r="E36" s="637"/>
      <c r="F36" s="663"/>
      <c r="G36" s="17"/>
      <c r="H36" s="32"/>
      <c r="I36" s="32"/>
      <c r="J36" s="32"/>
      <c r="K36" s="32"/>
      <c r="L36" s="32"/>
      <c r="M36" s="1067"/>
      <c r="N36" s="679"/>
    </row>
    <row r="37" spans="1:14" ht="12.95" customHeight="1">
      <c r="E37" s="638"/>
      <c r="F37" s="664"/>
      <c r="M37" s="1070"/>
    </row>
    <row r="38" spans="1:14" ht="12.95" customHeight="1">
      <c r="E38" s="638"/>
      <c r="F38" s="664"/>
      <c r="M38" s="1070"/>
    </row>
    <row r="39" spans="1:14" ht="12.95" customHeight="1">
      <c r="B39" s="56"/>
      <c r="E39" s="638"/>
      <c r="F39" s="664"/>
      <c r="M39" s="1070"/>
    </row>
    <row r="40" spans="1:14" ht="12.95" customHeight="1">
      <c r="B40" s="56"/>
      <c r="E40" s="638"/>
      <c r="F40" s="664"/>
      <c r="M40" s="1070"/>
    </row>
    <row r="41" spans="1:14" ht="12.95" customHeight="1">
      <c r="B41" s="56"/>
      <c r="E41" s="638"/>
      <c r="F41" s="664"/>
      <c r="M41" s="1070"/>
    </row>
    <row r="42" spans="1:14" ht="12.95" customHeight="1">
      <c r="B42" s="56"/>
      <c r="E42" s="638"/>
      <c r="F42" s="664"/>
      <c r="M42" s="1070"/>
    </row>
    <row r="43" spans="1:14" ht="12.95" customHeight="1">
      <c r="B43" s="56"/>
      <c r="E43" s="638"/>
      <c r="F43" s="664"/>
      <c r="M43" s="1070"/>
    </row>
    <row r="44" spans="1:14" ht="12.95" customHeight="1">
      <c r="B44" s="56"/>
      <c r="E44" s="638"/>
      <c r="F44" s="664"/>
      <c r="M44" s="1070"/>
    </row>
    <row r="45" spans="1:14" ht="12.95" customHeight="1">
      <c r="B45" s="56"/>
      <c r="E45" s="638"/>
      <c r="F45" s="664"/>
      <c r="M45" s="1070"/>
    </row>
    <row r="46" spans="1:14" ht="12.95" customHeight="1">
      <c r="E46" s="638"/>
      <c r="F46" s="664"/>
      <c r="M46" s="1070"/>
    </row>
    <row r="47" spans="1:14" ht="12.95" customHeight="1">
      <c r="E47" s="638"/>
      <c r="F47" s="664"/>
      <c r="M47" s="1070"/>
    </row>
    <row r="48" spans="1:14" ht="12.95" customHeight="1">
      <c r="E48" s="638"/>
      <c r="F48" s="664"/>
      <c r="M48" s="1070"/>
    </row>
    <row r="49" spans="5:13" ht="12.95" customHeight="1">
      <c r="E49" s="638"/>
      <c r="F49" s="664"/>
      <c r="M49" s="1070"/>
    </row>
    <row r="50" spans="5:13" ht="12.95" customHeight="1">
      <c r="E50" s="638"/>
      <c r="F50" s="664"/>
      <c r="M50" s="1070"/>
    </row>
    <row r="51" spans="5:13" ht="12.95" customHeight="1">
      <c r="E51" s="638"/>
      <c r="F51" s="664"/>
      <c r="M51" s="1070"/>
    </row>
    <row r="52" spans="5:13" ht="12.95" customHeight="1">
      <c r="E52" s="638"/>
      <c r="F52" s="664"/>
      <c r="M52" s="1070"/>
    </row>
    <row r="53" spans="5:13" ht="12.95" customHeight="1">
      <c r="E53" s="638"/>
      <c r="F53" s="664"/>
      <c r="M53" s="1070"/>
    </row>
    <row r="54" spans="5:13" ht="12.95" customHeight="1">
      <c r="E54" s="638"/>
      <c r="F54" s="664"/>
      <c r="M54" s="1070"/>
    </row>
    <row r="55" spans="5:13" ht="12.95" customHeight="1">
      <c r="E55" s="638"/>
      <c r="F55" s="664"/>
      <c r="M55" s="1070"/>
    </row>
    <row r="56" spans="5:13" ht="12.95" customHeight="1">
      <c r="E56" s="638"/>
      <c r="F56" s="664"/>
      <c r="M56" s="1070"/>
    </row>
    <row r="57" spans="5:13" ht="12.95" customHeight="1">
      <c r="E57" s="638"/>
      <c r="F57" s="664"/>
      <c r="M57" s="1070"/>
    </row>
    <row r="58" spans="5:13" ht="12.95" customHeight="1">
      <c r="E58" s="638"/>
      <c r="F58" s="664"/>
      <c r="M58" s="1070"/>
    </row>
    <row r="59" spans="5:13" ht="12.95" customHeight="1">
      <c r="E59" s="638"/>
      <c r="F59" s="664"/>
      <c r="M59" s="1070"/>
    </row>
    <row r="60" spans="5:13" ht="17.100000000000001" customHeight="1">
      <c r="E60" s="638"/>
      <c r="F60" s="664"/>
      <c r="M60" s="1070"/>
    </row>
    <row r="61" spans="5:13" ht="14.25">
      <c r="E61" s="638"/>
      <c r="F61" s="664"/>
      <c r="M61" s="1070"/>
    </row>
    <row r="62" spans="5:13" ht="14.25">
      <c r="E62" s="638"/>
      <c r="F62" s="664"/>
      <c r="M62" s="1070"/>
    </row>
    <row r="63" spans="5:13" ht="14.25">
      <c r="E63" s="638"/>
      <c r="F63" s="664"/>
      <c r="M63" s="1070"/>
    </row>
    <row r="64" spans="5:13" ht="14.25">
      <c r="E64" s="638"/>
      <c r="F64" s="664"/>
      <c r="M64" s="1070"/>
    </row>
    <row r="65" spans="5:13" ht="14.25">
      <c r="E65" s="638"/>
      <c r="F65" s="664"/>
      <c r="M65" s="1070"/>
    </row>
    <row r="66" spans="5:13" ht="14.25">
      <c r="E66" s="638"/>
      <c r="F66" s="664"/>
      <c r="M66" s="1070"/>
    </row>
    <row r="67" spans="5:13" ht="14.25">
      <c r="E67" s="638"/>
      <c r="F67" s="664"/>
      <c r="M67" s="1070"/>
    </row>
    <row r="68" spans="5:13" ht="14.25">
      <c r="E68" s="638"/>
      <c r="F68" s="664"/>
      <c r="M68" s="1070"/>
    </row>
    <row r="69" spans="5:13" ht="14.25">
      <c r="E69" s="638"/>
      <c r="F69" s="664"/>
      <c r="M69" s="1070"/>
    </row>
    <row r="70" spans="5:13" ht="14.25">
      <c r="E70" s="638"/>
      <c r="F70" s="664"/>
      <c r="M70" s="1070"/>
    </row>
    <row r="71" spans="5:13" ht="14.25">
      <c r="E71" s="638"/>
      <c r="F71" s="664"/>
      <c r="M71" s="1070"/>
    </row>
    <row r="72" spans="5:13" ht="14.25">
      <c r="E72" s="638"/>
      <c r="F72" s="664"/>
      <c r="M72" s="1070"/>
    </row>
    <row r="73" spans="5:13" ht="14.25">
      <c r="E73" s="638"/>
      <c r="F73" s="664"/>
      <c r="M73" s="1070"/>
    </row>
    <row r="74" spans="5:13" ht="14.25">
      <c r="E74" s="638"/>
      <c r="F74" s="638"/>
      <c r="M74" s="1070"/>
    </row>
    <row r="75" spans="5:13" ht="14.25">
      <c r="E75" s="638"/>
      <c r="F75" s="638"/>
      <c r="M75" s="1070"/>
    </row>
    <row r="76" spans="5:13" ht="14.25">
      <c r="E76" s="638"/>
      <c r="F76" s="638"/>
      <c r="M76" s="1070"/>
    </row>
    <row r="77" spans="5:13" ht="14.25">
      <c r="E77" s="638"/>
      <c r="F77" s="638"/>
      <c r="M77" s="1070"/>
    </row>
    <row r="78" spans="5:13" ht="14.25">
      <c r="E78" s="638"/>
      <c r="F78" s="638"/>
      <c r="M78" s="1070"/>
    </row>
    <row r="79" spans="5:13" ht="14.25">
      <c r="E79" s="638"/>
      <c r="F79" s="638"/>
      <c r="M79" s="1070"/>
    </row>
    <row r="80" spans="5:13" ht="14.25">
      <c r="E80" s="638"/>
      <c r="F80" s="638"/>
      <c r="M80" s="1070"/>
    </row>
    <row r="81" spans="5:13" ht="14.25">
      <c r="E81" s="638"/>
      <c r="F81" s="638"/>
      <c r="M81" s="1070"/>
    </row>
    <row r="82" spans="5:13" ht="14.25">
      <c r="E82" s="638"/>
      <c r="F82" s="638"/>
      <c r="M82" s="1070"/>
    </row>
    <row r="83" spans="5:13" ht="14.25">
      <c r="E83" s="638"/>
      <c r="F83" s="638"/>
      <c r="M83" s="1070"/>
    </row>
    <row r="84" spans="5:13" ht="14.25">
      <c r="E84" s="638"/>
      <c r="F84" s="638"/>
      <c r="M84" s="1070"/>
    </row>
    <row r="85" spans="5:13" ht="14.25">
      <c r="E85" s="638"/>
      <c r="F85" s="638"/>
      <c r="M85" s="1070"/>
    </row>
    <row r="86" spans="5:13" ht="14.25">
      <c r="E86" s="638"/>
      <c r="F86" s="638"/>
      <c r="M86" s="1070"/>
    </row>
    <row r="87" spans="5:13" ht="14.25">
      <c r="E87" s="638"/>
      <c r="F87" s="638"/>
      <c r="M87" s="1070"/>
    </row>
    <row r="88" spans="5:13" ht="14.25">
      <c r="E88" s="638"/>
      <c r="F88" s="638"/>
      <c r="M88" s="1070"/>
    </row>
    <row r="89" spans="5:13" ht="14.25">
      <c r="E89" s="638"/>
      <c r="F89" s="638"/>
      <c r="M89" s="1070"/>
    </row>
    <row r="90" spans="5:13" ht="14.25">
      <c r="E90" s="638"/>
      <c r="F90" s="638"/>
      <c r="M90" s="1070"/>
    </row>
    <row r="91" spans="5:13">
      <c r="F91" s="638"/>
    </row>
    <row r="92" spans="5:13">
      <c r="F92" s="638"/>
    </row>
    <row r="93" spans="5:13">
      <c r="F93" s="638"/>
    </row>
    <row r="94" spans="5:13">
      <c r="F94" s="638"/>
    </row>
    <row r="95" spans="5:13">
      <c r="F95" s="638"/>
    </row>
    <row r="96" spans="5:13">
      <c r="F96" s="638"/>
    </row>
  </sheetData>
  <mergeCells count="13">
    <mergeCell ref="N4:N5"/>
    <mergeCell ref="G4:G5"/>
    <mergeCell ref="B2:H2"/>
    <mergeCell ref="G3:H3"/>
    <mergeCell ref="K4:M4"/>
    <mergeCell ref="B4:B5"/>
    <mergeCell ref="C4:C5"/>
    <mergeCell ref="D4:D5"/>
    <mergeCell ref="F4:F5"/>
    <mergeCell ref="E4:E5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2"/>
  <dimension ref="A1:P96"/>
  <sheetViews>
    <sheetView zoomScaleNormal="100" workbookViewId="0">
      <selection activeCell="Q14" sqref="Q14"/>
    </sheetView>
  </sheetViews>
  <sheetFormatPr defaultRowHeight="12.75"/>
  <cols>
    <col min="1" max="1" width="9.140625" style="611"/>
    <col min="2" max="2" width="4.7109375" style="9" customWidth="1"/>
    <col min="3" max="3" width="5.140625" style="9" customWidth="1"/>
    <col min="4" max="4" width="5" style="9" customWidth="1"/>
    <col min="5" max="5" width="8.7109375" style="18" customWidth="1"/>
    <col min="6" max="6" width="8.7109375" style="616" customWidth="1"/>
    <col min="7" max="7" width="50.7109375" style="9" customWidth="1"/>
    <col min="8" max="12" width="14.7109375" style="64" customWidth="1"/>
    <col min="13" max="13" width="15.7109375" style="64" customWidth="1"/>
    <col min="14" max="14" width="7.7109375" style="680" customWidth="1"/>
    <col min="15" max="16384" width="9.140625" style="9"/>
  </cols>
  <sheetData>
    <row r="1" spans="1:16" ht="13.5" thickBot="1"/>
    <row r="2" spans="1:16" s="126" customFormat="1" ht="20.100000000000001" customHeight="1" thickTop="1" thickBot="1">
      <c r="A2" s="1052"/>
      <c r="B2" s="1261" t="s">
        <v>174</v>
      </c>
      <c r="C2" s="1262"/>
      <c r="D2" s="1262"/>
      <c r="E2" s="1262"/>
      <c r="F2" s="1262"/>
      <c r="G2" s="1262"/>
      <c r="H2" s="1262"/>
      <c r="I2" s="1053"/>
      <c r="J2" s="1053"/>
      <c r="K2" s="1054"/>
      <c r="L2" s="1054"/>
      <c r="M2" s="1054"/>
      <c r="N2" s="1057"/>
    </row>
    <row r="3" spans="1:16" s="1" customFormat="1" ht="8.1" customHeight="1" thickTop="1" thickBot="1">
      <c r="A3" s="608"/>
      <c r="E3" s="2"/>
      <c r="F3" s="609"/>
      <c r="G3" s="1264"/>
      <c r="H3" s="1264"/>
      <c r="I3" s="306"/>
      <c r="J3" s="306"/>
      <c r="K3" s="119"/>
      <c r="L3" s="119"/>
      <c r="M3" s="119"/>
      <c r="N3" s="674"/>
    </row>
    <row r="4" spans="1:16" s="1" customFormat="1" ht="39" customHeight="1">
      <c r="A4" s="608"/>
      <c r="B4" s="1268" t="s">
        <v>78</v>
      </c>
      <c r="C4" s="1280" t="s">
        <v>79</v>
      </c>
      <c r="D4" s="1281" t="s">
        <v>110</v>
      </c>
      <c r="E4" s="1282" t="s">
        <v>615</v>
      </c>
      <c r="F4" s="1273" t="s">
        <v>695</v>
      </c>
      <c r="G4" s="1274" t="s">
        <v>80</v>
      </c>
      <c r="H4" s="1283" t="s">
        <v>614</v>
      </c>
      <c r="I4" s="1284" t="s">
        <v>747</v>
      </c>
      <c r="J4" s="1283" t="s">
        <v>667</v>
      </c>
      <c r="K4" s="1265" t="s">
        <v>682</v>
      </c>
      <c r="L4" s="1266"/>
      <c r="M4" s="1267"/>
      <c r="N4" s="1278" t="s">
        <v>756</v>
      </c>
    </row>
    <row r="5" spans="1:16" s="608" customFormat="1" ht="27" customHeight="1">
      <c r="B5" s="1269"/>
      <c r="C5" s="1271"/>
      <c r="D5" s="1271"/>
      <c r="E5" s="1275"/>
      <c r="F5" s="1271"/>
      <c r="G5" s="1275"/>
      <c r="H5" s="1275"/>
      <c r="I5" s="1275"/>
      <c r="J5" s="1275"/>
      <c r="K5" s="1048" t="s">
        <v>753</v>
      </c>
      <c r="L5" s="1048" t="s">
        <v>754</v>
      </c>
      <c r="M5" s="1059" t="s">
        <v>426</v>
      </c>
      <c r="N5" s="1279"/>
    </row>
    <row r="6" spans="1:16" s="2" customFormat="1" ht="12.95" customHeight="1">
      <c r="A6" s="609"/>
      <c r="B6" s="1181">
        <v>1</v>
      </c>
      <c r="C6" s="661">
        <v>2</v>
      </c>
      <c r="D6" s="661">
        <v>3</v>
      </c>
      <c r="E6" s="661">
        <v>4</v>
      </c>
      <c r="F6" s="661">
        <v>5</v>
      </c>
      <c r="G6" s="661">
        <v>6</v>
      </c>
      <c r="H6" s="661">
        <v>7</v>
      </c>
      <c r="I6" s="661">
        <v>8</v>
      </c>
      <c r="J6" s="661">
        <v>9</v>
      </c>
      <c r="K6" s="661">
        <v>10</v>
      </c>
      <c r="L6" s="661">
        <v>11</v>
      </c>
      <c r="M6" s="1201" t="s">
        <v>755</v>
      </c>
      <c r="N6" s="1183">
        <v>13</v>
      </c>
    </row>
    <row r="7" spans="1:16" s="2" customFormat="1" ht="12.95" customHeight="1">
      <c r="A7" s="609"/>
      <c r="B7" s="6" t="s">
        <v>143</v>
      </c>
      <c r="C7" s="7" t="s">
        <v>145</v>
      </c>
      <c r="D7" s="7" t="s">
        <v>148</v>
      </c>
      <c r="E7" s="5"/>
      <c r="F7" s="610"/>
      <c r="G7" s="5"/>
      <c r="H7" s="110"/>
      <c r="I7" s="110"/>
      <c r="J7" s="110"/>
      <c r="K7" s="110"/>
      <c r="L7" s="110"/>
      <c r="M7" s="1069"/>
      <c r="N7" s="675"/>
    </row>
    <row r="8" spans="1:16" s="1" customFormat="1" ht="12.95" customHeight="1">
      <c r="A8" s="608"/>
      <c r="B8" s="12"/>
      <c r="C8" s="8"/>
      <c r="D8" s="8"/>
      <c r="E8" s="635">
        <v>611000</v>
      </c>
      <c r="F8" s="661"/>
      <c r="G8" s="8" t="s">
        <v>163</v>
      </c>
      <c r="H8" s="256">
        <f>SUM(H9:H11)</f>
        <v>559040</v>
      </c>
      <c r="I8" s="931">
        <v>543460</v>
      </c>
      <c r="J8" s="562">
        <v>393361</v>
      </c>
      <c r="K8" s="256">
        <f>SUM(K9:K11)</f>
        <v>579860</v>
      </c>
      <c r="L8" s="256">
        <f>SUM(L9:L11)</f>
        <v>0</v>
      </c>
      <c r="M8" s="1061">
        <f>SUM(M9:M11)</f>
        <v>579860</v>
      </c>
      <c r="N8" s="676">
        <f>IF(I8=0,"",M8/I8*100)</f>
        <v>106.69782504692158</v>
      </c>
    </row>
    <row r="9" spans="1:16" ht="12.95" customHeight="1">
      <c r="B9" s="10"/>
      <c r="C9" s="11"/>
      <c r="D9" s="11"/>
      <c r="E9" s="636">
        <v>611100</v>
      </c>
      <c r="F9" s="662"/>
      <c r="G9" s="20" t="s">
        <v>204</v>
      </c>
      <c r="H9" s="258">
        <f>437050+5000+3000+13120</f>
        <v>458170</v>
      </c>
      <c r="I9" s="932">
        <v>440100</v>
      </c>
      <c r="J9" s="563">
        <v>323033</v>
      </c>
      <c r="K9" s="258">
        <f>473000+0+3000+2*500</f>
        <v>477000</v>
      </c>
      <c r="L9" s="258">
        <v>0</v>
      </c>
      <c r="M9" s="1062">
        <f>SUM(K9:L9)</f>
        <v>477000</v>
      </c>
      <c r="N9" s="677">
        <f>IF(I9=0,"",M9/I9*100)</f>
        <v>108.38445807770962</v>
      </c>
    </row>
    <row r="10" spans="1:16" ht="12.95" customHeight="1">
      <c r="B10" s="10"/>
      <c r="C10" s="11"/>
      <c r="D10" s="11"/>
      <c r="E10" s="636">
        <v>611200</v>
      </c>
      <c r="F10" s="662"/>
      <c r="G10" s="11" t="s">
        <v>205</v>
      </c>
      <c r="H10" s="258">
        <f>96610+0+2*840+2580</f>
        <v>100870</v>
      </c>
      <c r="I10" s="932">
        <v>103360</v>
      </c>
      <c r="J10" s="563">
        <v>70328</v>
      </c>
      <c r="K10" s="258">
        <f>95300+2000+3760+2*900</f>
        <v>102860</v>
      </c>
      <c r="L10" s="258">
        <v>0</v>
      </c>
      <c r="M10" s="1062">
        <f t="shared" ref="M10:M11" si="0">SUM(K10:L10)</f>
        <v>102860</v>
      </c>
      <c r="N10" s="677">
        <f t="shared" ref="N10:N35" si="1">IF(I10=0,"",M10/I10*100)</f>
        <v>99.516253869969034</v>
      </c>
    </row>
    <row r="11" spans="1:16" ht="12.95" customHeight="1">
      <c r="B11" s="10"/>
      <c r="C11" s="11"/>
      <c r="D11" s="11"/>
      <c r="E11" s="636">
        <v>611200</v>
      </c>
      <c r="F11" s="662"/>
      <c r="G11" s="229" t="s">
        <v>547</v>
      </c>
      <c r="H11" s="255">
        <v>0</v>
      </c>
      <c r="I11" s="930">
        <v>0</v>
      </c>
      <c r="J11" s="561">
        <v>0</v>
      </c>
      <c r="K11" s="255">
        <v>0</v>
      </c>
      <c r="L11" s="255">
        <v>0</v>
      </c>
      <c r="M11" s="1062">
        <f t="shared" si="0"/>
        <v>0</v>
      </c>
      <c r="N11" s="677" t="str">
        <f t="shared" si="1"/>
        <v/>
      </c>
      <c r="P11" s="63"/>
    </row>
    <row r="12" spans="1:16" ht="12.95" customHeight="1">
      <c r="B12" s="10"/>
      <c r="C12" s="11"/>
      <c r="D12" s="11"/>
      <c r="E12" s="636"/>
      <c r="F12" s="662"/>
      <c r="G12" s="11"/>
      <c r="H12" s="256"/>
      <c r="I12" s="931"/>
      <c r="J12" s="562"/>
      <c r="K12" s="256"/>
      <c r="L12" s="256"/>
      <c r="M12" s="1061"/>
      <c r="N12" s="677" t="str">
        <f t="shared" si="1"/>
        <v/>
      </c>
    </row>
    <row r="13" spans="1:16" s="1" customFormat="1" ht="12.95" customHeight="1">
      <c r="A13" s="608"/>
      <c r="B13" s="12"/>
      <c r="C13" s="8"/>
      <c r="D13" s="8"/>
      <c r="E13" s="635">
        <v>612000</v>
      </c>
      <c r="F13" s="661"/>
      <c r="G13" s="8" t="s">
        <v>162</v>
      </c>
      <c r="H13" s="256">
        <f>H14</f>
        <v>49360</v>
      </c>
      <c r="I13" s="931">
        <v>48900</v>
      </c>
      <c r="J13" s="562">
        <v>35561</v>
      </c>
      <c r="K13" s="256">
        <f>K14</f>
        <v>50890</v>
      </c>
      <c r="L13" s="256">
        <f>L14</f>
        <v>0</v>
      </c>
      <c r="M13" s="1061">
        <f>M14</f>
        <v>50890</v>
      </c>
      <c r="N13" s="676">
        <f t="shared" si="1"/>
        <v>104.06952965235175</v>
      </c>
    </row>
    <row r="14" spans="1:16" ht="12.95" customHeight="1">
      <c r="B14" s="10"/>
      <c r="C14" s="11"/>
      <c r="D14" s="11"/>
      <c r="E14" s="636">
        <v>612100</v>
      </c>
      <c r="F14" s="662"/>
      <c r="G14" s="13" t="s">
        <v>83</v>
      </c>
      <c r="H14" s="258">
        <f>46750+1200+1410</f>
        <v>49360</v>
      </c>
      <c r="I14" s="932">
        <v>48900</v>
      </c>
      <c r="J14" s="563">
        <v>35561</v>
      </c>
      <c r="K14" s="258">
        <f>50500+250+2*70</f>
        <v>50890</v>
      </c>
      <c r="L14" s="258">
        <v>0</v>
      </c>
      <c r="M14" s="1062">
        <f>SUM(K14:L14)</f>
        <v>50890</v>
      </c>
      <c r="N14" s="677">
        <f t="shared" si="1"/>
        <v>104.06952965235175</v>
      </c>
    </row>
    <row r="15" spans="1:16" ht="12.95" customHeight="1">
      <c r="B15" s="10"/>
      <c r="C15" s="11"/>
      <c r="D15" s="11"/>
      <c r="E15" s="636"/>
      <c r="F15" s="662"/>
      <c r="G15" s="11"/>
      <c r="H15" s="15"/>
      <c r="I15" s="924"/>
      <c r="J15" s="555"/>
      <c r="K15" s="615"/>
      <c r="L15" s="615"/>
      <c r="M15" s="1064"/>
      <c r="N15" s="677" t="str">
        <f t="shared" si="1"/>
        <v/>
      </c>
    </row>
    <row r="16" spans="1:16" s="1" customFormat="1" ht="12.95" customHeight="1">
      <c r="A16" s="608"/>
      <c r="B16" s="12"/>
      <c r="C16" s="8"/>
      <c r="D16" s="8"/>
      <c r="E16" s="635">
        <v>613000</v>
      </c>
      <c r="F16" s="661"/>
      <c r="G16" s="8" t="s">
        <v>164</v>
      </c>
      <c r="H16" s="35">
        <f>SUM(H17:H26)</f>
        <v>64400</v>
      </c>
      <c r="I16" s="927">
        <v>64000</v>
      </c>
      <c r="J16" s="558">
        <v>47132</v>
      </c>
      <c r="K16" s="620">
        <f>SUM(K17:K26)</f>
        <v>63400</v>
      </c>
      <c r="L16" s="620">
        <f>SUM(L17:L26)</f>
        <v>0</v>
      </c>
      <c r="M16" s="1064">
        <f>SUM(M17:M26)</f>
        <v>63400</v>
      </c>
      <c r="N16" s="676">
        <f t="shared" si="1"/>
        <v>99.0625</v>
      </c>
    </row>
    <row r="17" spans="1:14" ht="12.95" customHeight="1">
      <c r="B17" s="10"/>
      <c r="C17" s="11"/>
      <c r="D17" s="11"/>
      <c r="E17" s="636">
        <v>613100</v>
      </c>
      <c r="F17" s="662"/>
      <c r="G17" s="11" t="s">
        <v>84</v>
      </c>
      <c r="H17" s="31">
        <v>3500</v>
      </c>
      <c r="I17" s="926">
        <v>6100</v>
      </c>
      <c r="J17" s="557">
        <v>4401</v>
      </c>
      <c r="K17" s="978">
        <v>4500</v>
      </c>
      <c r="L17" s="978">
        <v>0</v>
      </c>
      <c r="M17" s="1062">
        <f t="shared" ref="M17:M26" si="2">SUM(K17:L17)</f>
        <v>4500</v>
      </c>
      <c r="N17" s="677">
        <f t="shared" si="1"/>
        <v>73.770491803278688</v>
      </c>
    </row>
    <row r="18" spans="1:14" ht="12.95" customHeight="1">
      <c r="B18" s="10"/>
      <c r="C18" s="11"/>
      <c r="D18" s="11"/>
      <c r="E18" s="636">
        <v>613200</v>
      </c>
      <c r="F18" s="662"/>
      <c r="G18" s="11" t="s">
        <v>85</v>
      </c>
      <c r="H18" s="31">
        <v>30500</v>
      </c>
      <c r="I18" s="926">
        <v>29900</v>
      </c>
      <c r="J18" s="557">
        <v>21491</v>
      </c>
      <c r="K18" s="978">
        <v>30500</v>
      </c>
      <c r="L18" s="978">
        <v>0</v>
      </c>
      <c r="M18" s="1062">
        <f t="shared" si="2"/>
        <v>30500</v>
      </c>
      <c r="N18" s="677">
        <f t="shared" si="1"/>
        <v>102.00668896321071</v>
      </c>
    </row>
    <row r="19" spans="1:14" ht="12.95" customHeight="1">
      <c r="B19" s="10"/>
      <c r="C19" s="11"/>
      <c r="D19" s="11"/>
      <c r="E19" s="636">
        <v>613300</v>
      </c>
      <c r="F19" s="662"/>
      <c r="G19" s="20" t="s">
        <v>206</v>
      </c>
      <c r="H19" s="31">
        <v>3400</v>
      </c>
      <c r="I19" s="926">
        <v>2400</v>
      </c>
      <c r="J19" s="557">
        <v>1765</v>
      </c>
      <c r="K19" s="978">
        <v>2400</v>
      </c>
      <c r="L19" s="978">
        <v>0</v>
      </c>
      <c r="M19" s="1062">
        <f t="shared" si="2"/>
        <v>2400</v>
      </c>
      <c r="N19" s="677">
        <f t="shared" si="1"/>
        <v>100</v>
      </c>
    </row>
    <row r="20" spans="1:14" ht="12.95" customHeight="1">
      <c r="B20" s="10"/>
      <c r="C20" s="11"/>
      <c r="D20" s="11"/>
      <c r="E20" s="636">
        <v>613400</v>
      </c>
      <c r="F20" s="662"/>
      <c r="G20" s="11" t="s">
        <v>165</v>
      </c>
      <c r="H20" s="88">
        <v>9000</v>
      </c>
      <c r="I20" s="929">
        <v>8600</v>
      </c>
      <c r="J20" s="560">
        <v>6187</v>
      </c>
      <c r="K20" s="984">
        <v>9000</v>
      </c>
      <c r="L20" s="984">
        <v>0</v>
      </c>
      <c r="M20" s="1062">
        <f t="shared" si="2"/>
        <v>9000</v>
      </c>
      <c r="N20" s="677">
        <f t="shared" si="1"/>
        <v>104.65116279069768</v>
      </c>
    </row>
    <row r="21" spans="1:14" ht="12.95" customHeight="1">
      <c r="B21" s="10"/>
      <c r="C21" s="11"/>
      <c r="D21" s="11"/>
      <c r="E21" s="636">
        <v>613500</v>
      </c>
      <c r="F21" s="662"/>
      <c r="G21" s="11" t="s">
        <v>86</v>
      </c>
      <c r="H21" s="88">
        <v>1000</v>
      </c>
      <c r="I21" s="929">
        <v>1000</v>
      </c>
      <c r="J21" s="560">
        <v>958</v>
      </c>
      <c r="K21" s="984">
        <v>1000</v>
      </c>
      <c r="L21" s="984">
        <v>0</v>
      </c>
      <c r="M21" s="1062">
        <f t="shared" si="2"/>
        <v>1000</v>
      </c>
      <c r="N21" s="677">
        <f t="shared" si="1"/>
        <v>100</v>
      </c>
    </row>
    <row r="22" spans="1:14" ht="12.95" customHeight="1">
      <c r="B22" s="10"/>
      <c r="C22" s="11"/>
      <c r="D22" s="11"/>
      <c r="E22" s="636">
        <v>613600</v>
      </c>
      <c r="F22" s="662"/>
      <c r="G22" s="20" t="s">
        <v>207</v>
      </c>
      <c r="H22" s="88">
        <v>0</v>
      </c>
      <c r="I22" s="929">
        <v>0</v>
      </c>
      <c r="J22" s="560">
        <v>0</v>
      </c>
      <c r="K22" s="984">
        <v>0</v>
      </c>
      <c r="L22" s="984">
        <v>0</v>
      </c>
      <c r="M22" s="1062">
        <f t="shared" si="2"/>
        <v>0</v>
      </c>
      <c r="N22" s="677" t="str">
        <f t="shared" si="1"/>
        <v/>
      </c>
    </row>
    <row r="23" spans="1:14" ht="12.95" customHeight="1">
      <c r="B23" s="10"/>
      <c r="C23" s="11"/>
      <c r="D23" s="11"/>
      <c r="E23" s="636">
        <v>613700</v>
      </c>
      <c r="F23" s="662"/>
      <c r="G23" s="11" t="s">
        <v>87</v>
      </c>
      <c r="H23" s="88">
        <v>9000</v>
      </c>
      <c r="I23" s="929">
        <v>8500</v>
      </c>
      <c r="J23" s="560">
        <v>6543</v>
      </c>
      <c r="K23" s="984">
        <v>8500</v>
      </c>
      <c r="L23" s="984">
        <v>0</v>
      </c>
      <c r="M23" s="1062">
        <f t="shared" si="2"/>
        <v>8500</v>
      </c>
      <c r="N23" s="677">
        <f t="shared" si="1"/>
        <v>100</v>
      </c>
    </row>
    <row r="24" spans="1:14" ht="12.95" customHeight="1">
      <c r="B24" s="10"/>
      <c r="C24" s="11"/>
      <c r="D24" s="11"/>
      <c r="E24" s="636">
        <v>613800</v>
      </c>
      <c r="F24" s="662"/>
      <c r="G24" s="11" t="s">
        <v>166</v>
      </c>
      <c r="H24" s="88">
        <v>0</v>
      </c>
      <c r="I24" s="929">
        <v>0</v>
      </c>
      <c r="J24" s="560">
        <v>0</v>
      </c>
      <c r="K24" s="984">
        <v>0</v>
      </c>
      <c r="L24" s="984">
        <v>0</v>
      </c>
      <c r="M24" s="1062">
        <f t="shared" si="2"/>
        <v>0</v>
      </c>
      <c r="N24" s="677" t="str">
        <f t="shared" si="1"/>
        <v/>
      </c>
    </row>
    <row r="25" spans="1:14" ht="12.95" customHeight="1">
      <c r="B25" s="10"/>
      <c r="C25" s="11"/>
      <c r="D25" s="11"/>
      <c r="E25" s="636">
        <v>613900</v>
      </c>
      <c r="F25" s="662"/>
      <c r="G25" s="11" t="s">
        <v>167</v>
      </c>
      <c r="H25" s="88">
        <v>8000</v>
      </c>
      <c r="I25" s="929">
        <v>7500</v>
      </c>
      <c r="J25" s="560">
        <v>5787</v>
      </c>
      <c r="K25" s="984">
        <v>7500</v>
      </c>
      <c r="L25" s="984">
        <v>0</v>
      </c>
      <c r="M25" s="1062">
        <f t="shared" si="2"/>
        <v>7500</v>
      </c>
      <c r="N25" s="677">
        <f t="shared" si="1"/>
        <v>100</v>
      </c>
    </row>
    <row r="26" spans="1:14" ht="12.95" customHeight="1">
      <c r="B26" s="10"/>
      <c r="C26" s="11"/>
      <c r="D26" s="11"/>
      <c r="E26" s="636">
        <v>613900</v>
      </c>
      <c r="F26" s="662"/>
      <c r="G26" s="229" t="s">
        <v>548</v>
      </c>
      <c r="H26" s="88">
        <v>0</v>
      </c>
      <c r="I26" s="929">
        <v>0</v>
      </c>
      <c r="J26" s="560">
        <v>0</v>
      </c>
      <c r="K26" s="984">
        <v>0</v>
      </c>
      <c r="L26" s="984">
        <v>0</v>
      </c>
      <c r="M26" s="1062">
        <f t="shared" si="2"/>
        <v>0</v>
      </c>
      <c r="N26" s="677" t="str">
        <f t="shared" si="1"/>
        <v/>
      </c>
    </row>
    <row r="27" spans="1:14" s="1" customFormat="1" ht="12.95" customHeight="1">
      <c r="A27" s="608"/>
      <c r="B27" s="12"/>
      <c r="C27" s="8"/>
      <c r="D27" s="8"/>
      <c r="E27" s="635"/>
      <c r="F27" s="661"/>
      <c r="G27" s="8"/>
      <c r="H27" s="88"/>
      <c r="I27" s="929"/>
      <c r="J27" s="560"/>
      <c r="K27" s="623"/>
      <c r="L27" s="623"/>
      <c r="M27" s="1063"/>
      <c r="N27" s="677" t="str">
        <f t="shared" si="1"/>
        <v/>
      </c>
    </row>
    <row r="28" spans="1:14" s="1" customFormat="1" ht="12.95" customHeight="1">
      <c r="A28" s="608"/>
      <c r="B28" s="12"/>
      <c r="C28" s="8"/>
      <c r="D28" s="8"/>
      <c r="E28" s="635">
        <v>821000</v>
      </c>
      <c r="F28" s="661"/>
      <c r="G28" s="8" t="s">
        <v>90</v>
      </c>
      <c r="H28" s="79">
        <f>SUM(H29:H31)</f>
        <v>3000</v>
      </c>
      <c r="I28" s="928">
        <v>23000</v>
      </c>
      <c r="J28" s="559">
        <v>10029</v>
      </c>
      <c r="K28" s="622">
        <f>SUM(K29:K31)</f>
        <v>3000</v>
      </c>
      <c r="L28" s="622">
        <f>SUM(L29:L31)</f>
        <v>0</v>
      </c>
      <c r="M28" s="1064">
        <f>SUM(M29:M31)</f>
        <v>3000</v>
      </c>
      <c r="N28" s="676">
        <f t="shared" si="1"/>
        <v>13.043478260869565</v>
      </c>
    </row>
    <row r="29" spans="1:14" ht="12.95" customHeight="1">
      <c r="B29" s="10"/>
      <c r="C29" s="11"/>
      <c r="D29" s="11"/>
      <c r="E29" s="636">
        <v>821200</v>
      </c>
      <c r="F29" s="662"/>
      <c r="G29" s="11" t="s">
        <v>91</v>
      </c>
      <c r="H29" s="88">
        <v>0</v>
      </c>
      <c r="I29" s="929">
        <v>18650</v>
      </c>
      <c r="J29" s="560">
        <v>5687</v>
      </c>
      <c r="K29" s="623">
        <v>0</v>
      </c>
      <c r="L29" s="623">
        <v>0</v>
      </c>
      <c r="M29" s="1062">
        <f t="shared" ref="M29:M30" si="3">SUM(K29:L29)</f>
        <v>0</v>
      </c>
      <c r="N29" s="677">
        <f t="shared" si="1"/>
        <v>0</v>
      </c>
    </row>
    <row r="30" spans="1:14" ht="12.95" customHeight="1">
      <c r="B30" s="10"/>
      <c r="C30" s="11"/>
      <c r="D30" s="11"/>
      <c r="E30" s="636">
        <v>821300</v>
      </c>
      <c r="F30" s="662"/>
      <c r="G30" s="11" t="s">
        <v>92</v>
      </c>
      <c r="H30" s="88">
        <v>3000</v>
      </c>
      <c r="I30" s="929">
        <v>4350</v>
      </c>
      <c r="J30" s="560">
        <v>4342</v>
      </c>
      <c r="K30" s="623">
        <v>3000</v>
      </c>
      <c r="L30" s="623">
        <v>0</v>
      </c>
      <c r="M30" s="1062">
        <f t="shared" si="3"/>
        <v>3000</v>
      </c>
      <c r="N30" s="677">
        <f t="shared" si="1"/>
        <v>68.965517241379317</v>
      </c>
    </row>
    <row r="31" spans="1:14" ht="12.95" customHeight="1">
      <c r="B31" s="10"/>
      <c r="C31" s="11"/>
      <c r="D31" s="11"/>
      <c r="E31" s="636"/>
      <c r="F31" s="662"/>
      <c r="G31" s="20"/>
      <c r="H31" s="88"/>
      <c r="I31" s="929"/>
      <c r="J31" s="560"/>
      <c r="K31" s="623"/>
      <c r="L31" s="623"/>
      <c r="M31" s="1063"/>
      <c r="N31" s="677" t="str">
        <f t="shared" si="1"/>
        <v/>
      </c>
    </row>
    <row r="32" spans="1:14" s="1" customFormat="1" ht="12.95" customHeight="1">
      <c r="A32" s="608"/>
      <c r="B32" s="12"/>
      <c r="C32" s="8"/>
      <c r="D32" s="8"/>
      <c r="E32" s="635"/>
      <c r="F32" s="661"/>
      <c r="G32" s="8" t="s">
        <v>93</v>
      </c>
      <c r="H32" s="19" t="s">
        <v>564</v>
      </c>
      <c r="I32" s="925" t="s">
        <v>619</v>
      </c>
      <c r="J32" s="556" t="s">
        <v>619</v>
      </c>
      <c r="K32" s="556" t="s">
        <v>619</v>
      </c>
      <c r="L32" s="556"/>
      <c r="M32" s="1066" t="s">
        <v>619</v>
      </c>
      <c r="N32" s="677"/>
    </row>
    <row r="33" spans="1:14" s="1" customFormat="1" ht="12.95" customHeight="1">
      <c r="A33" s="608"/>
      <c r="B33" s="12"/>
      <c r="C33" s="8"/>
      <c r="D33" s="8"/>
      <c r="E33" s="635"/>
      <c r="F33" s="661"/>
      <c r="G33" s="8" t="s">
        <v>113</v>
      </c>
      <c r="H33" s="15">
        <f>H8+H13+H16+H28</f>
        <v>675800</v>
      </c>
      <c r="I33" s="15">
        <f>I8+I13+I16+I28</f>
        <v>679360</v>
      </c>
      <c r="J33" s="15">
        <f t="shared" ref="J33" si="4">J8+J13+J16+J28</f>
        <v>486083</v>
      </c>
      <c r="K33" s="615">
        <f>K8+K13+K16+K28</f>
        <v>697150</v>
      </c>
      <c r="L33" s="615">
        <f>L8+L13+L16+L28</f>
        <v>0</v>
      </c>
      <c r="M33" s="1064">
        <f>M8+M13+M16+M28</f>
        <v>697150</v>
      </c>
      <c r="N33" s="676">
        <f t="shared" si="1"/>
        <v>102.61864107395195</v>
      </c>
    </row>
    <row r="34" spans="1:14" s="1" customFormat="1" ht="12.95" customHeight="1">
      <c r="A34" s="608"/>
      <c r="B34" s="12"/>
      <c r="C34" s="8"/>
      <c r="D34" s="8"/>
      <c r="E34" s="635"/>
      <c r="F34" s="661"/>
      <c r="G34" s="8" t="s">
        <v>94</v>
      </c>
      <c r="H34" s="15">
        <f>H33+'29'!H33+'28'!H33+'27'!H33+'26'!H33+'25'!H33+'24'!H33</f>
        <v>7819660</v>
      </c>
      <c r="I34" s="15">
        <f>I33+'29'!I33+'28'!I33+'27'!I33+'26'!I33+'25'!I33+'24'!I33</f>
        <v>7759160</v>
      </c>
      <c r="J34" s="15">
        <f>J33+'29'!J33+'28'!J33+'27'!J33+'26'!J33+'25'!J33+'24'!J33</f>
        <v>5493977</v>
      </c>
      <c r="K34" s="615">
        <f>K33+'29'!K33+'28'!K33+'27'!K33+'26'!K33+'25'!K33+'24'!K33</f>
        <v>7967330</v>
      </c>
      <c r="L34" s="615">
        <f>L33+'29'!L33+'28'!L33+'27'!L33+'26'!L33+'25'!L33+'24'!L33</f>
        <v>9560</v>
      </c>
      <c r="M34" s="1064">
        <f>M33+'29'!M33+'28'!M33+'27'!M33+'26'!M33+'25'!M33+'24'!M33</f>
        <v>7976890</v>
      </c>
      <c r="N34" s="676">
        <f>IF(I34=0,"",M34/I34*100)</f>
        <v>102.80610272245964</v>
      </c>
    </row>
    <row r="35" spans="1:14" s="1" customFormat="1" ht="12.95" customHeight="1">
      <c r="A35" s="608"/>
      <c r="B35" s="12"/>
      <c r="C35" s="8"/>
      <c r="D35" s="8"/>
      <c r="E35" s="635"/>
      <c r="F35" s="661"/>
      <c r="G35" s="8" t="s">
        <v>95</v>
      </c>
      <c r="H35" s="15">
        <f>H34+'23'!H35+'20'!H52</f>
        <v>13262620</v>
      </c>
      <c r="I35" s="15">
        <f>I34+'23'!I35+'20'!I52</f>
        <v>13294550</v>
      </c>
      <c r="J35" s="15">
        <f>J34+'23'!J35+'20'!J52</f>
        <v>9528258</v>
      </c>
      <c r="K35" s="615">
        <f>K34+'23'!K35+'20'!K52</f>
        <v>13474630</v>
      </c>
      <c r="L35" s="615">
        <f>L34+'23'!L35+'20'!L52</f>
        <v>26650</v>
      </c>
      <c r="M35" s="1064">
        <f>M34+'23'!M35+'20'!M52</f>
        <v>13501280</v>
      </c>
      <c r="N35" s="676">
        <f t="shared" si="1"/>
        <v>101.55499810072548</v>
      </c>
    </row>
    <row r="36" spans="1:14" ht="12.95" customHeight="1" thickBot="1">
      <c r="B36" s="16"/>
      <c r="C36" s="17"/>
      <c r="D36" s="17"/>
      <c r="E36" s="637"/>
      <c r="F36" s="663"/>
      <c r="G36" s="17"/>
      <c r="H36" s="32"/>
      <c r="I36" s="32"/>
      <c r="J36" s="32"/>
      <c r="K36" s="32"/>
      <c r="L36" s="32"/>
      <c r="M36" s="1067"/>
      <c r="N36" s="679"/>
    </row>
    <row r="37" spans="1:14" ht="12.95" customHeight="1">
      <c r="E37" s="638"/>
      <c r="F37" s="664"/>
      <c r="M37" s="1070"/>
    </row>
    <row r="38" spans="1:14" ht="12.95" customHeight="1">
      <c r="B38" s="56"/>
      <c r="E38" s="638"/>
      <c r="F38" s="664"/>
      <c r="M38" s="1070"/>
    </row>
    <row r="39" spans="1:14" ht="12.95" customHeight="1">
      <c r="B39" s="56"/>
      <c r="E39" s="638"/>
      <c r="F39" s="664"/>
      <c r="M39" s="1070"/>
    </row>
    <row r="40" spans="1:14" ht="12.95" customHeight="1">
      <c r="B40" s="56"/>
      <c r="E40" s="638"/>
      <c r="F40" s="664"/>
      <c r="M40" s="1070"/>
    </row>
    <row r="41" spans="1:14" ht="12.95" customHeight="1">
      <c r="B41" s="56"/>
      <c r="E41" s="638"/>
      <c r="F41" s="664"/>
      <c r="M41" s="1070"/>
    </row>
    <row r="42" spans="1:14" ht="12.95" customHeight="1">
      <c r="B42" s="56"/>
      <c r="E42" s="638"/>
      <c r="F42" s="664"/>
      <c r="M42" s="1070"/>
    </row>
    <row r="43" spans="1:14" ht="12.95" customHeight="1">
      <c r="B43" s="56"/>
      <c r="E43" s="638"/>
      <c r="F43" s="664"/>
      <c r="M43" s="1070"/>
    </row>
    <row r="44" spans="1:14" ht="12.95" customHeight="1">
      <c r="B44" s="56"/>
      <c r="E44" s="638"/>
      <c r="F44" s="664"/>
      <c r="M44" s="1070"/>
    </row>
    <row r="45" spans="1:14" ht="12.95" customHeight="1">
      <c r="E45" s="638"/>
      <c r="F45" s="664"/>
      <c r="M45" s="1070"/>
    </row>
    <row r="46" spans="1:14" ht="12.95" customHeight="1">
      <c r="E46" s="638"/>
      <c r="F46" s="664"/>
      <c r="M46" s="1070"/>
    </row>
    <row r="47" spans="1:14" ht="12.95" customHeight="1">
      <c r="E47" s="638"/>
      <c r="F47" s="664"/>
      <c r="M47" s="1070"/>
    </row>
    <row r="48" spans="1:14" ht="12.95" customHeight="1">
      <c r="E48" s="638"/>
      <c r="F48" s="664"/>
      <c r="M48" s="1070"/>
    </row>
    <row r="49" spans="5:13" ht="12.95" customHeight="1">
      <c r="E49" s="638"/>
      <c r="F49" s="664"/>
      <c r="M49" s="1070"/>
    </row>
    <row r="50" spans="5:13" ht="12.95" customHeight="1">
      <c r="E50" s="638"/>
      <c r="F50" s="664"/>
      <c r="M50" s="1070"/>
    </row>
    <row r="51" spans="5:13" ht="12.95" customHeight="1">
      <c r="E51" s="638"/>
      <c r="F51" s="664"/>
      <c r="M51" s="1070"/>
    </row>
    <row r="52" spans="5:13" ht="12.95" customHeight="1">
      <c r="E52" s="638"/>
      <c r="F52" s="664"/>
      <c r="M52" s="1070"/>
    </row>
    <row r="53" spans="5:13" ht="12.95" customHeight="1">
      <c r="E53" s="638"/>
      <c r="F53" s="664"/>
      <c r="M53" s="1070"/>
    </row>
    <row r="54" spans="5:13" ht="12.95" customHeight="1">
      <c r="E54" s="638"/>
      <c r="F54" s="664"/>
      <c r="M54" s="1070"/>
    </row>
    <row r="55" spans="5:13" ht="12.95" customHeight="1">
      <c r="E55" s="638"/>
      <c r="F55" s="664"/>
      <c r="M55" s="1070"/>
    </row>
    <row r="56" spans="5:13" ht="12.95" customHeight="1">
      <c r="E56" s="638"/>
      <c r="F56" s="664"/>
      <c r="M56" s="1070"/>
    </row>
    <row r="57" spans="5:13" ht="12.95" customHeight="1">
      <c r="E57" s="638"/>
      <c r="F57" s="664"/>
      <c r="M57" s="1070"/>
    </row>
    <row r="58" spans="5:13" ht="12.95" customHeight="1">
      <c r="E58" s="638"/>
      <c r="F58" s="664"/>
      <c r="M58" s="1070"/>
    </row>
    <row r="59" spans="5:13" ht="12.95" customHeight="1">
      <c r="E59" s="638"/>
      <c r="F59" s="664"/>
      <c r="M59" s="1070"/>
    </row>
    <row r="60" spans="5:13" ht="17.100000000000001" customHeight="1">
      <c r="E60" s="638"/>
      <c r="F60" s="664"/>
      <c r="M60" s="1070"/>
    </row>
    <row r="61" spans="5:13" ht="14.25">
      <c r="E61" s="638"/>
      <c r="F61" s="664"/>
      <c r="M61" s="1070"/>
    </row>
    <row r="62" spans="5:13" ht="14.25">
      <c r="E62" s="638"/>
      <c r="F62" s="664"/>
      <c r="M62" s="1070"/>
    </row>
    <row r="63" spans="5:13" ht="14.25">
      <c r="E63" s="638"/>
      <c r="F63" s="664"/>
      <c r="M63" s="1070"/>
    </row>
    <row r="64" spans="5:13" ht="14.25">
      <c r="E64" s="638"/>
      <c r="F64" s="664"/>
      <c r="M64" s="1070"/>
    </row>
    <row r="65" spans="5:13" ht="14.25">
      <c r="E65" s="638"/>
      <c r="F65" s="664"/>
      <c r="M65" s="1070"/>
    </row>
    <row r="66" spans="5:13" ht="14.25">
      <c r="E66" s="638"/>
      <c r="F66" s="664"/>
      <c r="M66" s="1070"/>
    </row>
    <row r="67" spans="5:13" ht="14.25">
      <c r="E67" s="638"/>
      <c r="F67" s="664"/>
      <c r="M67" s="1070"/>
    </row>
    <row r="68" spans="5:13" ht="14.25">
      <c r="E68" s="638"/>
      <c r="F68" s="664"/>
      <c r="M68" s="1070"/>
    </row>
    <row r="69" spans="5:13" ht="14.25">
      <c r="E69" s="638"/>
      <c r="F69" s="664"/>
      <c r="M69" s="1070"/>
    </row>
    <row r="70" spans="5:13" ht="14.25">
      <c r="E70" s="638"/>
      <c r="F70" s="664"/>
      <c r="M70" s="1070"/>
    </row>
    <row r="71" spans="5:13" ht="14.25">
      <c r="E71" s="638"/>
      <c r="F71" s="664"/>
      <c r="M71" s="1070"/>
    </row>
    <row r="72" spans="5:13" ht="14.25">
      <c r="E72" s="638"/>
      <c r="F72" s="664"/>
      <c r="M72" s="1070"/>
    </row>
    <row r="73" spans="5:13" ht="14.25">
      <c r="E73" s="638"/>
      <c r="F73" s="664"/>
      <c r="M73" s="1070"/>
    </row>
    <row r="74" spans="5:13" ht="14.25">
      <c r="E74" s="638"/>
      <c r="F74" s="638"/>
      <c r="M74" s="1070"/>
    </row>
    <row r="75" spans="5:13" ht="14.25">
      <c r="E75" s="638"/>
      <c r="F75" s="638"/>
      <c r="M75" s="1070"/>
    </row>
    <row r="76" spans="5:13" ht="14.25">
      <c r="E76" s="638"/>
      <c r="F76" s="638"/>
      <c r="M76" s="1070"/>
    </row>
    <row r="77" spans="5:13" ht="14.25">
      <c r="E77" s="638"/>
      <c r="F77" s="638"/>
      <c r="M77" s="1070"/>
    </row>
    <row r="78" spans="5:13" ht="14.25">
      <c r="E78" s="638"/>
      <c r="F78" s="638"/>
      <c r="M78" s="1070"/>
    </row>
    <row r="79" spans="5:13" ht="14.25">
      <c r="E79" s="638"/>
      <c r="F79" s="638"/>
      <c r="M79" s="1070"/>
    </row>
    <row r="80" spans="5:13" ht="14.25">
      <c r="E80" s="638"/>
      <c r="F80" s="638"/>
      <c r="M80" s="1070"/>
    </row>
    <row r="81" spans="5:13" ht="14.25">
      <c r="E81" s="638"/>
      <c r="F81" s="638"/>
      <c r="M81" s="1070"/>
    </row>
    <row r="82" spans="5:13" ht="14.25">
      <c r="E82" s="638"/>
      <c r="F82" s="638"/>
      <c r="M82" s="1070"/>
    </row>
    <row r="83" spans="5:13" ht="14.25">
      <c r="E83" s="638"/>
      <c r="F83" s="638"/>
      <c r="M83" s="1070"/>
    </row>
    <row r="84" spans="5:13" ht="14.25">
      <c r="E84" s="638"/>
      <c r="F84" s="638"/>
      <c r="M84" s="1070"/>
    </row>
    <row r="85" spans="5:13" ht="14.25">
      <c r="E85" s="638"/>
      <c r="F85" s="638"/>
      <c r="M85" s="1070"/>
    </row>
    <row r="86" spans="5:13" ht="14.25">
      <c r="E86" s="638"/>
      <c r="F86" s="638"/>
      <c r="M86" s="1070"/>
    </row>
    <row r="87" spans="5:13" ht="14.25">
      <c r="E87" s="638"/>
      <c r="F87" s="638"/>
      <c r="M87" s="1070"/>
    </row>
    <row r="88" spans="5:13" ht="14.25">
      <c r="E88" s="638"/>
      <c r="F88" s="638"/>
      <c r="M88" s="1070"/>
    </row>
    <row r="89" spans="5:13" ht="14.25">
      <c r="E89" s="638"/>
      <c r="F89" s="638"/>
      <c r="M89" s="1070"/>
    </row>
    <row r="90" spans="5:13" ht="14.25">
      <c r="E90" s="638"/>
      <c r="F90" s="638"/>
      <c r="M90" s="1070"/>
    </row>
    <row r="91" spans="5:13">
      <c r="F91" s="638"/>
    </row>
    <row r="92" spans="5:13">
      <c r="F92" s="638"/>
    </row>
    <row r="93" spans="5:13">
      <c r="F93" s="638"/>
    </row>
    <row r="94" spans="5:13">
      <c r="F94" s="638"/>
    </row>
    <row r="95" spans="5:13">
      <c r="F95" s="638"/>
    </row>
    <row r="96" spans="5:13">
      <c r="F96" s="638"/>
    </row>
  </sheetData>
  <mergeCells count="13">
    <mergeCell ref="N4:N5"/>
    <mergeCell ref="G4:G5"/>
    <mergeCell ref="B2:H2"/>
    <mergeCell ref="G3:H3"/>
    <mergeCell ref="K4:M4"/>
    <mergeCell ref="B4:B5"/>
    <mergeCell ref="C4:C5"/>
    <mergeCell ref="D4:D5"/>
    <mergeCell ref="F4:F5"/>
    <mergeCell ref="E4:E5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/>
  <dimension ref="A1:P96"/>
  <sheetViews>
    <sheetView zoomScaleNormal="100" workbookViewId="0">
      <selection activeCell="Q14" sqref="Q14"/>
    </sheetView>
  </sheetViews>
  <sheetFormatPr defaultRowHeight="12.75"/>
  <cols>
    <col min="1" max="1" width="9.140625" style="611"/>
    <col min="2" max="2" width="4.7109375" style="9" customWidth="1"/>
    <col min="3" max="3" width="5.140625" style="9" customWidth="1"/>
    <col min="4" max="4" width="5" style="9" customWidth="1"/>
    <col min="5" max="5" width="8.7109375" style="18" customWidth="1"/>
    <col min="6" max="6" width="8.7109375" style="616" customWidth="1"/>
    <col min="7" max="7" width="50.7109375" style="9" customWidth="1"/>
    <col min="8" max="12" width="14.7109375" style="64" customWidth="1"/>
    <col min="13" max="13" width="15.7109375" style="64" customWidth="1"/>
    <col min="14" max="14" width="7.7109375" style="680" customWidth="1"/>
    <col min="15" max="16384" width="9.140625" style="9"/>
  </cols>
  <sheetData>
    <row r="1" spans="1:16" ht="13.5" thickBot="1"/>
    <row r="2" spans="1:16" s="126" customFormat="1" ht="20.100000000000001" customHeight="1" thickTop="1" thickBot="1">
      <c r="A2" s="1052"/>
      <c r="B2" s="1261" t="s">
        <v>179</v>
      </c>
      <c r="C2" s="1262"/>
      <c r="D2" s="1262"/>
      <c r="E2" s="1262"/>
      <c r="F2" s="1262"/>
      <c r="G2" s="1262"/>
      <c r="H2" s="1262"/>
      <c r="I2" s="1053"/>
      <c r="J2" s="1053"/>
      <c r="K2" s="1054"/>
      <c r="L2" s="1054"/>
      <c r="M2" s="1054"/>
      <c r="N2" s="1057"/>
    </row>
    <row r="3" spans="1:16" s="1" customFormat="1" ht="8.1" customHeight="1" thickTop="1" thickBot="1">
      <c r="A3" s="608"/>
      <c r="E3" s="2"/>
      <c r="F3" s="609"/>
      <c r="G3" s="1264"/>
      <c r="H3" s="1264"/>
      <c r="I3" s="306"/>
      <c r="J3" s="306"/>
      <c r="K3" s="119"/>
      <c r="L3" s="119"/>
      <c r="M3" s="119"/>
      <c r="N3" s="674"/>
    </row>
    <row r="4" spans="1:16" s="1" customFormat="1" ht="39" customHeight="1">
      <c r="A4" s="608"/>
      <c r="B4" s="1268" t="s">
        <v>78</v>
      </c>
      <c r="C4" s="1280" t="s">
        <v>79</v>
      </c>
      <c r="D4" s="1281" t="s">
        <v>110</v>
      </c>
      <c r="E4" s="1282" t="s">
        <v>615</v>
      </c>
      <c r="F4" s="1273" t="s">
        <v>695</v>
      </c>
      <c r="G4" s="1274" t="s">
        <v>80</v>
      </c>
      <c r="H4" s="1283" t="s">
        <v>614</v>
      </c>
      <c r="I4" s="1284" t="s">
        <v>747</v>
      </c>
      <c r="J4" s="1283" t="s">
        <v>667</v>
      </c>
      <c r="K4" s="1265" t="s">
        <v>682</v>
      </c>
      <c r="L4" s="1266"/>
      <c r="M4" s="1267"/>
      <c r="N4" s="1278" t="s">
        <v>756</v>
      </c>
    </row>
    <row r="5" spans="1:16" s="608" customFormat="1" ht="27" customHeight="1">
      <c r="B5" s="1269"/>
      <c r="C5" s="1271"/>
      <c r="D5" s="1271"/>
      <c r="E5" s="1275"/>
      <c r="F5" s="1271"/>
      <c r="G5" s="1275"/>
      <c r="H5" s="1275"/>
      <c r="I5" s="1275"/>
      <c r="J5" s="1275"/>
      <c r="K5" s="1048" t="s">
        <v>753</v>
      </c>
      <c r="L5" s="1048" t="s">
        <v>754</v>
      </c>
      <c r="M5" s="1059" t="s">
        <v>426</v>
      </c>
      <c r="N5" s="1279"/>
    </row>
    <row r="6" spans="1:16" s="2" customFormat="1" ht="12.95" customHeight="1">
      <c r="A6" s="609"/>
      <c r="B6" s="1181">
        <v>1</v>
      </c>
      <c r="C6" s="661">
        <v>2</v>
      </c>
      <c r="D6" s="661">
        <v>3</v>
      </c>
      <c r="E6" s="661">
        <v>4</v>
      </c>
      <c r="F6" s="661">
        <v>5</v>
      </c>
      <c r="G6" s="661">
        <v>6</v>
      </c>
      <c r="H6" s="661">
        <v>7</v>
      </c>
      <c r="I6" s="661">
        <v>8</v>
      </c>
      <c r="J6" s="661">
        <v>9</v>
      </c>
      <c r="K6" s="661">
        <v>10</v>
      </c>
      <c r="L6" s="661">
        <v>11</v>
      </c>
      <c r="M6" s="1201" t="s">
        <v>755</v>
      </c>
      <c r="N6" s="1183">
        <v>13</v>
      </c>
    </row>
    <row r="7" spans="1:16" s="2" customFormat="1" ht="12.95" customHeight="1">
      <c r="A7" s="609"/>
      <c r="B7" s="6" t="s">
        <v>149</v>
      </c>
      <c r="C7" s="7" t="s">
        <v>81</v>
      </c>
      <c r="D7" s="7" t="s">
        <v>82</v>
      </c>
      <c r="E7" s="5"/>
      <c r="F7" s="610"/>
      <c r="G7" s="5"/>
      <c r="H7" s="110"/>
      <c r="I7" s="110"/>
      <c r="J7" s="110"/>
      <c r="K7" s="110"/>
      <c r="L7" s="110"/>
      <c r="M7" s="1069"/>
      <c r="N7" s="675"/>
    </row>
    <row r="8" spans="1:16" s="1" customFormat="1" ht="12.95" customHeight="1">
      <c r="A8" s="608"/>
      <c r="B8" s="12"/>
      <c r="C8" s="8"/>
      <c r="D8" s="8"/>
      <c r="E8" s="635">
        <v>611000</v>
      </c>
      <c r="F8" s="661"/>
      <c r="G8" s="8" t="s">
        <v>163</v>
      </c>
      <c r="H8" s="256">
        <f>SUM(H9:H11)</f>
        <v>246970</v>
      </c>
      <c r="I8" s="937">
        <v>230100</v>
      </c>
      <c r="J8" s="568">
        <v>170147</v>
      </c>
      <c r="K8" s="256">
        <f>SUM(K9:K11)</f>
        <v>263080</v>
      </c>
      <c r="L8" s="256">
        <f>SUM(L9:L11)</f>
        <v>0</v>
      </c>
      <c r="M8" s="1061">
        <f>SUM(M9:M11)</f>
        <v>263080</v>
      </c>
      <c r="N8" s="676">
        <f>IF(I8=0,"",M8/I8*100)</f>
        <v>114.3328987396784</v>
      </c>
    </row>
    <row r="9" spans="1:16" ht="12.95" customHeight="1">
      <c r="B9" s="10"/>
      <c r="C9" s="11"/>
      <c r="D9" s="11"/>
      <c r="E9" s="636">
        <v>611100</v>
      </c>
      <c r="F9" s="662"/>
      <c r="G9" s="20" t="s">
        <v>204</v>
      </c>
      <c r="H9" s="258">
        <f>176010+1000+16500+5280+500</f>
        <v>199290</v>
      </c>
      <c r="I9" s="938">
        <v>180500</v>
      </c>
      <c r="J9" s="569">
        <v>135345</v>
      </c>
      <c r="K9" s="258">
        <f>174500+1740+2*500+1*12*1980+1*9*950</f>
        <v>209550</v>
      </c>
      <c r="L9" s="258">
        <v>0</v>
      </c>
      <c r="M9" s="1062">
        <f>SUM(K9:L9)</f>
        <v>209550</v>
      </c>
      <c r="N9" s="677">
        <f>IF(I9=0,"",M9/I9*100)</f>
        <v>116.09418282548476</v>
      </c>
    </row>
    <row r="10" spans="1:16" ht="12.95" customHeight="1">
      <c r="B10" s="10"/>
      <c r="C10" s="11"/>
      <c r="D10" s="11"/>
      <c r="E10" s="636">
        <v>611200</v>
      </c>
      <c r="F10" s="662"/>
      <c r="G10" s="11" t="s">
        <v>205</v>
      </c>
      <c r="H10" s="258">
        <f>42580+1000+4100</f>
        <v>47680</v>
      </c>
      <c r="I10" s="938">
        <v>49600</v>
      </c>
      <c r="J10" s="569">
        <v>34802</v>
      </c>
      <c r="K10" s="258">
        <f>44500+800+2*900+1*11*340+1*9*21*10+2*400</f>
        <v>53530</v>
      </c>
      <c r="L10" s="258">
        <v>0</v>
      </c>
      <c r="M10" s="1062">
        <f t="shared" ref="M10:M11" si="0">SUM(K10:L10)</f>
        <v>53530</v>
      </c>
      <c r="N10" s="677">
        <f t="shared" ref="N10:N38" si="1">IF(I10=0,"",M10/I10*100)</f>
        <v>107.92338709677421</v>
      </c>
    </row>
    <row r="11" spans="1:16" ht="12.95" customHeight="1">
      <c r="B11" s="10"/>
      <c r="C11" s="11"/>
      <c r="D11" s="11"/>
      <c r="E11" s="636">
        <v>611200</v>
      </c>
      <c r="F11" s="662"/>
      <c r="G11" s="229" t="s">
        <v>547</v>
      </c>
      <c r="H11" s="255">
        <v>0</v>
      </c>
      <c r="I11" s="936">
        <v>0</v>
      </c>
      <c r="J11" s="567">
        <v>0</v>
      </c>
      <c r="K11" s="255">
        <v>0</v>
      </c>
      <c r="L11" s="255">
        <v>0</v>
      </c>
      <c r="M11" s="1062">
        <f t="shared" si="0"/>
        <v>0</v>
      </c>
      <c r="N11" s="677" t="str">
        <f t="shared" si="1"/>
        <v/>
      </c>
      <c r="P11" s="63"/>
    </row>
    <row r="12" spans="1:16" ht="12.95" customHeight="1">
      <c r="B12" s="10"/>
      <c r="C12" s="11"/>
      <c r="D12" s="11"/>
      <c r="E12" s="636"/>
      <c r="F12" s="662"/>
      <c r="G12" s="11"/>
      <c r="H12" s="256"/>
      <c r="I12" s="937"/>
      <c r="J12" s="568"/>
      <c r="K12" s="256"/>
      <c r="L12" s="256"/>
      <c r="M12" s="1061"/>
      <c r="N12" s="677" t="str">
        <f t="shared" si="1"/>
        <v/>
      </c>
    </row>
    <row r="13" spans="1:16" s="1" customFormat="1" ht="12.95" customHeight="1">
      <c r="A13" s="608"/>
      <c r="B13" s="12"/>
      <c r="C13" s="8"/>
      <c r="D13" s="8"/>
      <c r="E13" s="635">
        <v>612000</v>
      </c>
      <c r="F13" s="661"/>
      <c r="G13" s="8" t="s">
        <v>162</v>
      </c>
      <c r="H13" s="256">
        <f>H14</f>
        <v>21470</v>
      </c>
      <c r="I13" s="937">
        <v>19700</v>
      </c>
      <c r="J13" s="568">
        <v>14444</v>
      </c>
      <c r="K13" s="256">
        <f>K14</f>
        <v>22580</v>
      </c>
      <c r="L13" s="256">
        <f>L14</f>
        <v>0</v>
      </c>
      <c r="M13" s="1061">
        <f>M14</f>
        <v>22580</v>
      </c>
      <c r="N13" s="676">
        <f t="shared" si="1"/>
        <v>114.61928934010153</v>
      </c>
    </row>
    <row r="14" spans="1:16" ht="12.95" customHeight="1">
      <c r="B14" s="10"/>
      <c r="C14" s="11"/>
      <c r="D14" s="11"/>
      <c r="E14" s="636">
        <v>612100</v>
      </c>
      <c r="F14" s="662"/>
      <c r="G14" s="13" t="s">
        <v>83</v>
      </c>
      <c r="H14" s="258">
        <f>18840+200+1800+570+60</f>
        <v>21470</v>
      </c>
      <c r="I14" s="938">
        <v>19700</v>
      </c>
      <c r="J14" s="569">
        <v>14444</v>
      </c>
      <c r="K14" s="258">
        <f>18610+200+2*70+1*12*220+1*9*110</f>
        <v>22580</v>
      </c>
      <c r="L14" s="258">
        <v>0</v>
      </c>
      <c r="M14" s="1062">
        <f>SUM(K14:L14)</f>
        <v>22580</v>
      </c>
      <c r="N14" s="677">
        <f t="shared" si="1"/>
        <v>114.61928934010153</v>
      </c>
    </row>
    <row r="15" spans="1:16" ht="12.95" customHeight="1">
      <c r="B15" s="10"/>
      <c r="C15" s="11"/>
      <c r="D15" s="11"/>
      <c r="E15" s="636"/>
      <c r="F15" s="662"/>
      <c r="G15" s="11"/>
      <c r="H15" s="79"/>
      <c r="I15" s="934"/>
      <c r="J15" s="565"/>
      <c r="K15" s="622"/>
      <c r="L15" s="622"/>
      <c r="M15" s="1064"/>
      <c r="N15" s="677" t="str">
        <f t="shared" si="1"/>
        <v/>
      </c>
    </row>
    <row r="16" spans="1:16" s="1" customFormat="1" ht="12.95" customHeight="1">
      <c r="A16" s="608"/>
      <c r="B16" s="12"/>
      <c r="C16" s="8"/>
      <c r="D16" s="8"/>
      <c r="E16" s="635">
        <v>613000</v>
      </c>
      <c r="F16" s="661"/>
      <c r="G16" s="8" t="s">
        <v>164</v>
      </c>
      <c r="H16" s="79">
        <f>SUM(H17:H26)</f>
        <v>39800</v>
      </c>
      <c r="I16" s="934">
        <v>43400</v>
      </c>
      <c r="J16" s="565">
        <v>28081</v>
      </c>
      <c r="K16" s="622">
        <f>SUM(K17:K26)</f>
        <v>39800</v>
      </c>
      <c r="L16" s="622">
        <f>SUM(L17:L26)</f>
        <v>0</v>
      </c>
      <c r="M16" s="1064">
        <f>SUM(M17:M26)</f>
        <v>39800</v>
      </c>
      <c r="N16" s="676">
        <f t="shared" si="1"/>
        <v>91.705069124423972</v>
      </c>
    </row>
    <row r="17" spans="1:15" ht="12.95" customHeight="1">
      <c r="B17" s="10"/>
      <c r="C17" s="11"/>
      <c r="D17" s="11"/>
      <c r="E17" s="636">
        <v>613100</v>
      </c>
      <c r="F17" s="662"/>
      <c r="G17" s="11" t="s">
        <v>84</v>
      </c>
      <c r="H17" s="88">
        <v>3500</v>
      </c>
      <c r="I17" s="935">
        <v>5000</v>
      </c>
      <c r="J17" s="566">
        <v>3434</v>
      </c>
      <c r="K17" s="984">
        <v>3500</v>
      </c>
      <c r="L17" s="984">
        <v>0</v>
      </c>
      <c r="M17" s="1062">
        <f t="shared" ref="M17:M26" si="2">SUM(K17:L17)</f>
        <v>3500</v>
      </c>
      <c r="N17" s="677">
        <f t="shared" si="1"/>
        <v>70</v>
      </c>
    </row>
    <row r="18" spans="1:15" ht="12.95" customHeight="1">
      <c r="B18" s="10"/>
      <c r="C18" s="11"/>
      <c r="D18" s="11"/>
      <c r="E18" s="636">
        <v>613200</v>
      </c>
      <c r="F18" s="662"/>
      <c r="G18" s="11" t="s">
        <v>85</v>
      </c>
      <c r="H18" s="88">
        <v>0</v>
      </c>
      <c r="I18" s="935">
        <v>0</v>
      </c>
      <c r="J18" s="566">
        <v>0</v>
      </c>
      <c r="K18" s="984">
        <v>0</v>
      </c>
      <c r="L18" s="984">
        <v>0</v>
      </c>
      <c r="M18" s="1062">
        <f t="shared" si="2"/>
        <v>0</v>
      </c>
      <c r="N18" s="677" t="str">
        <f t="shared" si="1"/>
        <v/>
      </c>
    </row>
    <row r="19" spans="1:15" ht="12.95" customHeight="1">
      <c r="B19" s="10"/>
      <c r="C19" s="11"/>
      <c r="D19" s="11"/>
      <c r="E19" s="636">
        <v>613300</v>
      </c>
      <c r="F19" s="662"/>
      <c r="G19" s="20" t="s">
        <v>206</v>
      </c>
      <c r="H19" s="88">
        <v>3300</v>
      </c>
      <c r="I19" s="935">
        <v>3300</v>
      </c>
      <c r="J19" s="566">
        <v>2520</v>
      </c>
      <c r="K19" s="984">
        <v>3300</v>
      </c>
      <c r="L19" s="984">
        <v>0</v>
      </c>
      <c r="M19" s="1062">
        <f t="shared" si="2"/>
        <v>3300</v>
      </c>
      <c r="N19" s="677">
        <f t="shared" si="1"/>
        <v>100</v>
      </c>
    </row>
    <row r="20" spans="1:15" ht="12.95" customHeight="1">
      <c r="B20" s="10"/>
      <c r="C20" s="11"/>
      <c r="D20" s="11"/>
      <c r="E20" s="636">
        <v>613400</v>
      </c>
      <c r="F20" s="662"/>
      <c r="G20" s="11" t="s">
        <v>165</v>
      </c>
      <c r="H20" s="88">
        <v>2500</v>
      </c>
      <c r="I20" s="935">
        <v>800</v>
      </c>
      <c r="J20" s="566">
        <v>310</v>
      </c>
      <c r="K20" s="984">
        <v>1500</v>
      </c>
      <c r="L20" s="984">
        <v>0</v>
      </c>
      <c r="M20" s="1062">
        <f t="shared" si="2"/>
        <v>1500</v>
      </c>
      <c r="N20" s="677">
        <f t="shared" si="1"/>
        <v>187.5</v>
      </c>
    </row>
    <row r="21" spans="1:15" ht="12.95" customHeight="1">
      <c r="B21" s="10"/>
      <c r="C21" s="11"/>
      <c r="D21" s="11"/>
      <c r="E21" s="636">
        <v>613500</v>
      </c>
      <c r="F21" s="662"/>
      <c r="G21" s="11" t="s">
        <v>86</v>
      </c>
      <c r="H21" s="88">
        <v>0</v>
      </c>
      <c r="I21" s="935">
        <v>0</v>
      </c>
      <c r="J21" s="566">
        <v>0</v>
      </c>
      <c r="K21" s="984">
        <v>0</v>
      </c>
      <c r="L21" s="984">
        <v>0</v>
      </c>
      <c r="M21" s="1062">
        <f t="shared" si="2"/>
        <v>0</v>
      </c>
      <c r="N21" s="677" t="str">
        <f t="shared" si="1"/>
        <v/>
      </c>
    </row>
    <row r="22" spans="1:15" ht="12.95" customHeight="1">
      <c r="B22" s="10"/>
      <c r="C22" s="11"/>
      <c r="D22" s="11"/>
      <c r="E22" s="636">
        <v>613600</v>
      </c>
      <c r="F22" s="662"/>
      <c r="G22" s="20" t="s">
        <v>207</v>
      </c>
      <c r="H22" s="88">
        <v>0</v>
      </c>
      <c r="I22" s="935">
        <v>0</v>
      </c>
      <c r="J22" s="566">
        <v>0</v>
      </c>
      <c r="K22" s="984">
        <v>0</v>
      </c>
      <c r="L22" s="984">
        <v>0</v>
      </c>
      <c r="M22" s="1062">
        <f t="shared" si="2"/>
        <v>0</v>
      </c>
      <c r="N22" s="677" t="str">
        <f t="shared" si="1"/>
        <v/>
      </c>
    </row>
    <row r="23" spans="1:15" ht="12.95" customHeight="1">
      <c r="B23" s="10"/>
      <c r="C23" s="11"/>
      <c r="D23" s="11"/>
      <c r="E23" s="636">
        <v>613700</v>
      </c>
      <c r="F23" s="662"/>
      <c r="G23" s="11" t="s">
        <v>87</v>
      </c>
      <c r="H23" s="88">
        <v>6500</v>
      </c>
      <c r="I23" s="935">
        <v>1300</v>
      </c>
      <c r="J23" s="566">
        <v>800</v>
      </c>
      <c r="K23" s="984">
        <v>2500</v>
      </c>
      <c r="L23" s="984">
        <v>0</v>
      </c>
      <c r="M23" s="1062">
        <f t="shared" si="2"/>
        <v>2500</v>
      </c>
      <c r="N23" s="677">
        <f t="shared" si="1"/>
        <v>192.30769230769232</v>
      </c>
    </row>
    <row r="24" spans="1:15" ht="12.95" customHeight="1">
      <c r="B24" s="10"/>
      <c r="C24" s="11"/>
      <c r="D24" s="11"/>
      <c r="E24" s="636">
        <v>613800</v>
      </c>
      <c r="F24" s="662"/>
      <c r="G24" s="11" t="s">
        <v>166</v>
      </c>
      <c r="H24" s="88">
        <v>0</v>
      </c>
      <c r="I24" s="935">
        <v>0</v>
      </c>
      <c r="J24" s="566">
        <v>0</v>
      </c>
      <c r="K24" s="984">
        <v>0</v>
      </c>
      <c r="L24" s="984">
        <v>0</v>
      </c>
      <c r="M24" s="1062">
        <f t="shared" si="2"/>
        <v>0</v>
      </c>
      <c r="N24" s="677" t="str">
        <f t="shared" si="1"/>
        <v/>
      </c>
    </row>
    <row r="25" spans="1:15" ht="12.95" customHeight="1">
      <c r="B25" s="10"/>
      <c r="C25" s="11"/>
      <c r="D25" s="11"/>
      <c r="E25" s="636">
        <v>613900</v>
      </c>
      <c r="F25" s="662"/>
      <c r="G25" s="11" t="s">
        <v>167</v>
      </c>
      <c r="H25" s="88">
        <v>24000</v>
      </c>
      <c r="I25" s="935">
        <v>33000</v>
      </c>
      <c r="J25" s="566">
        <v>21017</v>
      </c>
      <c r="K25" s="984">
        <v>29000</v>
      </c>
      <c r="L25" s="984">
        <v>0</v>
      </c>
      <c r="M25" s="1062">
        <f t="shared" si="2"/>
        <v>29000</v>
      </c>
      <c r="N25" s="677">
        <f t="shared" si="1"/>
        <v>87.878787878787875</v>
      </c>
      <c r="O25" s="78"/>
    </row>
    <row r="26" spans="1:15" ht="12.95" customHeight="1">
      <c r="B26" s="10"/>
      <c r="C26" s="11"/>
      <c r="D26" s="11"/>
      <c r="E26" s="636">
        <v>613900</v>
      </c>
      <c r="F26" s="662"/>
      <c r="G26" s="229" t="s">
        <v>548</v>
      </c>
      <c r="H26" s="88">
        <v>0</v>
      </c>
      <c r="I26" s="935">
        <v>0</v>
      </c>
      <c r="J26" s="566">
        <v>0</v>
      </c>
      <c r="K26" s="984">
        <v>0</v>
      </c>
      <c r="L26" s="984">
        <v>0</v>
      </c>
      <c r="M26" s="1062">
        <f t="shared" si="2"/>
        <v>0</v>
      </c>
      <c r="N26" s="677" t="str">
        <f t="shared" si="1"/>
        <v/>
      </c>
    </row>
    <row r="27" spans="1:15" ht="12.95" customHeight="1">
      <c r="B27" s="10"/>
      <c r="C27" s="11"/>
      <c r="D27" s="11"/>
      <c r="E27" s="636"/>
      <c r="F27" s="662"/>
      <c r="G27" s="11"/>
      <c r="H27" s="79"/>
      <c r="I27" s="934"/>
      <c r="J27" s="565"/>
      <c r="K27" s="622"/>
      <c r="L27" s="622"/>
      <c r="M27" s="1064"/>
      <c r="N27" s="677" t="str">
        <f t="shared" si="1"/>
        <v/>
      </c>
    </row>
    <row r="28" spans="1:15" s="1" customFormat="1" ht="12.95" customHeight="1">
      <c r="A28" s="608"/>
      <c r="B28" s="12"/>
      <c r="C28" s="8"/>
      <c r="D28" s="8"/>
      <c r="E28" s="635">
        <v>614000</v>
      </c>
      <c r="F28" s="661"/>
      <c r="G28" s="8" t="s">
        <v>208</v>
      </c>
      <c r="H28" s="79">
        <f t="shared" ref="H28:M28" si="3">H29</f>
        <v>1100000</v>
      </c>
      <c r="I28" s="934">
        <v>1100000</v>
      </c>
      <c r="J28" s="565">
        <v>715166</v>
      </c>
      <c r="K28" s="622">
        <f t="shared" si="3"/>
        <v>1100000</v>
      </c>
      <c r="L28" s="622">
        <f t="shared" si="3"/>
        <v>0</v>
      </c>
      <c r="M28" s="1064">
        <f t="shared" si="3"/>
        <v>1100000</v>
      </c>
      <c r="N28" s="676">
        <f t="shared" si="1"/>
        <v>100</v>
      </c>
    </row>
    <row r="29" spans="1:15" ht="12.95" customHeight="1">
      <c r="B29" s="10"/>
      <c r="C29" s="11"/>
      <c r="D29" s="11"/>
      <c r="E29" s="636">
        <v>614200</v>
      </c>
      <c r="F29" s="662" t="s">
        <v>736</v>
      </c>
      <c r="G29" s="23" t="s">
        <v>114</v>
      </c>
      <c r="H29" s="88">
        <v>1100000</v>
      </c>
      <c r="I29" s="935">
        <v>1100000</v>
      </c>
      <c r="J29" s="566">
        <v>715166</v>
      </c>
      <c r="K29" s="623">
        <v>1100000</v>
      </c>
      <c r="L29" s="623">
        <v>0</v>
      </c>
      <c r="M29" s="1062">
        <f>SUM(K29:L29)</f>
        <v>1100000</v>
      </c>
      <c r="N29" s="677">
        <f t="shared" si="1"/>
        <v>100</v>
      </c>
    </row>
    <row r="30" spans="1:15" ht="12.95" customHeight="1">
      <c r="B30" s="10"/>
      <c r="C30" s="11"/>
      <c r="D30" s="11"/>
      <c r="E30" s="636"/>
      <c r="F30" s="662"/>
      <c r="G30" s="11"/>
      <c r="H30" s="88"/>
      <c r="I30" s="935"/>
      <c r="J30" s="566"/>
      <c r="K30" s="623"/>
      <c r="L30" s="623"/>
      <c r="M30" s="1063"/>
      <c r="N30" s="677" t="str">
        <f t="shared" si="1"/>
        <v/>
      </c>
    </row>
    <row r="31" spans="1:15" s="1" customFormat="1" ht="12.95" customHeight="1">
      <c r="A31" s="608"/>
      <c r="B31" s="12"/>
      <c r="C31" s="8"/>
      <c r="D31" s="8"/>
      <c r="E31" s="635">
        <v>821000</v>
      </c>
      <c r="F31" s="661"/>
      <c r="G31" s="8" t="s">
        <v>90</v>
      </c>
      <c r="H31" s="79">
        <f>SUM(H32:H33)</f>
        <v>1000</v>
      </c>
      <c r="I31" s="934">
        <v>2000</v>
      </c>
      <c r="J31" s="565">
        <v>716</v>
      </c>
      <c r="K31" s="622">
        <f>SUM(K32:K33)</f>
        <v>3000</v>
      </c>
      <c r="L31" s="622">
        <f>SUM(L32:L33)</f>
        <v>0</v>
      </c>
      <c r="M31" s="1064">
        <f>SUM(M32:M33)</f>
        <v>3000</v>
      </c>
      <c r="N31" s="677">
        <f t="shared" si="1"/>
        <v>150</v>
      </c>
    </row>
    <row r="32" spans="1:15" ht="12.95" customHeight="1">
      <c r="B32" s="10"/>
      <c r="C32" s="11"/>
      <c r="D32" s="11"/>
      <c r="E32" s="636">
        <v>821200</v>
      </c>
      <c r="F32" s="662"/>
      <c r="G32" s="11" t="s">
        <v>91</v>
      </c>
      <c r="H32" s="88">
        <v>0</v>
      </c>
      <c r="I32" s="935">
        <v>0</v>
      </c>
      <c r="J32" s="566">
        <v>0</v>
      </c>
      <c r="K32" s="623">
        <v>0</v>
      </c>
      <c r="L32" s="623">
        <v>0</v>
      </c>
      <c r="M32" s="1062">
        <f t="shared" ref="M32:M33" si="4">SUM(K32:L32)</f>
        <v>0</v>
      </c>
      <c r="N32" s="677" t="str">
        <f t="shared" si="1"/>
        <v/>
      </c>
    </row>
    <row r="33" spans="1:14" ht="12.95" customHeight="1">
      <c r="B33" s="10"/>
      <c r="C33" s="11"/>
      <c r="D33" s="11"/>
      <c r="E33" s="636">
        <v>821300</v>
      </c>
      <c r="F33" s="662"/>
      <c r="G33" s="11" t="s">
        <v>92</v>
      </c>
      <c r="H33" s="88">
        <v>1000</v>
      </c>
      <c r="I33" s="935">
        <v>2000</v>
      </c>
      <c r="J33" s="566">
        <v>716</v>
      </c>
      <c r="K33" s="623">
        <v>3000</v>
      </c>
      <c r="L33" s="623">
        <v>0</v>
      </c>
      <c r="M33" s="1062">
        <f t="shared" si="4"/>
        <v>3000</v>
      </c>
      <c r="N33" s="677">
        <f t="shared" si="1"/>
        <v>150</v>
      </c>
    </row>
    <row r="34" spans="1:14" ht="12.95" customHeight="1">
      <c r="B34" s="10"/>
      <c r="C34" s="11"/>
      <c r="D34" s="11"/>
      <c r="E34" s="636"/>
      <c r="F34" s="662"/>
      <c r="G34" s="11"/>
      <c r="H34" s="88"/>
      <c r="I34" s="935"/>
      <c r="J34" s="566"/>
      <c r="K34" s="623"/>
      <c r="L34" s="623"/>
      <c r="M34" s="1063"/>
      <c r="N34" s="677" t="str">
        <f t="shared" si="1"/>
        <v/>
      </c>
    </row>
    <row r="35" spans="1:14" s="1" customFormat="1" ht="12.95" customHeight="1">
      <c r="A35" s="608"/>
      <c r="B35" s="12"/>
      <c r="C35" s="8"/>
      <c r="D35" s="8"/>
      <c r="E35" s="635"/>
      <c r="F35" s="661"/>
      <c r="G35" s="8" t="s">
        <v>93</v>
      </c>
      <c r="H35" s="15">
        <v>11</v>
      </c>
      <c r="I35" s="933">
        <v>10</v>
      </c>
      <c r="J35" s="564">
        <v>10</v>
      </c>
      <c r="K35" s="615">
        <v>12</v>
      </c>
      <c r="L35" s="615"/>
      <c r="M35" s="1064">
        <v>12</v>
      </c>
      <c r="N35" s="677"/>
    </row>
    <row r="36" spans="1:14" s="1" customFormat="1" ht="12.95" customHeight="1">
      <c r="A36" s="608"/>
      <c r="B36" s="12"/>
      <c r="C36" s="8"/>
      <c r="D36" s="8"/>
      <c r="E36" s="635"/>
      <c r="F36" s="661"/>
      <c r="G36" s="8" t="s">
        <v>113</v>
      </c>
      <c r="H36" s="15">
        <f>H8+H13+H16+H28+H31</f>
        <v>1409240</v>
      </c>
      <c r="I36" s="15">
        <f>I8+I13+I16+I28+I31</f>
        <v>1395200</v>
      </c>
      <c r="J36" s="15">
        <f t="shared" ref="J36" si="5">J8+J13+J16+J28+J31</f>
        <v>928554</v>
      </c>
      <c r="K36" s="615">
        <f>K8+K13+K16+K28+K31</f>
        <v>1428460</v>
      </c>
      <c r="L36" s="615">
        <f>L8+L13+L16+L28+L31</f>
        <v>0</v>
      </c>
      <c r="M36" s="1064">
        <f>M8+M13+M16+M28+M31</f>
        <v>1428460</v>
      </c>
      <c r="N36" s="676">
        <f t="shared" si="1"/>
        <v>102.3838876146789</v>
      </c>
    </row>
    <row r="37" spans="1:14" s="1" customFormat="1" ht="12.95" customHeight="1">
      <c r="A37" s="608"/>
      <c r="B37" s="12"/>
      <c r="C37" s="8"/>
      <c r="D37" s="8"/>
      <c r="E37" s="635"/>
      <c r="F37" s="661"/>
      <c r="G37" s="8" t="s">
        <v>94</v>
      </c>
      <c r="H37" s="15">
        <f>H36</f>
        <v>1409240</v>
      </c>
      <c r="I37" s="15">
        <f>I36</f>
        <v>1395200</v>
      </c>
      <c r="J37" s="15">
        <f t="shared" ref="J37" si="6">J36</f>
        <v>928554</v>
      </c>
      <c r="K37" s="615">
        <f t="shared" ref="K37:M38" si="7">K36</f>
        <v>1428460</v>
      </c>
      <c r="L37" s="615">
        <f t="shared" si="7"/>
        <v>0</v>
      </c>
      <c r="M37" s="1064">
        <f t="shared" si="7"/>
        <v>1428460</v>
      </c>
      <c r="N37" s="676">
        <f t="shared" si="1"/>
        <v>102.3838876146789</v>
      </c>
    </row>
    <row r="38" spans="1:14" s="1" customFormat="1" ht="12.95" customHeight="1">
      <c r="A38" s="608"/>
      <c r="B38" s="12"/>
      <c r="C38" s="8"/>
      <c r="D38" s="8"/>
      <c r="E38" s="635"/>
      <c r="F38" s="661"/>
      <c r="G38" s="8" t="s">
        <v>95</v>
      </c>
      <c r="H38" s="15">
        <f>H37</f>
        <v>1409240</v>
      </c>
      <c r="I38" s="15">
        <f>I37</f>
        <v>1395200</v>
      </c>
      <c r="J38" s="15">
        <f t="shared" ref="J38" si="8">J37</f>
        <v>928554</v>
      </c>
      <c r="K38" s="615">
        <f t="shared" si="7"/>
        <v>1428460</v>
      </c>
      <c r="L38" s="615">
        <f t="shared" si="7"/>
        <v>0</v>
      </c>
      <c r="M38" s="1064">
        <f t="shared" si="7"/>
        <v>1428460</v>
      </c>
      <c r="N38" s="676">
        <f t="shared" si="1"/>
        <v>102.3838876146789</v>
      </c>
    </row>
    <row r="39" spans="1:14" ht="12.95" customHeight="1" thickBot="1">
      <c r="B39" s="16"/>
      <c r="C39" s="17"/>
      <c r="D39" s="17"/>
      <c r="E39" s="637"/>
      <c r="F39" s="663"/>
      <c r="G39" s="17"/>
      <c r="H39" s="32"/>
      <c r="I39" s="32"/>
      <c r="J39" s="32"/>
      <c r="K39" s="32"/>
      <c r="L39" s="32"/>
      <c r="M39" s="1067"/>
      <c r="N39" s="679"/>
    </row>
    <row r="40" spans="1:14" ht="12.95" customHeight="1">
      <c r="E40" s="638"/>
      <c r="F40" s="664"/>
      <c r="H40" s="68"/>
      <c r="I40" s="68"/>
      <c r="J40" s="68"/>
      <c r="K40" s="68"/>
      <c r="L40" s="68"/>
      <c r="M40" s="1070"/>
    </row>
    <row r="41" spans="1:14" ht="12.95" customHeight="1">
      <c r="E41" s="638"/>
      <c r="F41" s="664"/>
      <c r="M41" s="1070"/>
    </row>
    <row r="42" spans="1:14" ht="12.95" customHeight="1">
      <c r="E42" s="638"/>
      <c r="F42" s="664"/>
      <c r="M42" s="1070"/>
    </row>
    <row r="43" spans="1:14" ht="12.95" customHeight="1">
      <c r="E43" s="638"/>
      <c r="F43" s="664"/>
      <c r="M43" s="1070"/>
    </row>
    <row r="44" spans="1:14" ht="12.95" customHeight="1">
      <c r="E44" s="638"/>
      <c r="F44" s="664"/>
      <c r="M44" s="1070"/>
    </row>
    <row r="45" spans="1:14" ht="12.95" customHeight="1">
      <c r="E45" s="638"/>
      <c r="F45" s="664"/>
      <c r="M45" s="1070"/>
    </row>
    <row r="46" spans="1:14" ht="12.95" customHeight="1">
      <c r="E46" s="638"/>
      <c r="F46" s="664"/>
      <c r="M46" s="1070"/>
    </row>
    <row r="47" spans="1:14" ht="12.95" customHeight="1">
      <c r="E47" s="638"/>
      <c r="F47" s="664"/>
      <c r="M47" s="1070"/>
    </row>
    <row r="48" spans="1:14" ht="12.95" customHeight="1">
      <c r="E48" s="638"/>
      <c r="F48" s="664"/>
      <c r="M48" s="1070"/>
    </row>
    <row r="49" spans="5:13" ht="12.95" customHeight="1">
      <c r="E49" s="638"/>
      <c r="F49" s="664"/>
      <c r="M49" s="1070"/>
    </row>
    <row r="50" spans="5:13" ht="12.95" customHeight="1">
      <c r="E50" s="638"/>
      <c r="F50" s="664"/>
      <c r="M50" s="1070"/>
    </row>
    <row r="51" spans="5:13" ht="12.95" customHeight="1">
      <c r="E51" s="638"/>
      <c r="F51" s="664"/>
      <c r="M51" s="1070"/>
    </row>
    <row r="52" spans="5:13" ht="12.95" customHeight="1">
      <c r="E52" s="638"/>
      <c r="F52" s="664"/>
      <c r="M52" s="1070"/>
    </row>
    <row r="53" spans="5:13" ht="12.95" customHeight="1">
      <c r="E53" s="638"/>
      <c r="F53" s="664"/>
      <c r="M53" s="1070"/>
    </row>
    <row r="54" spans="5:13" ht="12.95" customHeight="1">
      <c r="E54" s="638"/>
      <c r="F54" s="664"/>
      <c r="M54" s="1070"/>
    </row>
    <row r="55" spans="5:13" ht="12.95" customHeight="1">
      <c r="E55" s="638"/>
      <c r="F55" s="664"/>
      <c r="M55" s="1070"/>
    </row>
    <row r="56" spans="5:13" ht="12.95" customHeight="1">
      <c r="E56" s="638"/>
      <c r="F56" s="664"/>
      <c r="M56" s="1070"/>
    </row>
    <row r="57" spans="5:13" ht="12.95" customHeight="1">
      <c r="E57" s="638"/>
      <c r="F57" s="664"/>
      <c r="M57" s="1070"/>
    </row>
    <row r="58" spans="5:13" ht="12.95" customHeight="1">
      <c r="E58" s="638"/>
      <c r="F58" s="664"/>
      <c r="M58" s="1070"/>
    </row>
    <row r="59" spans="5:13" ht="12.95" customHeight="1">
      <c r="E59" s="638"/>
      <c r="F59" s="664"/>
      <c r="M59" s="1070"/>
    </row>
    <row r="60" spans="5:13" ht="17.100000000000001" customHeight="1">
      <c r="E60" s="638"/>
      <c r="F60" s="664"/>
      <c r="M60" s="1070"/>
    </row>
    <row r="61" spans="5:13" ht="14.25">
      <c r="E61" s="638"/>
      <c r="F61" s="664"/>
      <c r="M61" s="1070"/>
    </row>
    <row r="62" spans="5:13" ht="14.25">
      <c r="E62" s="638"/>
      <c r="F62" s="664"/>
      <c r="M62" s="1070"/>
    </row>
    <row r="63" spans="5:13" ht="14.25">
      <c r="E63" s="638"/>
      <c r="F63" s="664"/>
      <c r="M63" s="1070"/>
    </row>
    <row r="64" spans="5:13" ht="14.25">
      <c r="E64" s="638"/>
      <c r="F64" s="664"/>
      <c r="M64" s="1070"/>
    </row>
    <row r="65" spans="5:13" ht="14.25">
      <c r="E65" s="638"/>
      <c r="F65" s="664"/>
      <c r="M65" s="1070"/>
    </row>
    <row r="66" spans="5:13" ht="14.25">
      <c r="E66" s="638"/>
      <c r="F66" s="664"/>
      <c r="M66" s="1070"/>
    </row>
    <row r="67" spans="5:13" ht="14.25">
      <c r="E67" s="638"/>
      <c r="F67" s="664"/>
      <c r="M67" s="1070"/>
    </row>
    <row r="68" spans="5:13" ht="14.25">
      <c r="E68" s="638"/>
      <c r="F68" s="664"/>
      <c r="M68" s="1070"/>
    </row>
    <row r="69" spans="5:13" ht="14.25">
      <c r="E69" s="638"/>
      <c r="F69" s="664"/>
      <c r="M69" s="1070"/>
    </row>
    <row r="70" spans="5:13" ht="14.25">
      <c r="E70" s="638"/>
      <c r="F70" s="664"/>
      <c r="M70" s="1070"/>
    </row>
    <row r="71" spans="5:13" ht="14.25">
      <c r="E71" s="638"/>
      <c r="F71" s="664"/>
      <c r="M71" s="1070"/>
    </row>
    <row r="72" spans="5:13" ht="14.25">
      <c r="E72" s="638"/>
      <c r="F72" s="664"/>
      <c r="M72" s="1070"/>
    </row>
    <row r="73" spans="5:13" ht="14.25">
      <c r="E73" s="638"/>
      <c r="F73" s="664"/>
      <c r="M73" s="1070"/>
    </row>
    <row r="74" spans="5:13" ht="14.25">
      <c r="E74" s="638"/>
      <c r="F74" s="638"/>
      <c r="M74" s="1070"/>
    </row>
    <row r="75" spans="5:13" ht="14.25">
      <c r="E75" s="638"/>
      <c r="F75" s="638"/>
      <c r="M75" s="1070"/>
    </row>
    <row r="76" spans="5:13" ht="14.25">
      <c r="E76" s="638"/>
      <c r="F76" s="638"/>
      <c r="M76" s="1070"/>
    </row>
    <row r="77" spans="5:13" ht="14.25">
      <c r="E77" s="638"/>
      <c r="F77" s="638"/>
      <c r="M77" s="1070"/>
    </row>
    <row r="78" spans="5:13" ht="14.25">
      <c r="E78" s="638"/>
      <c r="F78" s="638"/>
      <c r="M78" s="1070"/>
    </row>
    <row r="79" spans="5:13" ht="14.25">
      <c r="E79" s="638"/>
      <c r="F79" s="638"/>
      <c r="M79" s="1070"/>
    </row>
    <row r="80" spans="5:13" ht="14.25">
      <c r="E80" s="638"/>
      <c r="F80" s="638"/>
      <c r="M80" s="1070"/>
    </row>
    <row r="81" spans="5:13" ht="14.25">
      <c r="E81" s="638"/>
      <c r="F81" s="638"/>
      <c r="M81" s="1070"/>
    </row>
    <row r="82" spans="5:13" ht="14.25">
      <c r="E82" s="638"/>
      <c r="F82" s="638"/>
      <c r="M82" s="1070"/>
    </row>
    <row r="83" spans="5:13" ht="14.25">
      <c r="E83" s="638"/>
      <c r="F83" s="638"/>
      <c r="M83" s="1070"/>
    </row>
    <row r="84" spans="5:13" ht="14.25">
      <c r="E84" s="638"/>
      <c r="F84" s="638"/>
      <c r="M84" s="1070"/>
    </row>
    <row r="85" spans="5:13" ht="14.25">
      <c r="E85" s="638"/>
      <c r="F85" s="638"/>
      <c r="M85" s="1070"/>
    </row>
    <row r="86" spans="5:13" ht="14.25">
      <c r="E86" s="638"/>
      <c r="F86" s="638"/>
      <c r="M86" s="1070"/>
    </row>
    <row r="87" spans="5:13" ht="14.25">
      <c r="E87" s="638"/>
      <c r="F87" s="638"/>
      <c r="M87" s="1070"/>
    </row>
    <row r="88" spans="5:13" ht="14.25">
      <c r="E88" s="638"/>
      <c r="F88" s="638"/>
      <c r="M88" s="1070"/>
    </row>
    <row r="89" spans="5:13" ht="14.25">
      <c r="E89" s="638"/>
      <c r="F89" s="638"/>
      <c r="M89" s="1070"/>
    </row>
    <row r="90" spans="5:13" ht="14.25">
      <c r="E90" s="638"/>
      <c r="F90" s="638"/>
      <c r="M90" s="1070"/>
    </row>
    <row r="91" spans="5:13">
      <c r="F91" s="638"/>
    </row>
    <row r="92" spans="5:13">
      <c r="F92" s="638"/>
    </row>
    <row r="93" spans="5:13">
      <c r="F93" s="638"/>
    </row>
    <row r="94" spans="5:13">
      <c r="F94" s="638"/>
    </row>
    <row r="95" spans="5:13">
      <c r="F95" s="638"/>
    </row>
    <row r="96" spans="5:13">
      <c r="F96" s="638"/>
    </row>
  </sheetData>
  <mergeCells count="13">
    <mergeCell ref="N4:N5"/>
    <mergeCell ref="G4:G5"/>
    <mergeCell ref="B2:H2"/>
    <mergeCell ref="G3:H3"/>
    <mergeCell ref="K4:M4"/>
    <mergeCell ref="B4:B5"/>
    <mergeCell ref="C4:C5"/>
    <mergeCell ref="D4:D5"/>
    <mergeCell ref="F4:F5"/>
    <mergeCell ref="E4:E5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/>
  <dimension ref="A1:P96"/>
  <sheetViews>
    <sheetView zoomScaleNormal="100" workbookViewId="0">
      <selection activeCell="Q14" sqref="Q14"/>
    </sheetView>
  </sheetViews>
  <sheetFormatPr defaultRowHeight="12.75"/>
  <cols>
    <col min="1" max="1" width="9.140625" style="611"/>
    <col min="2" max="2" width="4.7109375" style="9" customWidth="1"/>
    <col min="3" max="3" width="5.140625" style="9" customWidth="1"/>
    <col min="4" max="4" width="5" style="9" customWidth="1"/>
    <col min="5" max="5" width="8.7109375" style="18" customWidth="1"/>
    <col min="6" max="6" width="8.7109375" style="616" customWidth="1"/>
    <col min="7" max="7" width="50.7109375" style="9" customWidth="1"/>
    <col min="8" max="10" width="14.7109375" style="9" customWidth="1"/>
    <col min="11" max="12" width="14.7109375" style="611" customWidth="1"/>
    <col min="13" max="13" width="15.7109375" style="9" customWidth="1"/>
    <col min="14" max="14" width="7.7109375" style="680" customWidth="1"/>
    <col min="15" max="16384" width="9.140625" style="9"/>
  </cols>
  <sheetData>
    <row r="1" spans="1:16" ht="13.5" thickBot="1"/>
    <row r="2" spans="1:16" s="1052" customFormat="1" ht="20.100000000000001" customHeight="1" thickTop="1" thickBot="1">
      <c r="B2" s="1261" t="s">
        <v>151</v>
      </c>
      <c r="C2" s="1262"/>
      <c r="D2" s="1262"/>
      <c r="E2" s="1262"/>
      <c r="F2" s="1262"/>
      <c r="G2" s="1262"/>
      <c r="H2" s="1262"/>
      <c r="I2" s="1262"/>
      <c r="J2" s="1262"/>
      <c r="K2" s="1262"/>
      <c r="L2" s="1262"/>
      <c r="M2" s="1262"/>
      <c r="N2" s="1056"/>
    </row>
    <row r="3" spans="1:16" s="1" customFormat="1" ht="8.1" customHeight="1" thickTop="1" thickBot="1">
      <c r="A3" s="608"/>
      <c r="E3" s="2"/>
      <c r="F3" s="609"/>
      <c r="G3" s="1264"/>
      <c r="H3" s="1264"/>
      <c r="I3" s="306"/>
      <c r="J3" s="306"/>
      <c r="K3" s="119"/>
      <c r="L3" s="119"/>
      <c r="M3" s="119"/>
      <c r="N3" s="674"/>
    </row>
    <row r="4" spans="1:16" s="1" customFormat="1" ht="39" customHeight="1">
      <c r="A4" s="608"/>
      <c r="B4" s="1268" t="s">
        <v>78</v>
      </c>
      <c r="C4" s="1280" t="s">
        <v>79</v>
      </c>
      <c r="D4" s="1281" t="s">
        <v>110</v>
      </c>
      <c r="E4" s="1282" t="s">
        <v>615</v>
      </c>
      <c r="F4" s="1273" t="s">
        <v>695</v>
      </c>
      <c r="G4" s="1274" t="s">
        <v>80</v>
      </c>
      <c r="H4" s="1283" t="s">
        <v>614</v>
      </c>
      <c r="I4" s="1284" t="s">
        <v>747</v>
      </c>
      <c r="J4" s="1283" t="s">
        <v>667</v>
      </c>
      <c r="K4" s="1265" t="s">
        <v>682</v>
      </c>
      <c r="L4" s="1266"/>
      <c r="M4" s="1267"/>
      <c r="N4" s="1278" t="s">
        <v>756</v>
      </c>
    </row>
    <row r="5" spans="1:16" s="608" customFormat="1" ht="27" customHeight="1">
      <c r="B5" s="1269"/>
      <c r="C5" s="1271"/>
      <c r="D5" s="1271"/>
      <c r="E5" s="1275"/>
      <c r="F5" s="1271"/>
      <c r="G5" s="1275"/>
      <c r="H5" s="1275"/>
      <c r="I5" s="1275"/>
      <c r="J5" s="1275"/>
      <c r="K5" s="1048" t="s">
        <v>753</v>
      </c>
      <c r="L5" s="1048" t="s">
        <v>754</v>
      </c>
      <c r="M5" s="1059" t="s">
        <v>426</v>
      </c>
      <c r="N5" s="1279"/>
    </row>
    <row r="6" spans="1:16" s="2" customFormat="1" ht="12.95" customHeight="1">
      <c r="A6" s="609"/>
      <c r="B6" s="1181">
        <v>1</v>
      </c>
      <c r="C6" s="661">
        <v>2</v>
      </c>
      <c r="D6" s="661">
        <v>3</v>
      </c>
      <c r="E6" s="661">
        <v>4</v>
      </c>
      <c r="F6" s="661">
        <v>5</v>
      </c>
      <c r="G6" s="661">
        <v>6</v>
      </c>
      <c r="H6" s="661">
        <v>7</v>
      </c>
      <c r="I6" s="661">
        <v>8</v>
      </c>
      <c r="J6" s="661">
        <v>9</v>
      </c>
      <c r="K6" s="661">
        <v>10</v>
      </c>
      <c r="L6" s="661">
        <v>11</v>
      </c>
      <c r="M6" s="1201" t="s">
        <v>755</v>
      </c>
      <c r="N6" s="1183">
        <v>13</v>
      </c>
    </row>
    <row r="7" spans="1:16" s="2" customFormat="1" ht="12.95" customHeight="1">
      <c r="A7" s="609"/>
      <c r="B7" s="6" t="s">
        <v>150</v>
      </c>
      <c r="C7" s="7" t="s">
        <v>81</v>
      </c>
      <c r="D7" s="7" t="s">
        <v>82</v>
      </c>
      <c r="E7" s="5"/>
      <c r="F7" s="610"/>
      <c r="G7" s="5"/>
      <c r="H7" s="5"/>
      <c r="I7" s="5"/>
      <c r="J7" s="5"/>
      <c r="K7" s="610"/>
      <c r="L7" s="610"/>
      <c r="M7" s="1060"/>
      <c r="N7" s="675"/>
    </row>
    <row r="8" spans="1:16" s="1" customFormat="1" ht="12.95" customHeight="1">
      <c r="A8" s="608"/>
      <c r="B8" s="12"/>
      <c r="C8" s="8"/>
      <c r="D8" s="8"/>
      <c r="E8" s="635">
        <v>611000</v>
      </c>
      <c r="F8" s="661"/>
      <c r="G8" s="8" t="s">
        <v>163</v>
      </c>
      <c r="H8" s="256">
        <f>SUM(H9:H11)</f>
        <v>101960</v>
      </c>
      <c r="I8" s="944">
        <v>103790</v>
      </c>
      <c r="J8" s="575">
        <v>75080</v>
      </c>
      <c r="K8" s="256">
        <f>SUM(K9:K11)</f>
        <v>131350</v>
      </c>
      <c r="L8" s="256">
        <f>SUM(L9:L11)</f>
        <v>0</v>
      </c>
      <c r="M8" s="1061">
        <f>SUM(M9:M11)</f>
        <v>131350</v>
      </c>
      <c r="N8" s="676">
        <f>IF(I8=0,"",M8/I8*100)</f>
        <v>126.55361788226227</v>
      </c>
    </row>
    <row r="9" spans="1:16" ht="12.95" customHeight="1">
      <c r="B9" s="10"/>
      <c r="C9" s="11"/>
      <c r="D9" s="11"/>
      <c r="E9" s="636">
        <v>611100</v>
      </c>
      <c r="F9" s="662"/>
      <c r="G9" s="20" t="s">
        <v>204</v>
      </c>
      <c r="H9" s="255">
        <f>75500+500+3900+2390</f>
        <v>82290</v>
      </c>
      <c r="I9" s="943">
        <v>82910</v>
      </c>
      <c r="J9" s="574">
        <v>61309</v>
      </c>
      <c r="K9" s="255">
        <f>83400+830+2*500+1*12*1980</f>
        <v>108990</v>
      </c>
      <c r="L9" s="255">
        <v>0</v>
      </c>
      <c r="M9" s="1062">
        <f>SUM(K9:L9)</f>
        <v>108990</v>
      </c>
      <c r="N9" s="677">
        <f>IF(I9=0,"",M9/I9*100)</f>
        <v>131.45579544083947</v>
      </c>
    </row>
    <row r="10" spans="1:16" ht="12.95" customHeight="1">
      <c r="B10" s="10"/>
      <c r="C10" s="11"/>
      <c r="D10" s="11"/>
      <c r="E10" s="636">
        <v>611200</v>
      </c>
      <c r="F10" s="662"/>
      <c r="G10" s="11" t="s">
        <v>205</v>
      </c>
      <c r="H10" s="255">
        <f>17700+500+1470</f>
        <v>19670</v>
      </c>
      <c r="I10" s="943">
        <v>20880</v>
      </c>
      <c r="J10" s="574">
        <v>13771</v>
      </c>
      <c r="K10" s="255">
        <f>17650+200+2*900+11*21*10+400</f>
        <v>22360</v>
      </c>
      <c r="L10" s="255">
        <v>0</v>
      </c>
      <c r="M10" s="1062">
        <f t="shared" ref="M10:M11" si="0">SUM(K10:L10)</f>
        <v>22360</v>
      </c>
      <c r="N10" s="677">
        <f t="shared" ref="N10:N35" si="1">IF(I10=0,"",M10/I10*100)</f>
        <v>107.08812260536398</v>
      </c>
    </row>
    <row r="11" spans="1:16" ht="12.95" customHeight="1">
      <c r="B11" s="10"/>
      <c r="C11" s="11"/>
      <c r="D11" s="11"/>
      <c r="E11" s="636">
        <v>611200</v>
      </c>
      <c r="F11" s="662"/>
      <c r="G11" s="229" t="s">
        <v>547</v>
      </c>
      <c r="H11" s="255">
        <v>0</v>
      </c>
      <c r="I11" s="943">
        <v>0</v>
      </c>
      <c r="J11" s="574">
        <v>0</v>
      </c>
      <c r="K11" s="255">
        <v>0</v>
      </c>
      <c r="L11" s="255">
        <v>0</v>
      </c>
      <c r="M11" s="1062">
        <f t="shared" si="0"/>
        <v>0</v>
      </c>
      <c r="N11" s="677" t="str">
        <f t="shared" si="1"/>
        <v/>
      </c>
      <c r="P11" s="63"/>
    </row>
    <row r="12" spans="1:16" ht="12.95" customHeight="1">
      <c r="B12" s="10"/>
      <c r="C12" s="11"/>
      <c r="D12" s="11"/>
      <c r="E12" s="636"/>
      <c r="F12" s="662"/>
      <c r="G12" s="11"/>
      <c r="H12" s="255"/>
      <c r="I12" s="943"/>
      <c r="J12" s="574"/>
      <c r="K12" s="255"/>
      <c r="L12" s="255"/>
      <c r="M12" s="1062"/>
      <c r="N12" s="677" t="str">
        <f t="shared" si="1"/>
        <v/>
      </c>
    </row>
    <row r="13" spans="1:16" ht="12.95" customHeight="1">
      <c r="B13" s="12"/>
      <c r="C13" s="8"/>
      <c r="D13" s="8"/>
      <c r="E13" s="635">
        <v>612000</v>
      </c>
      <c r="F13" s="661"/>
      <c r="G13" s="8" t="s">
        <v>162</v>
      </c>
      <c r="H13" s="256">
        <f>H14</f>
        <v>8800</v>
      </c>
      <c r="I13" s="944">
        <v>9240</v>
      </c>
      <c r="J13" s="575">
        <v>6671</v>
      </c>
      <c r="K13" s="256">
        <f>K14</f>
        <v>11780</v>
      </c>
      <c r="L13" s="256">
        <f>L14</f>
        <v>0</v>
      </c>
      <c r="M13" s="1061">
        <f>M14</f>
        <v>11780</v>
      </c>
      <c r="N13" s="676">
        <f t="shared" si="1"/>
        <v>127.48917748917749</v>
      </c>
    </row>
    <row r="14" spans="1:16" s="1" customFormat="1" ht="12.95" customHeight="1">
      <c r="A14" s="608"/>
      <c r="B14" s="10"/>
      <c r="C14" s="11"/>
      <c r="D14" s="11"/>
      <c r="E14" s="636">
        <v>612100</v>
      </c>
      <c r="F14" s="662"/>
      <c r="G14" s="13" t="s">
        <v>83</v>
      </c>
      <c r="H14" s="255">
        <f>8040+100+400+260</f>
        <v>8800</v>
      </c>
      <c r="I14" s="943">
        <v>9240</v>
      </c>
      <c r="J14" s="574">
        <v>6671</v>
      </c>
      <c r="K14" s="255">
        <f>8900+100+2*70+1*12*220</f>
        <v>11780</v>
      </c>
      <c r="L14" s="255">
        <v>0</v>
      </c>
      <c r="M14" s="1062">
        <f>SUM(K14:L14)</f>
        <v>11780</v>
      </c>
      <c r="N14" s="677">
        <f t="shared" si="1"/>
        <v>127.48917748917749</v>
      </c>
    </row>
    <row r="15" spans="1:16" ht="12.95" customHeight="1">
      <c r="B15" s="10"/>
      <c r="C15" s="11"/>
      <c r="D15" s="11"/>
      <c r="E15" s="636"/>
      <c r="F15" s="662"/>
      <c r="G15" s="11"/>
      <c r="H15" s="30"/>
      <c r="I15" s="939"/>
      <c r="J15" s="570"/>
      <c r="K15" s="593"/>
      <c r="L15" s="593"/>
      <c r="M15" s="1063"/>
      <c r="N15" s="677" t="str">
        <f t="shared" si="1"/>
        <v/>
      </c>
    </row>
    <row r="16" spans="1:16" ht="12.95" customHeight="1">
      <c r="B16" s="12"/>
      <c r="C16" s="8"/>
      <c r="D16" s="8"/>
      <c r="E16" s="635">
        <v>613000</v>
      </c>
      <c r="F16" s="661"/>
      <c r="G16" s="8" t="s">
        <v>164</v>
      </c>
      <c r="H16" s="35">
        <f>SUM(H17:H26)</f>
        <v>18800</v>
      </c>
      <c r="I16" s="940">
        <v>15600</v>
      </c>
      <c r="J16" s="571">
        <v>6312</v>
      </c>
      <c r="K16" s="620">
        <f>SUM(K17:K26)</f>
        <v>15700</v>
      </c>
      <c r="L16" s="620">
        <f>SUM(L17:L26)</f>
        <v>0</v>
      </c>
      <c r="M16" s="1064">
        <f>SUM(M17:M26)</f>
        <v>15700</v>
      </c>
      <c r="N16" s="676">
        <f t="shared" si="1"/>
        <v>100.64102564102564</v>
      </c>
    </row>
    <row r="17" spans="1:14" s="1" customFormat="1" ht="12.95" customHeight="1">
      <c r="A17" s="608"/>
      <c r="B17" s="10"/>
      <c r="C17" s="11"/>
      <c r="D17" s="11"/>
      <c r="E17" s="636">
        <v>613100</v>
      </c>
      <c r="F17" s="662"/>
      <c r="G17" s="11" t="s">
        <v>84</v>
      </c>
      <c r="H17" s="57">
        <v>400</v>
      </c>
      <c r="I17" s="941">
        <v>300</v>
      </c>
      <c r="J17" s="572">
        <v>0</v>
      </c>
      <c r="K17" s="982">
        <v>400</v>
      </c>
      <c r="L17" s="982">
        <v>0</v>
      </c>
      <c r="M17" s="1062">
        <f t="shared" ref="M17:M26" si="2">SUM(K17:L17)</f>
        <v>400</v>
      </c>
      <c r="N17" s="677">
        <f t="shared" si="1"/>
        <v>133.33333333333331</v>
      </c>
    </row>
    <row r="18" spans="1:14" ht="12.95" customHeight="1">
      <c r="B18" s="10"/>
      <c r="C18" s="11"/>
      <c r="D18" s="11"/>
      <c r="E18" s="636">
        <v>613200</v>
      </c>
      <c r="F18" s="662"/>
      <c r="G18" s="11" t="s">
        <v>85</v>
      </c>
      <c r="H18" s="57">
        <v>5500</v>
      </c>
      <c r="I18" s="941">
        <v>5500</v>
      </c>
      <c r="J18" s="572">
        <v>822</v>
      </c>
      <c r="K18" s="982">
        <v>5500</v>
      </c>
      <c r="L18" s="982">
        <v>0</v>
      </c>
      <c r="M18" s="1062">
        <f t="shared" si="2"/>
        <v>5500</v>
      </c>
      <c r="N18" s="677">
        <f t="shared" si="1"/>
        <v>100</v>
      </c>
    </row>
    <row r="19" spans="1:14" ht="12.95" customHeight="1">
      <c r="B19" s="10"/>
      <c r="C19" s="11"/>
      <c r="D19" s="11"/>
      <c r="E19" s="636">
        <v>613300</v>
      </c>
      <c r="F19" s="662"/>
      <c r="G19" s="20" t="s">
        <v>206</v>
      </c>
      <c r="H19" s="57">
        <v>3600</v>
      </c>
      <c r="I19" s="941">
        <v>3000</v>
      </c>
      <c r="J19" s="572">
        <v>2009</v>
      </c>
      <c r="K19" s="982">
        <v>3000</v>
      </c>
      <c r="L19" s="982">
        <v>0</v>
      </c>
      <c r="M19" s="1062">
        <f t="shared" si="2"/>
        <v>3000</v>
      </c>
      <c r="N19" s="677">
        <f t="shared" si="1"/>
        <v>100</v>
      </c>
    </row>
    <row r="20" spans="1:14" ht="12.95" customHeight="1">
      <c r="B20" s="10"/>
      <c r="C20" s="11"/>
      <c r="D20" s="11"/>
      <c r="E20" s="636">
        <v>613400</v>
      </c>
      <c r="F20" s="662"/>
      <c r="G20" s="11" t="s">
        <v>165</v>
      </c>
      <c r="H20" s="57">
        <v>1500</v>
      </c>
      <c r="I20" s="941">
        <v>1000</v>
      </c>
      <c r="J20" s="572">
        <v>539</v>
      </c>
      <c r="K20" s="982">
        <v>1000</v>
      </c>
      <c r="L20" s="982">
        <v>0</v>
      </c>
      <c r="M20" s="1062">
        <f t="shared" si="2"/>
        <v>1000</v>
      </c>
      <c r="N20" s="677">
        <f t="shared" si="1"/>
        <v>100</v>
      </c>
    </row>
    <row r="21" spans="1:14" ht="12.95" customHeight="1">
      <c r="B21" s="10"/>
      <c r="C21" s="11"/>
      <c r="D21" s="11"/>
      <c r="E21" s="636">
        <v>613500</v>
      </c>
      <c r="F21" s="662"/>
      <c r="G21" s="11" t="s">
        <v>86</v>
      </c>
      <c r="H21" s="57">
        <v>0</v>
      </c>
      <c r="I21" s="941">
        <v>0</v>
      </c>
      <c r="J21" s="572">
        <v>0</v>
      </c>
      <c r="K21" s="982">
        <v>0</v>
      </c>
      <c r="L21" s="982">
        <v>0</v>
      </c>
      <c r="M21" s="1062">
        <f t="shared" si="2"/>
        <v>0</v>
      </c>
      <c r="N21" s="677" t="str">
        <f t="shared" si="1"/>
        <v/>
      </c>
    </row>
    <row r="22" spans="1:14" ht="12.95" customHeight="1">
      <c r="B22" s="10"/>
      <c r="C22" s="11"/>
      <c r="D22" s="11"/>
      <c r="E22" s="636">
        <v>613600</v>
      </c>
      <c r="F22" s="662"/>
      <c r="G22" s="20" t="s">
        <v>207</v>
      </c>
      <c r="H22" s="57">
        <v>0</v>
      </c>
      <c r="I22" s="941">
        <v>0</v>
      </c>
      <c r="J22" s="572">
        <v>0</v>
      </c>
      <c r="K22" s="982">
        <v>0</v>
      </c>
      <c r="L22" s="982">
        <v>0</v>
      </c>
      <c r="M22" s="1062">
        <f t="shared" si="2"/>
        <v>0</v>
      </c>
      <c r="N22" s="677" t="str">
        <f t="shared" si="1"/>
        <v/>
      </c>
    </row>
    <row r="23" spans="1:14" ht="12.95" customHeight="1">
      <c r="B23" s="10"/>
      <c r="C23" s="11"/>
      <c r="D23" s="11"/>
      <c r="E23" s="636">
        <v>613700</v>
      </c>
      <c r="F23" s="662"/>
      <c r="G23" s="11" t="s">
        <v>87</v>
      </c>
      <c r="H23" s="57">
        <v>500</v>
      </c>
      <c r="I23" s="941">
        <v>500</v>
      </c>
      <c r="J23" s="572">
        <v>236</v>
      </c>
      <c r="K23" s="982">
        <v>500</v>
      </c>
      <c r="L23" s="982">
        <v>0</v>
      </c>
      <c r="M23" s="1062">
        <f t="shared" si="2"/>
        <v>500</v>
      </c>
      <c r="N23" s="677">
        <f t="shared" si="1"/>
        <v>100</v>
      </c>
    </row>
    <row r="24" spans="1:14" ht="12.95" customHeight="1">
      <c r="B24" s="10"/>
      <c r="C24" s="11"/>
      <c r="D24" s="11"/>
      <c r="E24" s="636">
        <v>613800</v>
      </c>
      <c r="F24" s="662"/>
      <c r="G24" s="11" t="s">
        <v>166</v>
      </c>
      <c r="H24" s="57">
        <v>0</v>
      </c>
      <c r="I24" s="941">
        <v>0</v>
      </c>
      <c r="J24" s="572">
        <v>0</v>
      </c>
      <c r="K24" s="982">
        <v>0</v>
      </c>
      <c r="L24" s="982">
        <v>0</v>
      </c>
      <c r="M24" s="1062">
        <f t="shared" si="2"/>
        <v>0</v>
      </c>
      <c r="N24" s="677" t="str">
        <f t="shared" si="1"/>
        <v/>
      </c>
    </row>
    <row r="25" spans="1:14" ht="12.95" customHeight="1">
      <c r="B25" s="10"/>
      <c r="C25" s="11"/>
      <c r="D25" s="11"/>
      <c r="E25" s="636">
        <v>613900</v>
      </c>
      <c r="F25" s="662"/>
      <c r="G25" s="11" t="s">
        <v>167</v>
      </c>
      <c r="H25" s="57">
        <v>7300</v>
      </c>
      <c r="I25" s="941">
        <v>5300</v>
      </c>
      <c r="J25" s="572">
        <v>2706</v>
      </c>
      <c r="K25" s="982">
        <v>5300</v>
      </c>
      <c r="L25" s="982">
        <v>0</v>
      </c>
      <c r="M25" s="1062">
        <f t="shared" si="2"/>
        <v>5300</v>
      </c>
      <c r="N25" s="677">
        <f t="shared" si="1"/>
        <v>100</v>
      </c>
    </row>
    <row r="26" spans="1:14" ht="12.95" customHeight="1">
      <c r="B26" s="10"/>
      <c r="C26" s="11"/>
      <c r="D26" s="11"/>
      <c r="E26" s="636">
        <v>613900</v>
      </c>
      <c r="F26" s="662"/>
      <c r="G26" s="229" t="s">
        <v>548</v>
      </c>
      <c r="H26" s="57">
        <v>0</v>
      </c>
      <c r="I26" s="941">
        <v>0</v>
      </c>
      <c r="J26" s="572">
        <v>0</v>
      </c>
      <c r="K26" s="982">
        <v>0</v>
      </c>
      <c r="L26" s="982">
        <v>0</v>
      </c>
      <c r="M26" s="1062">
        <f t="shared" si="2"/>
        <v>0</v>
      </c>
      <c r="N26" s="677" t="str">
        <f t="shared" si="1"/>
        <v/>
      </c>
    </row>
    <row r="27" spans="1:14" ht="12.95" customHeight="1">
      <c r="B27" s="12"/>
      <c r="C27" s="8"/>
      <c r="D27" s="8"/>
      <c r="E27" s="635"/>
      <c r="F27" s="661"/>
      <c r="G27" s="8"/>
      <c r="H27" s="79"/>
      <c r="I27" s="942"/>
      <c r="J27" s="573"/>
      <c r="K27" s="622"/>
      <c r="L27" s="622"/>
      <c r="M27" s="1064"/>
      <c r="N27" s="677" t="str">
        <f t="shared" si="1"/>
        <v/>
      </c>
    </row>
    <row r="28" spans="1:14" ht="12.95" customHeight="1">
      <c r="B28" s="12"/>
      <c r="C28" s="8"/>
      <c r="D28" s="8"/>
      <c r="E28" s="635">
        <v>821000</v>
      </c>
      <c r="F28" s="661"/>
      <c r="G28" s="8" t="s">
        <v>90</v>
      </c>
      <c r="H28" s="79">
        <f>SUM(H29:H30)</f>
        <v>0</v>
      </c>
      <c r="I28" s="942">
        <v>0</v>
      </c>
      <c r="J28" s="573">
        <v>0</v>
      </c>
      <c r="K28" s="622">
        <f>SUM(K29:K30)</f>
        <v>0</v>
      </c>
      <c r="L28" s="622">
        <f>SUM(L29:L30)</f>
        <v>0</v>
      </c>
      <c r="M28" s="1064">
        <f>SUM(M29:M30)</f>
        <v>0</v>
      </c>
      <c r="N28" s="676" t="str">
        <f t="shared" si="1"/>
        <v/>
      </c>
    </row>
    <row r="29" spans="1:14" s="1" customFormat="1" ht="12.95" customHeight="1">
      <c r="A29" s="608"/>
      <c r="B29" s="10"/>
      <c r="C29" s="11"/>
      <c r="D29" s="11"/>
      <c r="E29" s="636">
        <v>821200</v>
      </c>
      <c r="F29" s="662"/>
      <c r="G29" s="11" t="s">
        <v>91</v>
      </c>
      <c r="H29" s="57">
        <v>0</v>
      </c>
      <c r="I29" s="941">
        <v>0</v>
      </c>
      <c r="J29" s="572">
        <v>0</v>
      </c>
      <c r="K29" s="595">
        <v>0</v>
      </c>
      <c r="L29" s="595">
        <v>0</v>
      </c>
      <c r="M29" s="1062">
        <f t="shared" ref="M29:M30" si="3">SUM(K29:L29)</f>
        <v>0</v>
      </c>
      <c r="N29" s="677" t="str">
        <f t="shared" si="1"/>
        <v/>
      </c>
    </row>
    <row r="30" spans="1:14" ht="12.95" customHeight="1">
      <c r="B30" s="10"/>
      <c r="C30" s="11"/>
      <c r="D30" s="11"/>
      <c r="E30" s="636">
        <v>821300</v>
      </c>
      <c r="F30" s="662"/>
      <c r="G30" s="11" t="s">
        <v>92</v>
      </c>
      <c r="H30" s="57">
        <v>0</v>
      </c>
      <c r="I30" s="941">
        <v>0</v>
      </c>
      <c r="J30" s="572">
        <v>0</v>
      </c>
      <c r="K30" s="595">
        <v>0</v>
      </c>
      <c r="L30" s="595">
        <v>0</v>
      </c>
      <c r="M30" s="1062">
        <f t="shared" si="3"/>
        <v>0</v>
      </c>
      <c r="N30" s="677" t="str">
        <f t="shared" si="1"/>
        <v/>
      </c>
    </row>
    <row r="31" spans="1:14" ht="12.95" customHeight="1">
      <c r="B31" s="10"/>
      <c r="C31" s="11"/>
      <c r="D31" s="11"/>
      <c r="E31" s="636"/>
      <c r="F31" s="662"/>
      <c r="G31" s="11"/>
      <c r="H31" s="57"/>
      <c r="I31" s="941"/>
      <c r="J31" s="572"/>
      <c r="K31" s="595"/>
      <c r="L31" s="595"/>
      <c r="M31" s="1063"/>
      <c r="N31" s="677" t="str">
        <f t="shared" si="1"/>
        <v/>
      </c>
    </row>
    <row r="32" spans="1:14" ht="12.95" customHeight="1">
      <c r="B32" s="12"/>
      <c r="C32" s="8"/>
      <c r="D32" s="8"/>
      <c r="E32" s="635"/>
      <c r="F32" s="661"/>
      <c r="G32" s="8" t="s">
        <v>93</v>
      </c>
      <c r="H32" s="79">
        <v>4</v>
      </c>
      <c r="I32" s="942">
        <v>4</v>
      </c>
      <c r="J32" s="573">
        <v>4</v>
      </c>
      <c r="K32" s="622">
        <v>5</v>
      </c>
      <c r="L32" s="622"/>
      <c r="M32" s="1064">
        <v>5</v>
      </c>
      <c r="N32" s="677"/>
    </row>
    <row r="33" spans="1:14" s="1" customFormat="1" ht="12.95" customHeight="1">
      <c r="A33" s="608"/>
      <c r="B33" s="12"/>
      <c r="C33" s="8"/>
      <c r="D33" s="8"/>
      <c r="E33" s="635"/>
      <c r="F33" s="661"/>
      <c r="G33" s="8" t="s">
        <v>113</v>
      </c>
      <c r="H33" s="15">
        <f>H8+H13+H16+H28</f>
        <v>129560</v>
      </c>
      <c r="I33" s="15">
        <f>I8+I13+I16+I28</f>
        <v>128630</v>
      </c>
      <c r="J33" s="15">
        <f t="shared" ref="J33" si="4">J8+J13+J16+J28</f>
        <v>88063</v>
      </c>
      <c r="K33" s="615">
        <f>K8+K13+K16+K28</f>
        <v>158830</v>
      </c>
      <c r="L33" s="615">
        <f>L8+L13+L16+L28</f>
        <v>0</v>
      </c>
      <c r="M33" s="1064">
        <f>M8+M13+M16+M28</f>
        <v>158830</v>
      </c>
      <c r="N33" s="676">
        <f t="shared" si="1"/>
        <v>123.47819326751146</v>
      </c>
    </row>
    <row r="34" spans="1:14" s="1" customFormat="1" ht="12.95" customHeight="1">
      <c r="A34" s="608"/>
      <c r="B34" s="12"/>
      <c r="C34" s="8"/>
      <c r="D34" s="8"/>
      <c r="E34" s="635"/>
      <c r="F34" s="661"/>
      <c r="G34" s="8" t="s">
        <v>94</v>
      </c>
      <c r="H34" s="15">
        <f>H33</f>
        <v>129560</v>
      </c>
      <c r="I34" s="15">
        <f>I33</f>
        <v>128630</v>
      </c>
      <c r="J34" s="15">
        <f t="shared" ref="J34" si="5">J33</f>
        <v>88063</v>
      </c>
      <c r="K34" s="615">
        <f t="shared" ref="K34:M35" si="6">K33</f>
        <v>158830</v>
      </c>
      <c r="L34" s="615">
        <f t="shared" si="6"/>
        <v>0</v>
      </c>
      <c r="M34" s="1064">
        <f t="shared" si="6"/>
        <v>158830</v>
      </c>
      <c r="N34" s="676">
        <f>IF(I34=0,"",M34/I34*100)</f>
        <v>123.47819326751146</v>
      </c>
    </row>
    <row r="35" spans="1:14" s="1" customFormat="1" ht="12.95" customHeight="1">
      <c r="A35" s="608"/>
      <c r="B35" s="12"/>
      <c r="C35" s="8"/>
      <c r="D35" s="8"/>
      <c r="E35" s="635"/>
      <c r="F35" s="661"/>
      <c r="G35" s="8" t="s">
        <v>95</v>
      </c>
      <c r="H35" s="15">
        <f>H34</f>
        <v>129560</v>
      </c>
      <c r="I35" s="15">
        <f>I34</f>
        <v>128630</v>
      </c>
      <c r="J35" s="15">
        <f t="shared" ref="J35" si="7">J34</f>
        <v>88063</v>
      </c>
      <c r="K35" s="615">
        <f t="shared" si="6"/>
        <v>158830</v>
      </c>
      <c r="L35" s="615">
        <f t="shared" si="6"/>
        <v>0</v>
      </c>
      <c r="M35" s="1064">
        <f t="shared" si="6"/>
        <v>158830</v>
      </c>
      <c r="N35" s="676">
        <f t="shared" si="1"/>
        <v>123.47819326751146</v>
      </c>
    </row>
    <row r="36" spans="1:14" s="1" customFormat="1" ht="12.95" customHeight="1" thickBot="1">
      <c r="A36" s="608"/>
      <c r="B36" s="16"/>
      <c r="C36" s="17"/>
      <c r="D36" s="17"/>
      <c r="E36" s="637"/>
      <c r="F36" s="663"/>
      <c r="G36" s="17"/>
      <c r="H36" s="32"/>
      <c r="I36" s="32"/>
      <c r="J36" s="32"/>
      <c r="K36" s="32"/>
      <c r="L36" s="32"/>
      <c r="M36" s="1067"/>
      <c r="N36" s="679"/>
    </row>
    <row r="37" spans="1:14" ht="12.95" customHeight="1">
      <c r="E37" s="638"/>
      <c r="F37" s="664"/>
      <c r="M37" s="1068"/>
    </row>
    <row r="38" spans="1:14" ht="12.95" customHeight="1">
      <c r="B38" s="56"/>
      <c r="E38" s="638"/>
      <c r="F38" s="664"/>
      <c r="M38" s="1068"/>
    </row>
    <row r="39" spans="1:14" ht="12.95" customHeight="1">
      <c r="B39" s="56"/>
      <c r="E39" s="638"/>
      <c r="F39" s="664"/>
      <c r="M39" s="1068"/>
    </row>
    <row r="40" spans="1:14" ht="12.95" customHeight="1">
      <c r="B40" s="56"/>
      <c r="E40" s="638"/>
      <c r="F40" s="664"/>
      <c r="M40" s="1068"/>
    </row>
    <row r="41" spans="1:14" ht="12.95" customHeight="1">
      <c r="B41" s="56"/>
      <c r="E41" s="638"/>
      <c r="F41" s="664"/>
      <c r="M41" s="1068"/>
    </row>
    <row r="42" spans="1:14" ht="12.95" customHeight="1">
      <c r="E42" s="638"/>
      <c r="F42" s="664"/>
      <c r="M42" s="1068"/>
    </row>
    <row r="43" spans="1:14" ht="12.95" customHeight="1">
      <c r="E43" s="638"/>
      <c r="F43" s="664"/>
      <c r="M43" s="1068"/>
    </row>
    <row r="44" spans="1:14" ht="12.95" customHeight="1">
      <c r="E44" s="638"/>
      <c r="F44" s="664"/>
      <c r="M44" s="1068"/>
    </row>
    <row r="45" spans="1:14" ht="12.95" customHeight="1">
      <c r="E45" s="638"/>
      <c r="F45" s="664"/>
      <c r="M45" s="1068"/>
    </row>
    <row r="46" spans="1:14" ht="12.95" customHeight="1">
      <c r="E46" s="638"/>
      <c r="F46" s="664"/>
      <c r="M46" s="1068"/>
    </row>
    <row r="47" spans="1:14" ht="12.95" customHeight="1">
      <c r="E47" s="638"/>
      <c r="F47" s="664"/>
      <c r="M47" s="1068"/>
    </row>
    <row r="48" spans="1:14" ht="12.95" customHeight="1">
      <c r="E48" s="638"/>
      <c r="F48" s="664"/>
      <c r="M48" s="1068"/>
    </row>
    <row r="49" spans="5:13" ht="12.95" customHeight="1">
      <c r="E49" s="638"/>
      <c r="F49" s="664"/>
      <c r="M49" s="1068"/>
    </row>
    <row r="50" spans="5:13" ht="12.95" customHeight="1">
      <c r="E50" s="638"/>
      <c r="F50" s="664"/>
      <c r="M50" s="1068"/>
    </row>
    <row r="51" spans="5:13" ht="12.95" customHeight="1">
      <c r="E51" s="638"/>
      <c r="F51" s="664"/>
      <c r="M51" s="1068"/>
    </row>
    <row r="52" spans="5:13" ht="12.95" customHeight="1">
      <c r="E52" s="638"/>
      <c r="F52" s="664"/>
      <c r="M52" s="1068"/>
    </row>
    <row r="53" spans="5:13" ht="12.95" customHeight="1">
      <c r="E53" s="638"/>
      <c r="F53" s="664"/>
      <c r="M53" s="1068"/>
    </row>
    <row r="54" spans="5:13" ht="12.95" customHeight="1">
      <c r="E54" s="638"/>
      <c r="F54" s="664"/>
      <c r="M54" s="1068"/>
    </row>
    <row r="55" spans="5:13" ht="12.95" customHeight="1">
      <c r="E55" s="638"/>
      <c r="F55" s="664"/>
      <c r="M55" s="1068"/>
    </row>
    <row r="56" spans="5:13" ht="12.95" customHeight="1">
      <c r="E56" s="638"/>
      <c r="F56" s="664"/>
      <c r="M56" s="1068"/>
    </row>
    <row r="57" spans="5:13" ht="12.95" customHeight="1">
      <c r="E57" s="638"/>
      <c r="F57" s="664"/>
      <c r="M57" s="1068"/>
    </row>
    <row r="58" spans="5:13" ht="12.95" customHeight="1">
      <c r="E58" s="638"/>
      <c r="F58" s="664"/>
      <c r="M58" s="1068"/>
    </row>
    <row r="59" spans="5:13" ht="12.95" customHeight="1">
      <c r="E59" s="638"/>
      <c r="F59" s="664"/>
      <c r="M59" s="1068"/>
    </row>
    <row r="60" spans="5:13" ht="17.100000000000001" customHeight="1">
      <c r="E60" s="638"/>
      <c r="F60" s="664"/>
      <c r="M60" s="1068"/>
    </row>
    <row r="61" spans="5:13" ht="14.25">
      <c r="E61" s="638"/>
      <c r="F61" s="664"/>
      <c r="M61" s="1068"/>
    </row>
    <row r="62" spans="5:13" ht="14.25">
      <c r="E62" s="638"/>
      <c r="F62" s="664"/>
      <c r="M62" s="1068"/>
    </row>
    <row r="63" spans="5:13" ht="14.25">
      <c r="E63" s="638"/>
      <c r="F63" s="664"/>
      <c r="M63" s="1068"/>
    </row>
    <row r="64" spans="5:13" ht="14.25">
      <c r="E64" s="638"/>
      <c r="F64" s="664"/>
      <c r="M64" s="1068"/>
    </row>
    <row r="65" spans="5:13" ht="14.25">
      <c r="E65" s="638"/>
      <c r="F65" s="664"/>
      <c r="M65" s="1068"/>
    </row>
    <row r="66" spans="5:13" ht="14.25">
      <c r="E66" s="638"/>
      <c r="F66" s="664"/>
      <c r="M66" s="1068"/>
    </row>
    <row r="67" spans="5:13" ht="14.25">
      <c r="E67" s="638"/>
      <c r="F67" s="664"/>
      <c r="M67" s="1068"/>
    </row>
    <row r="68" spans="5:13" ht="14.25">
      <c r="E68" s="638"/>
      <c r="F68" s="664"/>
      <c r="M68" s="1068"/>
    </row>
    <row r="69" spans="5:13" ht="14.25">
      <c r="E69" s="638"/>
      <c r="F69" s="664"/>
      <c r="M69" s="1068"/>
    </row>
    <row r="70" spans="5:13" ht="14.25">
      <c r="E70" s="638"/>
      <c r="F70" s="664"/>
      <c r="M70" s="1068"/>
    </row>
    <row r="71" spans="5:13" ht="14.25">
      <c r="E71" s="638"/>
      <c r="F71" s="664"/>
      <c r="M71" s="1068"/>
    </row>
    <row r="72" spans="5:13" ht="14.25">
      <c r="E72" s="638"/>
      <c r="F72" s="664"/>
      <c r="M72" s="1068"/>
    </row>
    <row r="73" spans="5:13" ht="14.25">
      <c r="E73" s="638"/>
      <c r="F73" s="664"/>
      <c r="M73" s="1068"/>
    </row>
    <row r="74" spans="5:13" ht="14.25">
      <c r="E74" s="638"/>
      <c r="F74" s="638"/>
      <c r="M74" s="1068"/>
    </row>
    <row r="75" spans="5:13" ht="14.25">
      <c r="E75" s="638"/>
      <c r="F75" s="638"/>
      <c r="M75" s="1068"/>
    </row>
    <row r="76" spans="5:13" ht="14.25">
      <c r="E76" s="638"/>
      <c r="F76" s="638"/>
      <c r="M76" s="1068"/>
    </row>
    <row r="77" spans="5:13" ht="14.25">
      <c r="E77" s="638"/>
      <c r="F77" s="638"/>
      <c r="M77" s="1068"/>
    </row>
    <row r="78" spans="5:13" ht="14.25">
      <c r="E78" s="638"/>
      <c r="F78" s="638"/>
      <c r="M78" s="1068"/>
    </row>
    <row r="79" spans="5:13" ht="14.25">
      <c r="E79" s="638"/>
      <c r="F79" s="638"/>
      <c r="M79" s="1068"/>
    </row>
    <row r="80" spans="5:13" ht="14.25">
      <c r="E80" s="638"/>
      <c r="F80" s="638"/>
      <c r="M80" s="1068"/>
    </row>
    <row r="81" spans="5:13" ht="14.25">
      <c r="E81" s="638"/>
      <c r="F81" s="638"/>
      <c r="M81" s="1068"/>
    </row>
    <row r="82" spans="5:13" ht="14.25">
      <c r="E82" s="638"/>
      <c r="F82" s="638"/>
      <c r="M82" s="1068"/>
    </row>
    <row r="83" spans="5:13" ht="14.25">
      <c r="E83" s="638"/>
      <c r="F83" s="638"/>
      <c r="M83" s="1068"/>
    </row>
    <row r="84" spans="5:13" ht="14.25">
      <c r="E84" s="638"/>
      <c r="F84" s="638"/>
      <c r="M84" s="1068"/>
    </row>
    <row r="85" spans="5:13" ht="14.25">
      <c r="E85" s="638"/>
      <c r="F85" s="638"/>
      <c r="M85" s="1068"/>
    </row>
    <row r="86" spans="5:13" ht="14.25">
      <c r="E86" s="638"/>
      <c r="F86" s="638"/>
      <c r="M86" s="1068"/>
    </row>
    <row r="87" spans="5:13" ht="14.25">
      <c r="E87" s="638"/>
      <c r="F87" s="638"/>
      <c r="M87" s="1068"/>
    </row>
    <row r="88" spans="5:13" ht="14.25">
      <c r="E88" s="638"/>
      <c r="F88" s="638"/>
      <c r="M88" s="1068"/>
    </row>
    <row r="89" spans="5:13" ht="14.25">
      <c r="E89" s="638"/>
      <c r="F89" s="638"/>
      <c r="M89" s="1068"/>
    </row>
    <row r="90" spans="5:13" ht="14.25">
      <c r="E90" s="638"/>
      <c r="F90" s="638"/>
      <c r="M90" s="1068"/>
    </row>
    <row r="91" spans="5:13">
      <c r="F91" s="638"/>
    </row>
    <row r="92" spans="5:13">
      <c r="F92" s="638"/>
    </row>
    <row r="93" spans="5:13">
      <c r="F93" s="638"/>
    </row>
    <row r="94" spans="5:13">
      <c r="F94" s="638"/>
    </row>
    <row r="95" spans="5:13">
      <c r="F95" s="638"/>
    </row>
    <row r="96" spans="5:13">
      <c r="F96" s="638"/>
    </row>
  </sheetData>
  <mergeCells count="13">
    <mergeCell ref="N4:N5"/>
    <mergeCell ref="G4:G5"/>
    <mergeCell ref="B2:M2"/>
    <mergeCell ref="G3:H3"/>
    <mergeCell ref="K4:M4"/>
    <mergeCell ref="B4:B5"/>
    <mergeCell ref="C4:C5"/>
    <mergeCell ref="D4:D5"/>
    <mergeCell ref="F4:F5"/>
    <mergeCell ref="E4:E5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/>
  <dimension ref="A1:P96"/>
  <sheetViews>
    <sheetView zoomScaleNormal="100" workbookViewId="0">
      <selection activeCell="Q14" sqref="Q14"/>
    </sheetView>
  </sheetViews>
  <sheetFormatPr defaultRowHeight="12.75"/>
  <cols>
    <col min="1" max="1" width="9.140625" style="611"/>
    <col min="2" max="2" width="4.7109375" style="9" customWidth="1"/>
    <col min="3" max="3" width="5.140625" style="9" customWidth="1"/>
    <col min="4" max="4" width="5" style="9" customWidth="1"/>
    <col min="5" max="5" width="8.7109375" style="18" customWidth="1"/>
    <col min="6" max="6" width="8.7109375" style="616" customWidth="1"/>
    <col min="7" max="7" width="50.7109375" style="9" customWidth="1"/>
    <col min="8" max="10" width="14.7109375" style="9" customWidth="1"/>
    <col min="11" max="12" width="14.7109375" style="611" customWidth="1"/>
    <col min="13" max="13" width="15.7109375" style="9" customWidth="1"/>
    <col min="14" max="14" width="7.7109375" style="680" customWidth="1"/>
    <col min="15" max="16384" width="9.140625" style="9"/>
  </cols>
  <sheetData>
    <row r="1" spans="1:16" ht="13.5" thickBot="1"/>
    <row r="2" spans="1:16" s="1052" customFormat="1" ht="20.100000000000001" customHeight="1" thickTop="1" thickBot="1">
      <c r="B2" s="1261" t="s">
        <v>152</v>
      </c>
      <c r="C2" s="1262"/>
      <c r="D2" s="1262"/>
      <c r="E2" s="1262"/>
      <c r="F2" s="1262"/>
      <c r="G2" s="1262"/>
      <c r="H2" s="1262"/>
      <c r="I2" s="1262"/>
      <c r="J2" s="1262"/>
      <c r="K2" s="1262"/>
      <c r="L2" s="1262"/>
      <c r="M2" s="1262"/>
      <c r="N2" s="1056"/>
    </row>
    <row r="3" spans="1:16" s="1" customFormat="1" ht="8.1" customHeight="1" thickTop="1" thickBot="1">
      <c r="A3" s="608"/>
      <c r="E3" s="2"/>
      <c r="F3" s="609"/>
      <c r="G3" s="1264"/>
      <c r="H3" s="1264"/>
      <c r="I3" s="306"/>
      <c r="J3" s="306"/>
      <c r="K3" s="119"/>
      <c r="L3" s="119"/>
      <c r="M3" s="119"/>
      <c r="N3" s="674"/>
    </row>
    <row r="4" spans="1:16" s="1" customFormat="1" ht="39" customHeight="1">
      <c r="A4" s="608"/>
      <c r="B4" s="1268" t="s">
        <v>78</v>
      </c>
      <c r="C4" s="1280" t="s">
        <v>79</v>
      </c>
      <c r="D4" s="1281" t="s">
        <v>110</v>
      </c>
      <c r="E4" s="1282" t="s">
        <v>615</v>
      </c>
      <c r="F4" s="1273" t="s">
        <v>695</v>
      </c>
      <c r="G4" s="1274" t="s">
        <v>80</v>
      </c>
      <c r="H4" s="1283" t="s">
        <v>614</v>
      </c>
      <c r="I4" s="1284" t="s">
        <v>747</v>
      </c>
      <c r="J4" s="1283" t="s">
        <v>667</v>
      </c>
      <c r="K4" s="1265" t="s">
        <v>682</v>
      </c>
      <c r="L4" s="1266"/>
      <c r="M4" s="1267"/>
      <c r="N4" s="1278" t="s">
        <v>756</v>
      </c>
    </row>
    <row r="5" spans="1:16" s="608" customFormat="1" ht="27" customHeight="1">
      <c r="B5" s="1269"/>
      <c r="C5" s="1271"/>
      <c r="D5" s="1271"/>
      <c r="E5" s="1275"/>
      <c r="F5" s="1271"/>
      <c r="G5" s="1275"/>
      <c r="H5" s="1275"/>
      <c r="I5" s="1275"/>
      <c r="J5" s="1275"/>
      <c r="K5" s="1048" t="s">
        <v>753</v>
      </c>
      <c r="L5" s="1048" t="s">
        <v>754</v>
      </c>
      <c r="M5" s="1059" t="s">
        <v>426</v>
      </c>
      <c r="N5" s="1279"/>
    </row>
    <row r="6" spans="1:16" s="2" customFormat="1" ht="12.95" customHeight="1">
      <c r="A6" s="609"/>
      <c r="B6" s="1181">
        <v>1</v>
      </c>
      <c r="C6" s="661">
        <v>2</v>
      </c>
      <c r="D6" s="661">
        <v>3</v>
      </c>
      <c r="E6" s="661">
        <v>4</v>
      </c>
      <c r="F6" s="661">
        <v>5</v>
      </c>
      <c r="G6" s="661">
        <v>6</v>
      </c>
      <c r="H6" s="661">
        <v>7</v>
      </c>
      <c r="I6" s="661">
        <v>8</v>
      </c>
      <c r="J6" s="661">
        <v>9</v>
      </c>
      <c r="K6" s="661">
        <v>10</v>
      </c>
      <c r="L6" s="661">
        <v>11</v>
      </c>
      <c r="M6" s="1201" t="s">
        <v>755</v>
      </c>
      <c r="N6" s="1183">
        <v>13</v>
      </c>
    </row>
    <row r="7" spans="1:16" s="2" customFormat="1" ht="12.95" customHeight="1">
      <c r="A7" s="609"/>
      <c r="B7" s="6" t="s">
        <v>153</v>
      </c>
      <c r="C7" s="7" t="s">
        <v>81</v>
      </c>
      <c r="D7" s="7" t="s">
        <v>82</v>
      </c>
      <c r="E7" s="5"/>
      <c r="F7" s="610"/>
      <c r="G7" s="5"/>
      <c r="H7" s="5"/>
      <c r="I7" s="5"/>
      <c r="J7" s="5"/>
      <c r="K7" s="610"/>
      <c r="L7" s="610"/>
      <c r="M7" s="1060"/>
      <c r="N7" s="675"/>
    </row>
    <row r="8" spans="1:16" s="1" customFormat="1" ht="12.95" customHeight="1">
      <c r="A8" s="608"/>
      <c r="B8" s="12"/>
      <c r="C8" s="8"/>
      <c r="D8" s="8"/>
      <c r="E8" s="635">
        <v>611000</v>
      </c>
      <c r="F8" s="661"/>
      <c r="G8" s="8" t="s">
        <v>163</v>
      </c>
      <c r="H8" s="256">
        <f>SUM(H9:H12)</f>
        <v>221790</v>
      </c>
      <c r="I8" s="952">
        <v>230540</v>
      </c>
      <c r="J8" s="583">
        <v>168060</v>
      </c>
      <c r="K8" s="256">
        <f>SUM(K9:K12)</f>
        <v>235800</v>
      </c>
      <c r="L8" s="256">
        <f>SUM(L9:L12)</f>
        <v>0</v>
      </c>
      <c r="M8" s="1061">
        <f>SUM(M9:M12)</f>
        <v>235800</v>
      </c>
      <c r="N8" s="676">
        <f>IF(I8=0,"",M8/I8*100)</f>
        <v>102.28159972239091</v>
      </c>
    </row>
    <row r="9" spans="1:16" ht="12.95" customHeight="1">
      <c r="B9" s="10"/>
      <c r="C9" s="11"/>
      <c r="D9" s="11"/>
      <c r="E9" s="636">
        <v>611100</v>
      </c>
      <c r="F9" s="662"/>
      <c r="G9" s="20" t="s">
        <v>204</v>
      </c>
      <c r="H9" s="255">
        <f>161970+1000+10900+4860+330</f>
        <v>179060</v>
      </c>
      <c r="I9" s="951">
        <v>183700</v>
      </c>
      <c r="J9" s="582">
        <v>135998</v>
      </c>
      <c r="K9" s="255">
        <f>186300+1400+4*500</f>
        <v>189700</v>
      </c>
      <c r="L9" s="255">
        <v>0</v>
      </c>
      <c r="M9" s="1062">
        <f>SUM(K9:L9)</f>
        <v>189700</v>
      </c>
      <c r="N9" s="677">
        <f>IF(I9=0,"",M9/I9*100)</f>
        <v>103.26619488296136</v>
      </c>
    </row>
    <row r="10" spans="1:16" ht="12.95" customHeight="1">
      <c r="B10" s="10"/>
      <c r="C10" s="11"/>
      <c r="D10" s="11"/>
      <c r="E10" s="636">
        <v>611200</v>
      </c>
      <c r="F10" s="662"/>
      <c r="G10" s="11" t="s">
        <v>205</v>
      </c>
      <c r="H10" s="255">
        <f>38130+1000+3600</f>
        <v>42730</v>
      </c>
      <c r="I10" s="951">
        <v>46840</v>
      </c>
      <c r="J10" s="582">
        <v>32062</v>
      </c>
      <c r="K10" s="255">
        <f>41800+700+4*900</f>
        <v>46100</v>
      </c>
      <c r="L10" s="255">
        <v>0</v>
      </c>
      <c r="M10" s="1062">
        <f t="shared" ref="M10:M11" si="0">SUM(K10:L10)</f>
        <v>46100</v>
      </c>
      <c r="N10" s="677">
        <f t="shared" ref="N10:N39" si="1">IF(I10=0,"",M10/I10*100)</f>
        <v>98.42015371477369</v>
      </c>
    </row>
    <row r="11" spans="1:16" ht="12.95" customHeight="1">
      <c r="B11" s="10"/>
      <c r="C11" s="11"/>
      <c r="D11" s="11"/>
      <c r="E11" s="636">
        <v>611200</v>
      </c>
      <c r="F11" s="662"/>
      <c r="G11" s="229" t="s">
        <v>547</v>
      </c>
      <c r="H11" s="255">
        <v>0</v>
      </c>
      <c r="I11" s="951">
        <v>0</v>
      </c>
      <c r="J11" s="582">
        <v>0</v>
      </c>
      <c r="K11" s="255">
        <v>0</v>
      </c>
      <c r="L11" s="255">
        <v>0</v>
      </c>
      <c r="M11" s="1062">
        <f t="shared" si="0"/>
        <v>0</v>
      </c>
      <c r="N11" s="677" t="str">
        <f t="shared" si="1"/>
        <v/>
      </c>
      <c r="P11" s="63"/>
    </row>
    <row r="12" spans="1:16" ht="12.95" customHeight="1">
      <c r="B12" s="10"/>
      <c r="C12" s="11"/>
      <c r="D12" s="11"/>
      <c r="E12" s="636"/>
      <c r="F12" s="662"/>
      <c r="G12" s="20"/>
      <c r="H12" s="255"/>
      <c r="I12" s="951"/>
      <c r="J12" s="582"/>
      <c r="K12" s="255"/>
      <c r="L12" s="255"/>
      <c r="M12" s="1062"/>
      <c r="N12" s="677" t="str">
        <f t="shared" si="1"/>
        <v/>
      </c>
    </row>
    <row r="13" spans="1:16" s="1" customFormat="1" ht="12.95" customHeight="1">
      <c r="A13" s="608"/>
      <c r="B13" s="12"/>
      <c r="C13" s="8"/>
      <c r="D13" s="8"/>
      <c r="E13" s="635">
        <v>612000</v>
      </c>
      <c r="F13" s="661"/>
      <c r="G13" s="8" t="s">
        <v>162</v>
      </c>
      <c r="H13" s="256">
        <f>H14</f>
        <v>19350</v>
      </c>
      <c r="I13" s="952">
        <v>19800</v>
      </c>
      <c r="J13" s="583">
        <v>14537</v>
      </c>
      <c r="K13" s="256">
        <f>K14</f>
        <v>20390</v>
      </c>
      <c r="L13" s="256">
        <f>L14</f>
        <v>0</v>
      </c>
      <c r="M13" s="1061">
        <f>M14</f>
        <v>20390</v>
      </c>
      <c r="N13" s="676">
        <f t="shared" si="1"/>
        <v>102.97979797979797</v>
      </c>
    </row>
    <row r="14" spans="1:16" ht="12.95" customHeight="1">
      <c r="B14" s="10"/>
      <c r="C14" s="11"/>
      <c r="D14" s="11"/>
      <c r="E14" s="636">
        <v>612100</v>
      </c>
      <c r="F14" s="662"/>
      <c r="G14" s="13" t="s">
        <v>83</v>
      </c>
      <c r="H14" s="255">
        <f>17380+200+1200+530+40</f>
        <v>19350</v>
      </c>
      <c r="I14" s="951">
        <v>19800</v>
      </c>
      <c r="J14" s="582">
        <v>14537</v>
      </c>
      <c r="K14" s="255">
        <f>19930+180+4*70</f>
        <v>20390</v>
      </c>
      <c r="L14" s="255">
        <v>0</v>
      </c>
      <c r="M14" s="1062">
        <f>SUM(K14:L14)</f>
        <v>20390</v>
      </c>
      <c r="N14" s="677">
        <f t="shared" si="1"/>
        <v>102.97979797979797</v>
      </c>
    </row>
    <row r="15" spans="1:16" ht="12.95" customHeight="1">
      <c r="B15" s="10"/>
      <c r="C15" s="11"/>
      <c r="D15" s="11"/>
      <c r="E15" s="636"/>
      <c r="F15" s="662"/>
      <c r="G15" s="11"/>
      <c r="H15" s="35"/>
      <c r="I15" s="947"/>
      <c r="J15" s="578"/>
      <c r="K15" s="620"/>
      <c r="L15" s="620"/>
      <c r="M15" s="1064"/>
      <c r="N15" s="677" t="str">
        <f t="shared" si="1"/>
        <v/>
      </c>
    </row>
    <row r="16" spans="1:16" s="1" customFormat="1" ht="12.95" customHeight="1">
      <c r="A16" s="608"/>
      <c r="B16" s="12"/>
      <c r="C16" s="8"/>
      <c r="D16" s="8"/>
      <c r="E16" s="635">
        <v>613000</v>
      </c>
      <c r="F16" s="661"/>
      <c r="G16" s="8" t="s">
        <v>164</v>
      </c>
      <c r="H16" s="35">
        <f>SUM(H17:H26)</f>
        <v>54100</v>
      </c>
      <c r="I16" s="947">
        <v>46000</v>
      </c>
      <c r="J16" s="578">
        <v>29471</v>
      </c>
      <c r="K16" s="620">
        <f>SUM(K17:K26)</f>
        <v>49900</v>
      </c>
      <c r="L16" s="620">
        <f>SUM(L17:L26)</f>
        <v>0</v>
      </c>
      <c r="M16" s="1064">
        <f>SUM(M17:M26)</f>
        <v>49900</v>
      </c>
      <c r="N16" s="676">
        <f t="shared" si="1"/>
        <v>108.47826086956522</v>
      </c>
    </row>
    <row r="17" spans="1:16" ht="12.95" customHeight="1">
      <c r="B17" s="10"/>
      <c r="C17" s="11"/>
      <c r="D17" s="11"/>
      <c r="E17" s="636">
        <v>613100</v>
      </c>
      <c r="F17" s="662"/>
      <c r="G17" s="11" t="s">
        <v>84</v>
      </c>
      <c r="H17" s="30">
        <v>1500</v>
      </c>
      <c r="I17" s="946">
        <v>1500</v>
      </c>
      <c r="J17" s="577">
        <v>1047</v>
      </c>
      <c r="K17" s="962">
        <v>1500</v>
      </c>
      <c r="L17" s="962">
        <v>0</v>
      </c>
      <c r="M17" s="1062">
        <f t="shared" ref="M17:M26" si="2">SUM(K17:L17)</f>
        <v>1500</v>
      </c>
      <c r="N17" s="677">
        <f t="shared" si="1"/>
        <v>100</v>
      </c>
    </row>
    <row r="18" spans="1:16" ht="12.95" customHeight="1">
      <c r="B18" s="10"/>
      <c r="C18" s="11"/>
      <c r="D18" s="11"/>
      <c r="E18" s="636">
        <v>613200</v>
      </c>
      <c r="F18" s="662"/>
      <c r="G18" s="11" t="s">
        <v>85</v>
      </c>
      <c r="H18" s="30">
        <v>8500</v>
      </c>
      <c r="I18" s="946">
        <v>8500</v>
      </c>
      <c r="J18" s="577">
        <v>6102</v>
      </c>
      <c r="K18" s="962">
        <v>8500</v>
      </c>
      <c r="L18" s="962">
        <v>0</v>
      </c>
      <c r="M18" s="1062">
        <f t="shared" si="2"/>
        <v>8500</v>
      </c>
      <c r="N18" s="677">
        <f t="shared" si="1"/>
        <v>100</v>
      </c>
    </row>
    <row r="19" spans="1:16" ht="12.95" customHeight="1">
      <c r="B19" s="10"/>
      <c r="C19" s="11"/>
      <c r="D19" s="11"/>
      <c r="E19" s="636">
        <v>613300</v>
      </c>
      <c r="F19" s="662"/>
      <c r="G19" s="20" t="s">
        <v>206</v>
      </c>
      <c r="H19" s="57">
        <v>3500</v>
      </c>
      <c r="I19" s="948">
        <v>4200</v>
      </c>
      <c r="J19" s="579">
        <v>3334</v>
      </c>
      <c r="K19" s="982">
        <v>4500</v>
      </c>
      <c r="L19" s="982">
        <v>0</v>
      </c>
      <c r="M19" s="1062">
        <f t="shared" si="2"/>
        <v>4500</v>
      </c>
      <c r="N19" s="677">
        <f t="shared" si="1"/>
        <v>107.14285714285714</v>
      </c>
    </row>
    <row r="20" spans="1:16" ht="12.95" customHeight="1">
      <c r="B20" s="10"/>
      <c r="C20" s="11"/>
      <c r="D20" s="11"/>
      <c r="E20" s="636">
        <v>613400</v>
      </c>
      <c r="F20" s="662"/>
      <c r="G20" s="11" t="s">
        <v>165</v>
      </c>
      <c r="H20" s="57">
        <v>1200</v>
      </c>
      <c r="I20" s="948">
        <v>1000</v>
      </c>
      <c r="J20" s="579">
        <v>504</v>
      </c>
      <c r="K20" s="982">
        <v>1000</v>
      </c>
      <c r="L20" s="982">
        <v>0</v>
      </c>
      <c r="M20" s="1062">
        <f t="shared" si="2"/>
        <v>1000</v>
      </c>
      <c r="N20" s="677">
        <f t="shared" si="1"/>
        <v>100</v>
      </c>
    </row>
    <row r="21" spans="1:16" ht="12.95" customHeight="1">
      <c r="B21" s="10"/>
      <c r="C21" s="11"/>
      <c r="D21" s="11"/>
      <c r="E21" s="636">
        <v>613500</v>
      </c>
      <c r="F21" s="662"/>
      <c r="G21" s="11" t="s">
        <v>86</v>
      </c>
      <c r="H21" s="57">
        <v>1000</v>
      </c>
      <c r="I21" s="948">
        <v>1000</v>
      </c>
      <c r="J21" s="579">
        <v>591</v>
      </c>
      <c r="K21" s="982">
        <v>1000</v>
      </c>
      <c r="L21" s="982">
        <v>0</v>
      </c>
      <c r="M21" s="1062">
        <f t="shared" si="2"/>
        <v>1000</v>
      </c>
      <c r="N21" s="677">
        <f t="shared" si="1"/>
        <v>100</v>
      </c>
    </row>
    <row r="22" spans="1:16" ht="12.95" customHeight="1">
      <c r="B22" s="10"/>
      <c r="C22" s="11"/>
      <c r="D22" s="11"/>
      <c r="E22" s="636">
        <v>613600</v>
      </c>
      <c r="F22" s="662"/>
      <c r="G22" s="20" t="s">
        <v>207</v>
      </c>
      <c r="H22" s="57">
        <v>0</v>
      </c>
      <c r="I22" s="948">
        <v>0</v>
      </c>
      <c r="J22" s="579">
        <v>0</v>
      </c>
      <c r="K22" s="982">
        <v>0</v>
      </c>
      <c r="L22" s="982">
        <v>0</v>
      </c>
      <c r="M22" s="1062">
        <f t="shared" si="2"/>
        <v>0</v>
      </c>
      <c r="N22" s="677" t="str">
        <f t="shared" si="1"/>
        <v/>
      </c>
    </row>
    <row r="23" spans="1:16" ht="12.95" customHeight="1">
      <c r="B23" s="10"/>
      <c r="C23" s="11"/>
      <c r="D23" s="11"/>
      <c r="E23" s="636">
        <v>613700</v>
      </c>
      <c r="F23" s="662"/>
      <c r="G23" s="11" t="s">
        <v>87</v>
      </c>
      <c r="H23" s="57">
        <v>3000</v>
      </c>
      <c r="I23" s="948">
        <v>3000</v>
      </c>
      <c r="J23" s="579">
        <v>1916</v>
      </c>
      <c r="K23" s="982">
        <v>4000</v>
      </c>
      <c r="L23" s="982">
        <v>0</v>
      </c>
      <c r="M23" s="1062">
        <f t="shared" si="2"/>
        <v>4000</v>
      </c>
      <c r="N23" s="677">
        <f t="shared" si="1"/>
        <v>133.33333333333331</v>
      </c>
    </row>
    <row r="24" spans="1:16" ht="12.95" customHeight="1">
      <c r="B24" s="10"/>
      <c r="C24" s="11"/>
      <c r="D24" s="11"/>
      <c r="E24" s="636">
        <v>613800</v>
      </c>
      <c r="F24" s="662"/>
      <c r="G24" s="11" t="s">
        <v>166</v>
      </c>
      <c r="H24" s="57">
        <v>400</v>
      </c>
      <c r="I24" s="948">
        <v>400</v>
      </c>
      <c r="J24" s="579">
        <v>0</v>
      </c>
      <c r="K24" s="982">
        <v>400</v>
      </c>
      <c r="L24" s="982">
        <v>0</v>
      </c>
      <c r="M24" s="1062">
        <f t="shared" si="2"/>
        <v>400</v>
      </c>
      <c r="N24" s="677">
        <f t="shared" si="1"/>
        <v>100</v>
      </c>
    </row>
    <row r="25" spans="1:16" ht="12.95" customHeight="1">
      <c r="B25" s="10"/>
      <c r="C25" s="11"/>
      <c r="D25" s="11"/>
      <c r="E25" s="636">
        <v>613900</v>
      </c>
      <c r="F25" s="662"/>
      <c r="G25" s="11" t="s">
        <v>167</v>
      </c>
      <c r="H25" s="57">
        <v>35000</v>
      </c>
      <c r="I25" s="948">
        <v>26400</v>
      </c>
      <c r="J25" s="579">
        <v>15977</v>
      </c>
      <c r="K25" s="982">
        <v>29000</v>
      </c>
      <c r="L25" s="982">
        <v>0</v>
      </c>
      <c r="M25" s="1062">
        <f t="shared" si="2"/>
        <v>29000</v>
      </c>
      <c r="N25" s="677">
        <f t="shared" si="1"/>
        <v>109.84848484848484</v>
      </c>
      <c r="O25" s="56"/>
    </row>
    <row r="26" spans="1:16" ht="12.95" customHeight="1">
      <c r="B26" s="10"/>
      <c r="C26" s="11"/>
      <c r="D26" s="11"/>
      <c r="E26" s="636">
        <v>613900</v>
      </c>
      <c r="F26" s="662"/>
      <c r="G26" s="229" t="s">
        <v>548</v>
      </c>
      <c r="H26" s="57">
        <v>0</v>
      </c>
      <c r="I26" s="948">
        <v>0</v>
      </c>
      <c r="J26" s="579">
        <v>0</v>
      </c>
      <c r="K26" s="982">
        <v>0</v>
      </c>
      <c r="L26" s="982">
        <v>0</v>
      </c>
      <c r="M26" s="1062">
        <f t="shared" si="2"/>
        <v>0</v>
      </c>
      <c r="N26" s="677" t="str">
        <f t="shared" si="1"/>
        <v/>
      </c>
    </row>
    <row r="27" spans="1:16" ht="12.95" customHeight="1">
      <c r="B27" s="10"/>
      <c r="C27" s="11"/>
      <c r="D27" s="11"/>
      <c r="E27" s="636"/>
      <c r="F27" s="662"/>
      <c r="G27" s="11"/>
      <c r="H27" s="79"/>
      <c r="I27" s="949"/>
      <c r="J27" s="580"/>
      <c r="K27" s="622"/>
      <c r="L27" s="622"/>
      <c r="M27" s="1064"/>
      <c r="N27" s="677" t="str">
        <f t="shared" si="1"/>
        <v/>
      </c>
    </row>
    <row r="28" spans="1:16" s="1" customFormat="1" ht="12.95" customHeight="1">
      <c r="A28" s="608"/>
      <c r="B28" s="12"/>
      <c r="C28" s="8"/>
      <c r="D28" s="8"/>
      <c r="E28" s="635">
        <v>614000</v>
      </c>
      <c r="F28" s="661"/>
      <c r="G28" s="8" t="s">
        <v>208</v>
      </c>
      <c r="H28" s="79">
        <f t="shared" ref="H28" si="3">H29+H30</f>
        <v>180000</v>
      </c>
      <c r="I28" s="949">
        <v>30000</v>
      </c>
      <c r="J28" s="580">
        <v>3861</v>
      </c>
      <c r="K28" s="622">
        <f t="shared" ref="K28" si="4">K29+K30</f>
        <v>0</v>
      </c>
      <c r="L28" s="622">
        <f t="shared" ref="L28:M28" si="5">L29+L30</f>
        <v>40000</v>
      </c>
      <c r="M28" s="1064">
        <f t="shared" si="5"/>
        <v>40000</v>
      </c>
      <c r="N28" s="676">
        <f t="shared" si="1"/>
        <v>133.33333333333331</v>
      </c>
    </row>
    <row r="29" spans="1:16" ht="12.95" customHeight="1">
      <c r="B29" s="10"/>
      <c r="C29" s="11"/>
      <c r="D29" s="11"/>
      <c r="E29" s="636">
        <v>614200</v>
      </c>
      <c r="F29" s="662" t="s">
        <v>737</v>
      </c>
      <c r="G29" s="20" t="s">
        <v>115</v>
      </c>
      <c r="H29" s="57">
        <v>30000</v>
      </c>
      <c r="I29" s="948">
        <v>30000</v>
      </c>
      <c r="J29" s="579">
        <v>3861</v>
      </c>
      <c r="K29" s="595">
        <v>0</v>
      </c>
      <c r="L29" s="595">
        <v>40000</v>
      </c>
      <c r="M29" s="1062">
        <f t="shared" ref="M29:M30" si="6">SUM(K29:L29)</f>
        <v>40000</v>
      </c>
      <c r="N29" s="677">
        <f t="shared" si="1"/>
        <v>133.33333333333331</v>
      </c>
    </row>
    <row r="30" spans="1:16" ht="12.75" customHeight="1">
      <c r="B30" s="10"/>
      <c r="C30" s="11"/>
      <c r="D30" s="11"/>
      <c r="E30" s="636">
        <v>614300</v>
      </c>
      <c r="F30" s="662" t="s">
        <v>738</v>
      </c>
      <c r="G30" s="1204" t="s">
        <v>840</v>
      </c>
      <c r="H30" s="57">
        <v>150000</v>
      </c>
      <c r="I30" s="948">
        <v>0</v>
      </c>
      <c r="J30" s="579">
        <v>0</v>
      </c>
      <c r="K30" s="595">
        <v>0</v>
      </c>
      <c r="L30" s="595">
        <v>0</v>
      </c>
      <c r="M30" s="1062">
        <f t="shared" si="6"/>
        <v>0</v>
      </c>
      <c r="N30" s="677" t="str">
        <f t="shared" si="1"/>
        <v/>
      </c>
      <c r="P30" s="64"/>
    </row>
    <row r="31" spans="1:16" ht="12.95" customHeight="1">
      <c r="B31" s="10"/>
      <c r="C31" s="11"/>
      <c r="D31" s="11"/>
      <c r="E31" s="635"/>
      <c r="F31" s="661"/>
      <c r="G31" s="8"/>
      <c r="H31" s="57"/>
      <c r="I31" s="948"/>
      <c r="J31" s="579"/>
      <c r="K31" s="595"/>
      <c r="L31" s="595"/>
      <c r="M31" s="1063"/>
      <c r="N31" s="677" t="str">
        <f t="shared" si="1"/>
        <v/>
      </c>
    </row>
    <row r="32" spans="1:16" ht="12.95" customHeight="1">
      <c r="B32" s="12"/>
      <c r="C32" s="8"/>
      <c r="D32" s="8"/>
      <c r="E32" s="635">
        <v>821000</v>
      </c>
      <c r="F32" s="661"/>
      <c r="G32" s="8" t="s">
        <v>90</v>
      </c>
      <c r="H32" s="79">
        <f>SUM(H33:H35)</f>
        <v>2000</v>
      </c>
      <c r="I32" s="949">
        <v>1500</v>
      </c>
      <c r="J32" s="580">
        <v>0</v>
      </c>
      <c r="K32" s="622">
        <f>SUM(K33:K35)</f>
        <v>7840</v>
      </c>
      <c r="L32" s="622">
        <f>SUM(L33:L35)</f>
        <v>30660</v>
      </c>
      <c r="M32" s="1064">
        <f>SUM(M33:M35)</f>
        <v>38500</v>
      </c>
      <c r="N32" s="676">
        <f t="shared" si="1"/>
        <v>2566.666666666667</v>
      </c>
    </row>
    <row r="33" spans="1:14" ht="12.95" customHeight="1">
      <c r="B33" s="10"/>
      <c r="C33" s="11"/>
      <c r="D33" s="11"/>
      <c r="E33" s="636">
        <v>821200</v>
      </c>
      <c r="F33" s="662"/>
      <c r="G33" s="11" t="s">
        <v>91</v>
      </c>
      <c r="H33" s="88">
        <v>0</v>
      </c>
      <c r="I33" s="950">
        <v>0</v>
      </c>
      <c r="J33" s="581">
        <v>0</v>
      </c>
      <c r="K33" s="623">
        <v>0</v>
      </c>
      <c r="L33" s="623">
        <v>0</v>
      </c>
      <c r="M33" s="1062">
        <f t="shared" ref="M33:M34" si="7">SUM(K33:L33)</f>
        <v>0</v>
      </c>
      <c r="N33" s="677" t="str">
        <f t="shared" si="1"/>
        <v/>
      </c>
    </row>
    <row r="34" spans="1:14" s="1" customFormat="1" ht="12.95" customHeight="1">
      <c r="A34" s="608"/>
      <c r="B34" s="10"/>
      <c r="C34" s="11"/>
      <c r="D34" s="11"/>
      <c r="E34" s="636">
        <v>821300</v>
      </c>
      <c r="F34" s="662"/>
      <c r="G34" s="11" t="s">
        <v>92</v>
      </c>
      <c r="H34" s="57">
        <v>2000</v>
      </c>
      <c r="I34" s="948">
        <v>1500</v>
      </c>
      <c r="J34" s="579">
        <v>0</v>
      </c>
      <c r="K34" s="595">
        <f>38500-30660</f>
        <v>7840</v>
      </c>
      <c r="L34" s="595">
        <v>30660</v>
      </c>
      <c r="M34" s="1062">
        <f t="shared" si="7"/>
        <v>38500</v>
      </c>
      <c r="N34" s="677">
        <f t="shared" si="1"/>
        <v>2566.666666666667</v>
      </c>
    </row>
    <row r="35" spans="1:14" ht="12.95" customHeight="1">
      <c r="B35" s="10"/>
      <c r="C35" s="11"/>
      <c r="D35" s="11"/>
      <c r="E35" s="636"/>
      <c r="F35" s="662"/>
      <c r="G35" s="20"/>
      <c r="H35" s="57"/>
      <c r="I35" s="948"/>
      <c r="J35" s="579"/>
      <c r="K35" s="595"/>
      <c r="L35" s="595"/>
      <c r="M35" s="1063"/>
      <c r="N35" s="677" t="str">
        <f t="shared" si="1"/>
        <v/>
      </c>
    </row>
    <row r="36" spans="1:14" ht="12.95" customHeight="1">
      <c r="B36" s="12"/>
      <c r="C36" s="8"/>
      <c r="D36" s="8"/>
      <c r="E36" s="635"/>
      <c r="F36" s="661"/>
      <c r="G36" s="8" t="s">
        <v>93</v>
      </c>
      <c r="H36" s="15">
        <v>12</v>
      </c>
      <c r="I36" s="945">
        <v>12</v>
      </c>
      <c r="J36" s="576">
        <v>12</v>
      </c>
      <c r="K36" s="615">
        <v>12</v>
      </c>
      <c r="L36" s="615"/>
      <c r="M36" s="1064">
        <v>12</v>
      </c>
      <c r="N36" s="677"/>
    </row>
    <row r="37" spans="1:14" ht="12.95" customHeight="1">
      <c r="B37" s="12"/>
      <c r="C37" s="8"/>
      <c r="D37" s="8"/>
      <c r="E37" s="635"/>
      <c r="F37" s="661"/>
      <c r="G37" s="8" t="s">
        <v>113</v>
      </c>
      <c r="H37" s="15">
        <f>H8+H13+H16+H28+H32</f>
        <v>477240</v>
      </c>
      <c r="I37" s="15">
        <f>I8+I13+I16+I28+I32</f>
        <v>327840</v>
      </c>
      <c r="J37" s="15">
        <f t="shared" ref="J37" si="8">J8+J13+J16+J28+J32</f>
        <v>215929</v>
      </c>
      <c r="K37" s="615">
        <f>K8+K13+K16+K28+K32</f>
        <v>313930</v>
      </c>
      <c r="L37" s="615">
        <f>L8+L13+L16+L28+L32</f>
        <v>70660</v>
      </c>
      <c r="M37" s="1064">
        <f>M8+M13+M16+M28+M32</f>
        <v>384590</v>
      </c>
      <c r="N37" s="676">
        <f t="shared" si="1"/>
        <v>117.31027330405075</v>
      </c>
    </row>
    <row r="38" spans="1:14" s="1" customFormat="1" ht="12.95" customHeight="1">
      <c r="A38" s="608"/>
      <c r="B38" s="12"/>
      <c r="C38" s="8"/>
      <c r="D38" s="8"/>
      <c r="E38" s="635"/>
      <c r="F38" s="661"/>
      <c r="G38" s="8" t="s">
        <v>94</v>
      </c>
      <c r="H38" s="15">
        <f>H37</f>
        <v>477240</v>
      </c>
      <c r="I38" s="15">
        <f>I37</f>
        <v>327840</v>
      </c>
      <c r="J38" s="15">
        <f t="shared" ref="J38" si="9">J37</f>
        <v>215929</v>
      </c>
      <c r="K38" s="615">
        <f t="shared" ref="K38:M39" si="10">K37</f>
        <v>313930</v>
      </c>
      <c r="L38" s="615">
        <f t="shared" si="10"/>
        <v>70660</v>
      </c>
      <c r="M38" s="1064">
        <f t="shared" si="10"/>
        <v>384590</v>
      </c>
      <c r="N38" s="676">
        <f t="shared" si="1"/>
        <v>117.31027330405075</v>
      </c>
    </row>
    <row r="39" spans="1:14" s="1" customFormat="1" ht="12.95" customHeight="1">
      <c r="A39" s="608"/>
      <c r="B39" s="12"/>
      <c r="C39" s="8"/>
      <c r="D39" s="8"/>
      <c r="E39" s="635"/>
      <c r="F39" s="661"/>
      <c r="G39" s="8" t="s">
        <v>95</v>
      </c>
      <c r="H39" s="15">
        <f>H38</f>
        <v>477240</v>
      </c>
      <c r="I39" s="15">
        <f>I38</f>
        <v>327840</v>
      </c>
      <c r="J39" s="15">
        <f t="shared" ref="J39" si="11">J38</f>
        <v>215929</v>
      </c>
      <c r="K39" s="615">
        <f t="shared" si="10"/>
        <v>313930</v>
      </c>
      <c r="L39" s="615">
        <f t="shared" si="10"/>
        <v>70660</v>
      </c>
      <c r="M39" s="1064">
        <f t="shared" si="10"/>
        <v>384590</v>
      </c>
      <c r="N39" s="676">
        <f t="shared" si="1"/>
        <v>117.31027330405075</v>
      </c>
    </row>
    <row r="40" spans="1:14" s="1" customFormat="1" ht="12.95" customHeight="1" thickBot="1">
      <c r="A40" s="608"/>
      <c r="B40" s="16"/>
      <c r="C40" s="17"/>
      <c r="D40" s="17"/>
      <c r="E40" s="637"/>
      <c r="F40" s="663"/>
      <c r="G40" s="17"/>
      <c r="H40" s="114"/>
      <c r="I40" s="114"/>
      <c r="J40" s="114"/>
      <c r="K40" s="114"/>
      <c r="L40" s="114"/>
      <c r="M40" s="1072"/>
      <c r="N40" s="681"/>
    </row>
    <row r="41" spans="1:14" s="1" customFormat="1" ht="12.95" customHeight="1">
      <c r="A41" s="608"/>
      <c r="B41" s="9"/>
      <c r="C41" s="9"/>
      <c r="D41" s="9"/>
      <c r="E41" s="638"/>
      <c r="F41" s="664"/>
      <c r="G41" s="9"/>
      <c r="H41" s="62"/>
      <c r="I41" s="62"/>
      <c r="J41" s="62"/>
      <c r="K41" s="62"/>
      <c r="L41" s="62"/>
      <c r="M41" s="1073"/>
      <c r="N41" s="682"/>
    </row>
    <row r="42" spans="1:14" ht="12.95" customHeight="1">
      <c r="B42" s="56"/>
      <c r="E42" s="638"/>
      <c r="F42" s="664"/>
      <c r="M42" s="1068"/>
    </row>
    <row r="43" spans="1:14" ht="12.95" customHeight="1">
      <c r="B43" s="56"/>
      <c r="E43" s="638"/>
      <c r="F43" s="664"/>
      <c r="M43" s="1068"/>
    </row>
    <row r="44" spans="1:14" ht="12.95" customHeight="1">
      <c r="B44" s="56"/>
      <c r="E44" s="638"/>
      <c r="F44" s="664"/>
      <c r="M44" s="1068"/>
    </row>
    <row r="45" spans="1:14" ht="12.95" customHeight="1">
      <c r="B45" s="56"/>
      <c r="E45" s="638"/>
      <c r="F45" s="664"/>
      <c r="M45" s="1068"/>
    </row>
    <row r="46" spans="1:14" ht="12.95" customHeight="1">
      <c r="B46" s="56"/>
      <c r="E46" s="638"/>
      <c r="F46" s="664"/>
      <c r="M46" s="1068"/>
    </row>
    <row r="47" spans="1:14" ht="12.95" customHeight="1">
      <c r="B47" s="56"/>
      <c r="E47" s="638"/>
      <c r="F47" s="664"/>
      <c r="M47" s="1068"/>
    </row>
    <row r="48" spans="1:14" ht="12.95" customHeight="1">
      <c r="B48" s="56"/>
      <c r="E48" s="638"/>
      <c r="F48" s="664"/>
      <c r="M48" s="1068"/>
    </row>
    <row r="49" spans="2:13" ht="12.95" customHeight="1">
      <c r="B49" s="56"/>
      <c r="E49" s="638"/>
      <c r="F49" s="664"/>
      <c r="M49" s="1068"/>
    </row>
    <row r="50" spans="2:13" ht="12.95" customHeight="1">
      <c r="B50" s="56"/>
      <c r="E50" s="638"/>
      <c r="F50" s="664"/>
      <c r="M50" s="1068"/>
    </row>
    <row r="51" spans="2:13" ht="12.95" customHeight="1">
      <c r="B51" s="56"/>
      <c r="E51" s="638"/>
      <c r="F51" s="664"/>
      <c r="M51" s="1068"/>
    </row>
    <row r="52" spans="2:13" ht="12.95" customHeight="1">
      <c r="E52" s="638"/>
      <c r="F52" s="664"/>
      <c r="M52" s="1068"/>
    </row>
    <row r="53" spans="2:13" ht="12.95" customHeight="1">
      <c r="E53" s="638"/>
      <c r="F53" s="664"/>
      <c r="M53" s="1068"/>
    </row>
    <row r="54" spans="2:13" ht="12.95" customHeight="1">
      <c r="E54" s="638"/>
      <c r="F54" s="664"/>
      <c r="M54" s="1068"/>
    </row>
    <row r="55" spans="2:13" ht="12.95" customHeight="1">
      <c r="E55" s="638"/>
      <c r="F55" s="664"/>
      <c r="M55" s="1068"/>
    </row>
    <row r="56" spans="2:13" ht="12.95" customHeight="1">
      <c r="E56" s="638"/>
      <c r="F56" s="664"/>
      <c r="M56" s="1068"/>
    </row>
    <row r="57" spans="2:13" ht="12.95" customHeight="1">
      <c r="E57" s="638"/>
      <c r="F57" s="664"/>
      <c r="M57" s="1068"/>
    </row>
    <row r="58" spans="2:13" ht="12.95" customHeight="1">
      <c r="E58" s="638"/>
      <c r="F58" s="664"/>
      <c r="M58" s="1068"/>
    </row>
    <row r="59" spans="2:13" ht="12.95" customHeight="1">
      <c r="E59" s="638"/>
      <c r="F59" s="664"/>
      <c r="M59" s="1068"/>
    </row>
    <row r="60" spans="2:13" ht="17.100000000000001" customHeight="1">
      <c r="E60" s="638"/>
      <c r="F60" s="664"/>
      <c r="M60" s="1068"/>
    </row>
    <row r="61" spans="2:13" ht="17.100000000000001" customHeight="1">
      <c r="E61" s="638"/>
      <c r="F61" s="664"/>
      <c r="M61" s="1068"/>
    </row>
    <row r="62" spans="2:13" ht="14.25">
      <c r="E62" s="638"/>
      <c r="F62" s="664"/>
      <c r="M62" s="1068"/>
    </row>
    <row r="63" spans="2:13" ht="14.25">
      <c r="E63" s="638"/>
      <c r="F63" s="664"/>
      <c r="M63" s="1068"/>
    </row>
    <row r="64" spans="2:13" ht="14.25">
      <c r="E64" s="638"/>
      <c r="F64" s="664"/>
      <c r="M64" s="1068"/>
    </row>
    <row r="65" spans="5:13" ht="14.25">
      <c r="E65" s="638"/>
      <c r="F65" s="664"/>
      <c r="M65" s="1068"/>
    </row>
    <row r="66" spans="5:13" ht="14.25">
      <c r="E66" s="638"/>
      <c r="F66" s="664"/>
      <c r="M66" s="1068"/>
    </row>
    <row r="67" spans="5:13" ht="14.25">
      <c r="E67" s="638"/>
      <c r="F67" s="664"/>
      <c r="M67" s="1068"/>
    </row>
    <row r="68" spans="5:13" ht="14.25">
      <c r="E68" s="638"/>
      <c r="F68" s="664"/>
      <c r="M68" s="1068"/>
    </row>
    <row r="69" spans="5:13" ht="14.25">
      <c r="E69" s="638"/>
      <c r="F69" s="664"/>
      <c r="M69" s="1068"/>
    </row>
    <row r="70" spans="5:13" ht="14.25">
      <c r="E70" s="638"/>
      <c r="F70" s="664"/>
      <c r="M70" s="1068"/>
    </row>
    <row r="71" spans="5:13" ht="14.25">
      <c r="E71" s="638"/>
      <c r="F71" s="664"/>
      <c r="M71" s="1068"/>
    </row>
    <row r="72" spans="5:13" ht="14.25">
      <c r="E72" s="638"/>
      <c r="F72" s="664"/>
      <c r="M72" s="1068"/>
    </row>
    <row r="73" spans="5:13" ht="14.25">
      <c r="E73" s="638"/>
      <c r="F73" s="664"/>
      <c r="M73" s="1068"/>
    </row>
    <row r="74" spans="5:13" ht="14.25">
      <c r="E74" s="638"/>
      <c r="F74" s="638"/>
      <c r="M74" s="1068"/>
    </row>
    <row r="75" spans="5:13" ht="14.25">
      <c r="E75" s="638"/>
      <c r="F75" s="638"/>
      <c r="M75" s="1068"/>
    </row>
    <row r="76" spans="5:13" ht="14.25">
      <c r="E76" s="638"/>
      <c r="F76" s="638"/>
      <c r="M76" s="1068"/>
    </row>
    <row r="77" spans="5:13" ht="14.25">
      <c r="E77" s="638"/>
      <c r="F77" s="638"/>
      <c r="M77" s="1068"/>
    </row>
    <row r="78" spans="5:13" ht="14.25">
      <c r="E78" s="638"/>
      <c r="F78" s="638"/>
      <c r="M78" s="1068"/>
    </row>
    <row r="79" spans="5:13" ht="14.25">
      <c r="E79" s="638"/>
      <c r="F79" s="638"/>
      <c r="M79" s="1068"/>
    </row>
    <row r="80" spans="5:13" ht="14.25">
      <c r="E80" s="638"/>
      <c r="F80" s="638"/>
      <c r="M80" s="1068"/>
    </row>
    <row r="81" spans="5:13" ht="14.25">
      <c r="E81" s="638"/>
      <c r="F81" s="638"/>
      <c r="M81" s="1068"/>
    </row>
    <row r="82" spans="5:13" ht="14.25">
      <c r="E82" s="638"/>
      <c r="F82" s="638"/>
      <c r="M82" s="1068"/>
    </row>
    <row r="83" spans="5:13" ht="14.25">
      <c r="E83" s="638"/>
      <c r="F83" s="638"/>
      <c r="M83" s="1068"/>
    </row>
    <row r="84" spans="5:13" ht="14.25">
      <c r="E84" s="638"/>
      <c r="F84" s="638"/>
      <c r="M84" s="1068"/>
    </row>
    <row r="85" spans="5:13" ht="14.25">
      <c r="E85" s="638"/>
      <c r="F85" s="638"/>
      <c r="M85" s="1068"/>
    </row>
    <row r="86" spans="5:13" ht="14.25">
      <c r="E86" s="638"/>
      <c r="F86" s="638"/>
      <c r="M86" s="1068"/>
    </row>
    <row r="87" spans="5:13" ht="14.25">
      <c r="E87" s="638"/>
      <c r="F87" s="638"/>
      <c r="M87" s="1068"/>
    </row>
    <row r="88" spans="5:13" ht="14.25">
      <c r="E88" s="638"/>
      <c r="F88" s="638"/>
      <c r="M88" s="1068"/>
    </row>
    <row r="89" spans="5:13" ht="14.25">
      <c r="E89" s="638"/>
      <c r="F89" s="638"/>
      <c r="M89" s="1068"/>
    </row>
    <row r="90" spans="5:13" ht="14.25">
      <c r="E90" s="638"/>
      <c r="F90" s="638"/>
      <c r="M90" s="1068"/>
    </row>
    <row r="91" spans="5:13">
      <c r="F91" s="638"/>
    </row>
    <row r="92" spans="5:13">
      <c r="F92" s="638"/>
    </row>
    <row r="93" spans="5:13">
      <c r="F93" s="638"/>
    </row>
    <row r="94" spans="5:13">
      <c r="F94" s="638"/>
    </row>
    <row r="95" spans="5:13">
      <c r="F95" s="638"/>
    </row>
    <row r="96" spans="5:13">
      <c r="F96" s="638"/>
    </row>
  </sheetData>
  <mergeCells count="13">
    <mergeCell ref="N4:N5"/>
    <mergeCell ref="G4:G5"/>
    <mergeCell ref="B2:M2"/>
    <mergeCell ref="G3:H3"/>
    <mergeCell ref="K4:M4"/>
    <mergeCell ref="B4:B5"/>
    <mergeCell ref="C4:C5"/>
    <mergeCell ref="D4:D5"/>
    <mergeCell ref="F4:F5"/>
    <mergeCell ref="E4:E5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9"/>
  <dimension ref="A1:P96"/>
  <sheetViews>
    <sheetView zoomScaleNormal="100" workbookViewId="0">
      <selection activeCell="Q14" sqref="Q14"/>
    </sheetView>
  </sheetViews>
  <sheetFormatPr defaultRowHeight="12.75"/>
  <cols>
    <col min="1" max="1" width="9.140625" style="611"/>
    <col min="2" max="2" width="4.7109375" style="9" customWidth="1"/>
    <col min="3" max="3" width="5.140625" style="9" customWidth="1"/>
    <col min="4" max="4" width="5" style="9" customWidth="1"/>
    <col min="5" max="5" width="8.7109375" style="18" customWidth="1"/>
    <col min="6" max="6" width="8.7109375" style="616" customWidth="1"/>
    <col min="7" max="7" width="50.7109375" style="9" customWidth="1"/>
    <col min="8" max="12" width="14.7109375" style="64" customWidth="1"/>
    <col min="13" max="13" width="15.7109375" style="64" customWidth="1"/>
    <col min="14" max="14" width="7.7109375" style="680" customWidth="1"/>
    <col min="15" max="16384" width="9.140625" style="9"/>
  </cols>
  <sheetData>
    <row r="1" spans="1:16" ht="13.5" thickBot="1"/>
    <row r="2" spans="1:16" s="1052" customFormat="1" ht="20.100000000000001" customHeight="1" thickTop="1" thickBot="1">
      <c r="B2" s="1261" t="s">
        <v>154</v>
      </c>
      <c r="C2" s="1262"/>
      <c r="D2" s="1262"/>
      <c r="E2" s="1262"/>
      <c r="F2" s="1262"/>
      <c r="G2" s="1262"/>
      <c r="H2" s="1262"/>
      <c r="I2" s="1053"/>
      <c r="J2" s="1053"/>
      <c r="K2" s="1054"/>
      <c r="L2" s="1054"/>
      <c r="M2" s="1054"/>
      <c r="N2" s="1057"/>
    </row>
    <row r="3" spans="1:16" s="1" customFormat="1" ht="8.1" customHeight="1" thickTop="1" thickBot="1">
      <c r="A3" s="608"/>
      <c r="E3" s="2"/>
      <c r="F3" s="609"/>
      <c r="G3" s="1264"/>
      <c r="H3" s="1264"/>
      <c r="I3" s="306"/>
      <c r="J3" s="306"/>
      <c r="K3" s="119"/>
      <c r="L3" s="119"/>
      <c r="M3" s="119"/>
      <c r="N3" s="674"/>
    </row>
    <row r="4" spans="1:16" s="1" customFormat="1" ht="39" customHeight="1">
      <c r="A4" s="608"/>
      <c r="B4" s="1268" t="s">
        <v>78</v>
      </c>
      <c r="C4" s="1280" t="s">
        <v>79</v>
      </c>
      <c r="D4" s="1281" t="s">
        <v>110</v>
      </c>
      <c r="E4" s="1282" t="s">
        <v>615</v>
      </c>
      <c r="F4" s="1273" t="s">
        <v>695</v>
      </c>
      <c r="G4" s="1274" t="s">
        <v>80</v>
      </c>
      <c r="H4" s="1283" t="s">
        <v>614</v>
      </c>
      <c r="I4" s="1284" t="s">
        <v>747</v>
      </c>
      <c r="J4" s="1283" t="s">
        <v>667</v>
      </c>
      <c r="K4" s="1265" t="s">
        <v>682</v>
      </c>
      <c r="L4" s="1266"/>
      <c r="M4" s="1267"/>
      <c r="N4" s="1278" t="s">
        <v>756</v>
      </c>
    </row>
    <row r="5" spans="1:16" s="608" customFormat="1" ht="27" customHeight="1">
      <c r="B5" s="1269"/>
      <c r="C5" s="1271"/>
      <c r="D5" s="1271"/>
      <c r="E5" s="1275"/>
      <c r="F5" s="1271"/>
      <c r="G5" s="1275"/>
      <c r="H5" s="1275"/>
      <c r="I5" s="1275"/>
      <c r="J5" s="1275"/>
      <c r="K5" s="1048" t="s">
        <v>753</v>
      </c>
      <c r="L5" s="1048" t="s">
        <v>754</v>
      </c>
      <c r="M5" s="1059" t="s">
        <v>426</v>
      </c>
      <c r="N5" s="1279"/>
    </row>
    <row r="6" spans="1:16" s="2" customFormat="1" ht="12.95" customHeight="1">
      <c r="A6" s="609"/>
      <c r="B6" s="1181">
        <v>1</v>
      </c>
      <c r="C6" s="661">
        <v>2</v>
      </c>
      <c r="D6" s="661">
        <v>3</v>
      </c>
      <c r="E6" s="661">
        <v>4</v>
      </c>
      <c r="F6" s="661">
        <v>5</v>
      </c>
      <c r="G6" s="661">
        <v>6</v>
      </c>
      <c r="H6" s="661">
        <v>7</v>
      </c>
      <c r="I6" s="661">
        <v>8</v>
      </c>
      <c r="J6" s="661">
        <v>9</v>
      </c>
      <c r="K6" s="661">
        <v>10</v>
      </c>
      <c r="L6" s="661">
        <v>11</v>
      </c>
      <c r="M6" s="1201" t="s">
        <v>755</v>
      </c>
      <c r="N6" s="1183">
        <v>13</v>
      </c>
    </row>
    <row r="7" spans="1:16" s="2" customFormat="1" ht="12.95" customHeight="1">
      <c r="A7" s="609"/>
      <c r="B7" s="6" t="s">
        <v>155</v>
      </c>
      <c r="C7" s="7" t="s">
        <v>81</v>
      </c>
      <c r="D7" s="7" t="s">
        <v>82</v>
      </c>
      <c r="E7" s="5"/>
      <c r="F7" s="610"/>
      <c r="G7" s="5"/>
      <c r="H7" s="110"/>
      <c r="I7" s="110"/>
      <c r="J7" s="110"/>
      <c r="K7" s="110"/>
      <c r="L7" s="110"/>
      <c r="M7" s="1069"/>
      <c r="N7" s="675"/>
    </row>
    <row r="8" spans="1:16" s="1" customFormat="1" ht="12.95" customHeight="1">
      <c r="A8" s="608"/>
      <c r="B8" s="12"/>
      <c r="C8" s="8"/>
      <c r="D8" s="8"/>
      <c r="E8" s="635">
        <v>611000</v>
      </c>
      <c r="F8" s="661"/>
      <c r="G8" s="8" t="s">
        <v>163</v>
      </c>
      <c r="H8" s="256">
        <f>SUM(H9:H11)</f>
        <v>506240</v>
      </c>
      <c r="I8" s="959">
        <v>507120</v>
      </c>
      <c r="J8" s="590">
        <v>376813</v>
      </c>
      <c r="K8" s="256">
        <f>SUM(K9:K11)</f>
        <v>514860</v>
      </c>
      <c r="L8" s="256">
        <f>SUM(L9:L11)</f>
        <v>0</v>
      </c>
      <c r="M8" s="1061">
        <f>SUM(M9:M11)</f>
        <v>514860</v>
      </c>
      <c r="N8" s="676">
        <f>IF(I8=0,"",M8/I8*100)</f>
        <v>101.52626597255087</v>
      </c>
    </row>
    <row r="9" spans="1:16" ht="12.95" customHeight="1">
      <c r="B9" s="10"/>
      <c r="C9" s="11"/>
      <c r="D9" s="11"/>
      <c r="E9" s="636">
        <v>611100</v>
      </c>
      <c r="F9" s="662"/>
      <c r="G9" s="20" t="s">
        <v>204</v>
      </c>
      <c r="H9" s="258">
        <f>421870+2500+7200</f>
        <v>431570</v>
      </c>
      <c r="I9" s="960">
        <v>430200</v>
      </c>
      <c r="J9" s="591">
        <v>321133</v>
      </c>
      <c r="K9" s="258">
        <f>432300+4320+7740</f>
        <v>444360</v>
      </c>
      <c r="L9" s="258">
        <v>0</v>
      </c>
      <c r="M9" s="1062">
        <f>SUM(K9:L9)</f>
        <v>444360</v>
      </c>
      <c r="N9" s="677">
        <f>IF(I9=0,"",M9/I9*100)</f>
        <v>103.29149232914922</v>
      </c>
    </row>
    <row r="10" spans="1:16" ht="12.95" customHeight="1">
      <c r="B10" s="10"/>
      <c r="C10" s="11"/>
      <c r="D10" s="11"/>
      <c r="E10" s="636">
        <v>611200</v>
      </c>
      <c r="F10" s="662"/>
      <c r="G10" s="11" t="s">
        <v>205</v>
      </c>
      <c r="H10" s="258">
        <f>69230+2500+2*1470</f>
        <v>74670</v>
      </c>
      <c r="I10" s="960">
        <v>76920</v>
      </c>
      <c r="J10" s="591">
        <v>55680</v>
      </c>
      <c r="K10" s="258">
        <f>69400+1100</f>
        <v>70500</v>
      </c>
      <c r="L10" s="258">
        <v>0</v>
      </c>
      <c r="M10" s="1062">
        <f t="shared" ref="M10:M11" si="0">SUM(K10:L10)</f>
        <v>70500</v>
      </c>
      <c r="N10" s="677">
        <f t="shared" ref="N10:N35" si="1">IF(I10=0,"",M10/I10*100)</f>
        <v>91.653666146645861</v>
      </c>
    </row>
    <row r="11" spans="1:16" ht="12.95" customHeight="1">
      <c r="B11" s="10"/>
      <c r="C11" s="11"/>
      <c r="D11" s="11"/>
      <c r="E11" s="636">
        <v>611200</v>
      </c>
      <c r="F11" s="662"/>
      <c r="G11" s="229" t="s">
        <v>547</v>
      </c>
      <c r="H11" s="255">
        <v>0</v>
      </c>
      <c r="I11" s="958">
        <v>0</v>
      </c>
      <c r="J11" s="589">
        <v>0</v>
      </c>
      <c r="K11" s="255">
        <v>0</v>
      </c>
      <c r="L11" s="255">
        <v>0</v>
      </c>
      <c r="M11" s="1062">
        <f t="shared" si="0"/>
        <v>0</v>
      </c>
      <c r="N11" s="677" t="str">
        <f t="shared" si="1"/>
        <v/>
      </c>
      <c r="P11" s="63"/>
    </row>
    <row r="12" spans="1:16" ht="12.95" customHeight="1">
      <c r="B12" s="10"/>
      <c r="C12" s="11"/>
      <c r="D12" s="11"/>
      <c r="E12" s="636"/>
      <c r="F12" s="662"/>
      <c r="G12" s="11"/>
      <c r="H12" s="256"/>
      <c r="I12" s="959"/>
      <c r="J12" s="590"/>
      <c r="K12" s="256"/>
      <c r="L12" s="256"/>
      <c r="M12" s="1061"/>
      <c r="N12" s="677" t="str">
        <f t="shared" si="1"/>
        <v/>
      </c>
    </row>
    <row r="13" spans="1:16" s="1" customFormat="1" ht="12.95" customHeight="1">
      <c r="A13" s="608"/>
      <c r="B13" s="12"/>
      <c r="C13" s="8"/>
      <c r="D13" s="8"/>
      <c r="E13" s="635">
        <v>612000</v>
      </c>
      <c r="F13" s="661"/>
      <c r="G13" s="8" t="s">
        <v>162</v>
      </c>
      <c r="H13" s="256">
        <f>H14</f>
        <v>46050</v>
      </c>
      <c r="I13" s="959">
        <v>46250</v>
      </c>
      <c r="J13" s="590">
        <v>34547</v>
      </c>
      <c r="K13" s="256">
        <f>K14</f>
        <v>47180</v>
      </c>
      <c r="L13" s="256">
        <f>L14</f>
        <v>0</v>
      </c>
      <c r="M13" s="1061">
        <f>M14</f>
        <v>47180</v>
      </c>
      <c r="N13" s="676">
        <f t="shared" si="1"/>
        <v>102.01081081081081</v>
      </c>
    </row>
    <row r="14" spans="1:16" ht="12.95" customHeight="1">
      <c r="B14" s="10"/>
      <c r="C14" s="11"/>
      <c r="D14" s="11"/>
      <c r="E14" s="636">
        <v>612100</v>
      </c>
      <c r="F14" s="662"/>
      <c r="G14" s="13" t="s">
        <v>83</v>
      </c>
      <c r="H14" s="258">
        <f>44670+600+780</f>
        <v>46050</v>
      </c>
      <c r="I14" s="960">
        <v>46250</v>
      </c>
      <c r="J14" s="591">
        <v>34547</v>
      </c>
      <c r="K14" s="258">
        <f>45830+500+850</f>
        <v>47180</v>
      </c>
      <c r="L14" s="258">
        <v>0</v>
      </c>
      <c r="M14" s="1062">
        <f>SUM(K14:L14)</f>
        <v>47180</v>
      </c>
      <c r="N14" s="677">
        <f t="shared" si="1"/>
        <v>102.01081081081081</v>
      </c>
    </row>
    <row r="15" spans="1:16" ht="12.95" customHeight="1">
      <c r="B15" s="10"/>
      <c r="C15" s="11"/>
      <c r="D15" s="11"/>
      <c r="E15" s="636"/>
      <c r="F15" s="662"/>
      <c r="G15" s="11"/>
      <c r="H15" s="15"/>
      <c r="I15" s="953"/>
      <c r="J15" s="584"/>
      <c r="K15" s="615"/>
      <c r="L15" s="615"/>
      <c r="M15" s="1064"/>
      <c r="N15" s="677" t="str">
        <f t="shared" si="1"/>
        <v/>
      </c>
    </row>
    <row r="16" spans="1:16" s="1" customFormat="1" ht="12.95" customHeight="1">
      <c r="A16" s="608"/>
      <c r="B16" s="12"/>
      <c r="C16" s="8"/>
      <c r="D16" s="8"/>
      <c r="E16" s="635">
        <v>613000</v>
      </c>
      <c r="F16" s="661"/>
      <c r="G16" s="8" t="s">
        <v>164</v>
      </c>
      <c r="H16" s="35">
        <f>SUM(H17:H26)</f>
        <v>122000</v>
      </c>
      <c r="I16" s="955">
        <v>108100</v>
      </c>
      <c r="J16" s="586">
        <v>66673</v>
      </c>
      <c r="K16" s="620">
        <f>SUM(K17:K26)</f>
        <v>117100</v>
      </c>
      <c r="L16" s="620">
        <f>SUM(L17:L26)</f>
        <v>0</v>
      </c>
      <c r="M16" s="1064">
        <f>SUM(M17:M26)</f>
        <v>117100</v>
      </c>
      <c r="N16" s="676">
        <f t="shared" si="1"/>
        <v>108.32562442183165</v>
      </c>
    </row>
    <row r="17" spans="1:15" ht="12.95" customHeight="1">
      <c r="B17" s="10"/>
      <c r="C17" s="11"/>
      <c r="D17" s="11"/>
      <c r="E17" s="636">
        <v>613100</v>
      </c>
      <c r="F17" s="662"/>
      <c r="G17" s="11" t="s">
        <v>84</v>
      </c>
      <c r="H17" s="31">
        <v>4000</v>
      </c>
      <c r="I17" s="954">
        <v>4000</v>
      </c>
      <c r="J17" s="585">
        <v>2874</v>
      </c>
      <c r="K17" s="978">
        <v>4000</v>
      </c>
      <c r="L17" s="978">
        <v>0</v>
      </c>
      <c r="M17" s="1062">
        <f t="shared" ref="M17:M26" si="2">SUM(K17:L17)</f>
        <v>4000</v>
      </c>
      <c r="N17" s="677">
        <f t="shared" si="1"/>
        <v>100</v>
      </c>
    </row>
    <row r="18" spans="1:15" ht="12.95" customHeight="1">
      <c r="B18" s="10"/>
      <c r="C18" s="11"/>
      <c r="D18" s="11"/>
      <c r="E18" s="636">
        <v>613200</v>
      </c>
      <c r="F18" s="662"/>
      <c r="G18" s="11" t="s">
        <v>85</v>
      </c>
      <c r="H18" s="31">
        <v>31000</v>
      </c>
      <c r="I18" s="954">
        <v>24000</v>
      </c>
      <c r="J18" s="585">
        <v>10261</v>
      </c>
      <c r="K18" s="978">
        <v>28000</v>
      </c>
      <c r="L18" s="978">
        <v>0</v>
      </c>
      <c r="M18" s="1062">
        <f t="shared" si="2"/>
        <v>28000</v>
      </c>
      <c r="N18" s="677">
        <f t="shared" si="1"/>
        <v>116.66666666666667</v>
      </c>
    </row>
    <row r="19" spans="1:15" ht="12.95" customHeight="1">
      <c r="B19" s="10"/>
      <c r="C19" s="11"/>
      <c r="D19" s="11"/>
      <c r="E19" s="636">
        <v>613300</v>
      </c>
      <c r="F19" s="662"/>
      <c r="G19" s="20" t="s">
        <v>206</v>
      </c>
      <c r="H19" s="31">
        <v>17000</v>
      </c>
      <c r="I19" s="954">
        <v>13000</v>
      </c>
      <c r="J19" s="585">
        <v>8724</v>
      </c>
      <c r="K19" s="978">
        <v>15000</v>
      </c>
      <c r="L19" s="978">
        <v>0</v>
      </c>
      <c r="M19" s="1062">
        <f t="shared" si="2"/>
        <v>15000</v>
      </c>
      <c r="N19" s="677">
        <f t="shared" si="1"/>
        <v>115.38461538461537</v>
      </c>
    </row>
    <row r="20" spans="1:15" ht="12.95" customHeight="1">
      <c r="B20" s="10"/>
      <c r="C20" s="11"/>
      <c r="D20" s="11"/>
      <c r="E20" s="636">
        <v>613400</v>
      </c>
      <c r="F20" s="662"/>
      <c r="G20" s="11" t="s">
        <v>165</v>
      </c>
      <c r="H20" s="31">
        <v>7000</v>
      </c>
      <c r="I20" s="954">
        <v>6000</v>
      </c>
      <c r="J20" s="585">
        <v>4188</v>
      </c>
      <c r="K20" s="978">
        <v>6000</v>
      </c>
      <c r="L20" s="978">
        <v>0</v>
      </c>
      <c r="M20" s="1062">
        <f t="shared" si="2"/>
        <v>6000</v>
      </c>
      <c r="N20" s="677">
        <f t="shared" si="1"/>
        <v>100</v>
      </c>
    </row>
    <row r="21" spans="1:15" ht="12.95" customHeight="1">
      <c r="B21" s="10"/>
      <c r="C21" s="11"/>
      <c r="D21" s="11"/>
      <c r="E21" s="636">
        <v>613500</v>
      </c>
      <c r="F21" s="662"/>
      <c r="G21" s="11" t="s">
        <v>86</v>
      </c>
      <c r="H21" s="88">
        <v>5000</v>
      </c>
      <c r="I21" s="957">
        <v>4500</v>
      </c>
      <c r="J21" s="588">
        <v>2786</v>
      </c>
      <c r="K21" s="984">
        <v>4500</v>
      </c>
      <c r="L21" s="984">
        <v>0</v>
      </c>
      <c r="M21" s="1062">
        <f t="shared" si="2"/>
        <v>4500</v>
      </c>
      <c r="N21" s="677">
        <f t="shared" si="1"/>
        <v>100</v>
      </c>
      <c r="O21" s="56"/>
    </row>
    <row r="22" spans="1:15" ht="12.95" customHeight="1">
      <c r="B22" s="10"/>
      <c r="C22" s="11"/>
      <c r="D22" s="11"/>
      <c r="E22" s="636">
        <v>613600</v>
      </c>
      <c r="F22" s="662"/>
      <c r="G22" s="20" t="s">
        <v>207</v>
      </c>
      <c r="H22" s="31">
        <v>0</v>
      </c>
      <c r="I22" s="954">
        <v>0</v>
      </c>
      <c r="J22" s="585">
        <v>0</v>
      </c>
      <c r="K22" s="978">
        <v>0</v>
      </c>
      <c r="L22" s="978">
        <v>0</v>
      </c>
      <c r="M22" s="1062">
        <f t="shared" si="2"/>
        <v>0</v>
      </c>
      <c r="N22" s="677" t="str">
        <f t="shared" si="1"/>
        <v/>
      </c>
    </row>
    <row r="23" spans="1:15" ht="12.95" customHeight="1">
      <c r="B23" s="10"/>
      <c r="C23" s="11"/>
      <c r="D23" s="11"/>
      <c r="E23" s="636">
        <v>613700</v>
      </c>
      <c r="F23" s="662"/>
      <c r="G23" s="11" t="s">
        <v>87</v>
      </c>
      <c r="H23" s="88">
        <v>7000</v>
      </c>
      <c r="I23" s="957">
        <v>8000</v>
      </c>
      <c r="J23" s="588">
        <v>5276</v>
      </c>
      <c r="K23" s="984">
        <v>8000</v>
      </c>
      <c r="L23" s="984">
        <v>0</v>
      </c>
      <c r="M23" s="1062">
        <f t="shared" si="2"/>
        <v>8000</v>
      </c>
      <c r="N23" s="677">
        <f t="shared" si="1"/>
        <v>100</v>
      </c>
    </row>
    <row r="24" spans="1:15" ht="12.95" customHeight="1">
      <c r="B24" s="10"/>
      <c r="C24" s="11"/>
      <c r="D24" s="11"/>
      <c r="E24" s="636">
        <v>613800</v>
      </c>
      <c r="F24" s="662"/>
      <c r="G24" s="11" t="s">
        <v>166</v>
      </c>
      <c r="H24" s="88">
        <v>1000</v>
      </c>
      <c r="I24" s="957">
        <v>1600</v>
      </c>
      <c r="J24" s="588">
        <v>0</v>
      </c>
      <c r="K24" s="984">
        <v>1600</v>
      </c>
      <c r="L24" s="984">
        <v>0</v>
      </c>
      <c r="M24" s="1062">
        <f t="shared" si="2"/>
        <v>1600</v>
      </c>
      <c r="N24" s="677">
        <f t="shared" si="1"/>
        <v>100</v>
      </c>
    </row>
    <row r="25" spans="1:15" ht="12.95" customHeight="1">
      <c r="B25" s="10"/>
      <c r="C25" s="11"/>
      <c r="D25" s="11"/>
      <c r="E25" s="636">
        <v>613900</v>
      </c>
      <c r="F25" s="662"/>
      <c r="G25" s="11" t="s">
        <v>167</v>
      </c>
      <c r="H25" s="88">
        <v>50000</v>
      </c>
      <c r="I25" s="957">
        <v>47000</v>
      </c>
      <c r="J25" s="588">
        <v>32564</v>
      </c>
      <c r="K25" s="984">
        <v>50000</v>
      </c>
      <c r="L25" s="984">
        <v>0</v>
      </c>
      <c r="M25" s="1062">
        <f t="shared" si="2"/>
        <v>50000</v>
      </c>
      <c r="N25" s="677">
        <f t="shared" si="1"/>
        <v>106.38297872340425</v>
      </c>
    </row>
    <row r="26" spans="1:15" ht="12.95" customHeight="1">
      <c r="B26" s="10"/>
      <c r="C26" s="11"/>
      <c r="D26" s="11"/>
      <c r="E26" s="636">
        <v>613900</v>
      </c>
      <c r="F26" s="662"/>
      <c r="G26" s="229" t="s">
        <v>548</v>
      </c>
      <c r="H26" s="88">
        <v>0</v>
      </c>
      <c r="I26" s="957">
        <v>0</v>
      </c>
      <c r="J26" s="588">
        <v>0</v>
      </c>
      <c r="K26" s="984">
        <v>0</v>
      </c>
      <c r="L26" s="984">
        <v>0</v>
      </c>
      <c r="M26" s="1062">
        <f t="shared" si="2"/>
        <v>0</v>
      </c>
      <c r="N26" s="677" t="str">
        <f t="shared" si="1"/>
        <v/>
      </c>
    </row>
    <row r="27" spans="1:15" s="1" customFormat="1" ht="12.95" customHeight="1">
      <c r="A27" s="608"/>
      <c r="B27" s="12"/>
      <c r="C27" s="8"/>
      <c r="D27" s="8"/>
      <c r="E27" s="635"/>
      <c r="F27" s="661"/>
      <c r="G27" s="8"/>
      <c r="H27" s="88"/>
      <c r="I27" s="957"/>
      <c r="J27" s="588"/>
      <c r="K27" s="623"/>
      <c r="L27" s="623"/>
      <c r="M27" s="1063"/>
      <c r="N27" s="677" t="str">
        <f t="shared" si="1"/>
        <v/>
      </c>
    </row>
    <row r="28" spans="1:15" s="1" customFormat="1" ht="12.95" customHeight="1">
      <c r="A28" s="608"/>
      <c r="B28" s="12"/>
      <c r="C28" s="8"/>
      <c r="D28" s="8"/>
      <c r="E28" s="635">
        <v>821000</v>
      </c>
      <c r="F28" s="661"/>
      <c r="G28" s="8" t="s">
        <v>90</v>
      </c>
      <c r="H28" s="79">
        <f>SUM(H29:H30)</f>
        <v>35000</v>
      </c>
      <c r="I28" s="956">
        <v>36080</v>
      </c>
      <c r="J28" s="587">
        <v>1580</v>
      </c>
      <c r="K28" s="622">
        <f>SUM(K29:K30)</f>
        <v>10000</v>
      </c>
      <c r="L28" s="622">
        <f>SUM(L29:L30)</f>
        <v>0</v>
      </c>
      <c r="M28" s="1064">
        <f>SUM(M29:M30)</f>
        <v>10000</v>
      </c>
      <c r="N28" s="676">
        <f t="shared" si="1"/>
        <v>27.716186252771617</v>
      </c>
    </row>
    <row r="29" spans="1:15" ht="12.95" customHeight="1">
      <c r="B29" s="10"/>
      <c r="C29" s="11"/>
      <c r="D29" s="11"/>
      <c r="E29" s="636">
        <v>821200</v>
      </c>
      <c r="F29" s="662"/>
      <c r="G29" s="11" t="s">
        <v>91</v>
      </c>
      <c r="H29" s="88">
        <v>30000</v>
      </c>
      <c r="I29" s="957">
        <v>33700</v>
      </c>
      <c r="J29" s="588">
        <v>0</v>
      </c>
      <c r="K29" s="623">
        <v>5000</v>
      </c>
      <c r="L29" s="623">
        <v>0</v>
      </c>
      <c r="M29" s="1062">
        <f t="shared" ref="M29:M30" si="3">SUM(K29:L29)</f>
        <v>5000</v>
      </c>
      <c r="N29" s="677">
        <f t="shared" si="1"/>
        <v>14.836795252225517</v>
      </c>
    </row>
    <row r="30" spans="1:15" ht="12.95" customHeight="1">
      <c r="B30" s="10"/>
      <c r="C30" s="11"/>
      <c r="D30" s="11"/>
      <c r="E30" s="636">
        <v>821300</v>
      </c>
      <c r="F30" s="662"/>
      <c r="G30" s="11" t="s">
        <v>92</v>
      </c>
      <c r="H30" s="88">
        <v>5000</v>
      </c>
      <c r="I30" s="957">
        <v>2380</v>
      </c>
      <c r="J30" s="588">
        <v>1580</v>
      </c>
      <c r="K30" s="623">
        <v>5000</v>
      </c>
      <c r="L30" s="623">
        <v>0</v>
      </c>
      <c r="M30" s="1062">
        <f t="shared" si="3"/>
        <v>5000</v>
      </c>
      <c r="N30" s="677">
        <f t="shared" si="1"/>
        <v>210.0840336134454</v>
      </c>
    </row>
    <row r="31" spans="1:15" ht="12.95" customHeight="1">
      <c r="B31" s="10"/>
      <c r="C31" s="11"/>
      <c r="D31" s="11"/>
      <c r="E31" s="636"/>
      <c r="F31" s="662"/>
      <c r="G31" s="11"/>
      <c r="H31" s="31"/>
      <c r="I31" s="954"/>
      <c r="J31" s="585"/>
      <c r="K31" s="618"/>
      <c r="L31" s="618"/>
      <c r="M31" s="1063"/>
      <c r="N31" s="677" t="str">
        <f t="shared" si="1"/>
        <v/>
      </c>
    </row>
    <row r="32" spans="1:15" s="1" customFormat="1" ht="12.95" customHeight="1">
      <c r="A32" s="608"/>
      <c r="B32" s="12"/>
      <c r="C32" s="8"/>
      <c r="D32" s="8"/>
      <c r="E32" s="635"/>
      <c r="F32" s="661"/>
      <c r="G32" s="8" t="s">
        <v>93</v>
      </c>
      <c r="H32" s="15">
        <v>16</v>
      </c>
      <c r="I32" s="953">
        <v>16</v>
      </c>
      <c r="J32" s="584">
        <v>16</v>
      </c>
      <c r="K32" s="615">
        <v>16</v>
      </c>
      <c r="L32" s="615"/>
      <c r="M32" s="1064">
        <v>16</v>
      </c>
      <c r="N32" s="677"/>
    </row>
    <row r="33" spans="1:14" s="1" customFormat="1" ht="12.95" customHeight="1">
      <c r="A33" s="608"/>
      <c r="B33" s="12"/>
      <c r="C33" s="8"/>
      <c r="D33" s="8"/>
      <c r="E33" s="635"/>
      <c r="F33" s="661"/>
      <c r="G33" s="8" t="s">
        <v>113</v>
      </c>
      <c r="H33" s="15">
        <f>H8+H13+H16+H28</f>
        <v>709290</v>
      </c>
      <c r="I33" s="15">
        <f>I8+I13+I16+I28</f>
        <v>697550</v>
      </c>
      <c r="J33" s="15">
        <f t="shared" ref="J33" si="4">J8+J13+J16+J28</f>
        <v>479613</v>
      </c>
      <c r="K33" s="615">
        <f>K8+K13+K16+K28</f>
        <v>689140</v>
      </c>
      <c r="L33" s="615">
        <f>L8+L13+L16+L28</f>
        <v>0</v>
      </c>
      <c r="M33" s="1064">
        <f>M8+M13+M16+M28</f>
        <v>689140</v>
      </c>
      <c r="N33" s="676">
        <f t="shared" si="1"/>
        <v>98.794351659379259</v>
      </c>
    </row>
    <row r="34" spans="1:14" s="1" customFormat="1" ht="12.95" customHeight="1">
      <c r="A34" s="608"/>
      <c r="B34" s="12"/>
      <c r="C34" s="8"/>
      <c r="D34" s="8"/>
      <c r="E34" s="635"/>
      <c r="F34" s="661"/>
      <c r="G34" s="8" t="s">
        <v>94</v>
      </c>
      <c r="H34" s="15">
        <f>H33</f>
        <v>709290</v>
      </c>
      <c r="I34" s="15">
        <f>I33</f>
        <v>697550</v>
      </c>
      <c r="J34" s="15">
        <f t="shared" ref="J34" si="5">J33</f>
        <v>479613</v>
      </c>
      <c r="K34" s="615">
        <f t="shared" ref="K34:M35" si="6">K33</f>
        <v>689140</v>
      </c>
      <c r="L34" s="615">
        <f t="shared" si="6"/>
        <v>0</v>
      </c>
      <c r="M34" s="1064">
        <f t="shared" si="6"/>
        <v>689140</v>
      </c>
      <c r="N34" s="676">
        <f>IF(I34=0,"",M34/I34*100)</f>
        <v>98.794351659379259</v>
      </c>
    </row>
    <row r="35" spans="1:14" s="1" customFormat="1" ht="12.95" customHeight="1">
      <c r="A35" s="608"/>
      <c r="B35" s="12"/>
      <c r="C35" s="8"/>
      <c r="D35" s="8"/>
      <c r="E35" s="635"/>
      <c r="F35" s="661"/>
      <c r="G35" s="8" t="s">
        <v>95</v>
      </c>
      <c r="H35" s="15">
        <f>H34</f>
        <v>709290</v>
      </c>
      <c r="I35" s="15">
        <f>I34</f>
        <v>697550</v>
      </c>
      <c r="J35" s="15">
        <f t="shared" ref="J35" si="7">J34</f>
        <v>479613</v>
      </c>
      <c r="K35" s="615">
        <f t="shared" si="6"/>
        <v>689140</v>
      </c>
      <c r="L35" s="615">
        <f t="shared" si="6"/>
        <v>0</v>
      </c>
      <c r="M35" s="1064">
        <f t="shared" si="6"/>
        <v>689140</v>
      </c>
      <c r="N35" s="676">
        <f t="shared" si="1"/>
        <v>98.794351659379259</v>
      </c>
    </row>
    <row r="36" spans="1:14" ht="12.95" customHeight="1" thickBot="1">
      <c r="B36" s="16"/>
      <c r="C36" s="17"/>
      <c r="D36" s="17"/>
      <c r="E36" s="637"/>
      <c r="F36" s="663"/>
      <c r="G36" s="17"/>
      <c r="H36" s="32"/>
      <c r="I36" s="32"/>
      <c r="J36" s="32"/>
      <c r="K36" s="32"/>
      <c r="L36" s="32"/>
      <c r="M36" s="1067"/>
      <c r="N36" s="679"/>
    </row>
    <row r="37" spans="1:14" ht="12.95" customHeight="1">
      <c r="E37" s="638"/>
      <c r="F37" s="664"/>
      <c r="M37" s="1070"/>
    </row>
    <row r="38" spans="1:14" ht="12.95" customHeight="1">
      <c r="E38" s="638"/>
      <c r="F38" s="664"/>
      <c r="M38" s="1070"/>
    </row>
    <row r="39" spans="1:14" ht="12.95" customHeight="1">
      <c r="B39" s="56"/>
      <c r="E39" s="638"/>
      <c r="F39" s="664"/>
      <c r="M39" s="1070"/>
    </row>
    <row r="40" spans="1:14" ht="12.95" customHeight="1">
      <c r="B40" s="56"/>
      <c r="E40" s="638"/>
      <c r="F40" s="664"/>
      <c r="M40" s="1070"/>
    </row>
    <row r="41" spans="1:14" ht="12.95" customHeight="1">
      <c r="B41" s="56"/>
      <c r="E41" s="638"/>
      <c r="F41" s="664"/>
      <c r="M41" s="1070"/>
    </row>
    <row r="42" spans="1:14" ht="12.95" customHeight="1">
      <c r="B42" s="56"/>
      <c r="E42" s="638"/>
      <c r="F42" s="664"/>
      <c r="M42" s="1070"/>
    </row>
    <row r="43" spans="1:14" ht="12.95" customHeight="1">
      <c r="B43" s="56"/>
      <c r="E43" s="638"/>
      <c r="F43" s="664"/>
      <c r="M43" s="1070"/>
    </row>
    <row r="44" spans="1:14" ht="12.95" customHeight="1">
      <c r="E44" s="638"/>
      <c r="F44" s="664"/>
      <c r="M44" s="1070"/>
    </row>
    <row r="45" spans="1:14" ht="12.95" customHeight="1">
      <c r="E45" s="638"/>
      <c r="F45" s="664"/>
      <c r="M45" s="1070"/>
    </row>
    <row r="46" spans="1:14" ht="12.95" customHeight="1">
      <c r="E46" s="638"/>
      <c r="F46" s="664"/>
      <c r="M46" s="1070"/>
    </row>
    <row r="47" spans="1:14" ht="12.95" customHeight="1">
      <c r="E47" s="638"/>
      <c r="F47" s="664"/>
      <c r="M47" s="1070"/>
    </row>
    <row r="48" spans="1:14" ht="12.95" customHeight="1">
      <c r="E48" s="638"/>
      <c r="F48" s="664"/>
      <c r="M48" s="1070"/>
    </row>
    <row r="49" spans="5:13" ht="12.95" customHeight="1">
      <c r="E49" s="638"/>
      <c r="F49" s="664"/>
      <c r="M49" s="1070"/>
    </row>
    <row r="50" spans="5:13" ht="12.95" customHeight="1">
      <c r="E50" s="638"/>
      <c r="F50" s="664"/>
      <c r="M50" s="1070"/>
    </row>
    <row r="51" spans="5:13" ht="12.95" customHeight="1">
      <c r="E51" s="638"/>
      <c r="F51" s="664"/>
      <c r="M51" s="1070"/>
    </row>
    <row r="52" spans="5:13" ht="12.95" customHeight="1">
      <c r="E52" s="638"/>
      <c r="F52" s="664"/>
      <c r="M52" s="1070"/>
    </row>
    <row r="53" spans="5:13" ht="12.95" customHeight="1">
      <c r="E53" s="638"/>
      <c r="F53" s="664"/>
      <c r="M53" s="1070"/>
    </row>
    <row r="54" spans="5:13" ht="12.95" customHeight="1">
      <c r="E54" s="638"/>
      <c r="F54" s="664"/>
      <c r="M54" s="1070"/>
    </row>
    <row r="55" spans="5:13" ht="12.95" customHeight="1">
      <c r="E55" s="638"/>
      <c r="F55" s="664"/>
      <c r="M55" s="1070"/>
    </row>
    <row r="56" spans="5:13" ht="12.95" customHeight="1">
      <c r="E56" s="638"/>
      <c r="F56" s="664"/>
      <c r="M56" s="1070"/>
    </row>
    <row r="57" spans="5:13" ht="12.95" customHeight="1">
      <c r="E57" s="638"/>
      <c r="F57" s="664"/>
      <c r="M57" s="1070"/>
    </row>
    <row r="58" spans="5:13" ht="12.95" customHeight="1">
      <c r="E58" s="638"/>
      <c r="F58" s="664"/>
      <c r="M58" s="1070"/>
    </row>
    <row r="59" spans="5:13" ht="12.95" customHeight="1">
      <c r="E59" s="638"/>
      <c r="F59" s="664"/>
      <c r="M59" s="1070"/>
    </row>
    <row r="60" spans="5:13" ht="17.100000000000001" customHeight="1">
      <c r="E60" s="638"/>
      <c r="F60" s="664"/>
      <c r="M60" s="1070"/>
    </row>
    <row r="61" spans="5:13" ht="14.25">
      <c r="E61" s="638"/>
      <c r="F61" s="664"/>
      <c r="M61" s="1070"/>
    </row>
    <row r="62" spans="5:13" ht="14.25">
      <c r="E62" s="638"/>
      <c r="F62" s="664"/>
      <c r="M62" s="1070"/>
    </row>
    <row r="63" spans="5:13" ht="14.25">
      <c r="E63" s="638"/>
      <c r="F63" s="664"/>
      <c r="M63" s="1070"/>
    </row>
    <row r="64" spans="5:13" ht="14.25">
      <c r="E64" s="638"/>
      <c r="F64" s="664"/>
      <c r="M64" s="1070"/>
    </row>
    <row r="65" spans="5:13" ht="14.25">
      <c r="E65" s="638"/>
      <c r="F65" s="664"/>
      <c r="M65" s="1070"/>
    </row>
    <row r="66" spans="5:13" ht="14.25">
      <c r="E66" s="638"/>
      <c r="F66" s="664"/>
      <c r="M66" s="1070"/>
    </row>
    <row r="67" spans="5:13" ht="14.25">
      <c r="E67" s="638"/>
      <c r="F67" s="664"/>
      <c r="M67" s="1070"/>
    </row>
    <row r="68" spans="5:13" ht="14.25">
      <c r="E68" s="638"/>
      <c r="F68" s="664"/>
      <c r="M68" s="1070"/>
    </row>
    <row r="69" spans="5:13" ht="14.25">
      <c r="E69" s="638"/>
      <c r="F69" s="664"/>
      <c r="M69" s="1070"/>
    </row>
    <row r="70" spans="5:13" ht="14.25">
      <c r="E70" s="638"/>
      <c r="F70" s="664"/>
      <c r="M70" s="1070"/>
    </row>
    <row r="71" spans="5:13" ht="14.25">
      <c r="E71" s="638"/>
      <c r="F71" s="664"/>
      <c r="M71" s="1070"/>
    </row>
    <row r="72" spans="5:13" ht="14.25">
      <c r="E72" s="638"/>
      <c r="F72" s="664"/>
      <c r="M72" s="1070"/>
    </row>
    <row r="73" spans="5:13" ht="14.25">
      <c r="E73" s="638"/>
      <c r="F73" s="664"/>
      <c r="M73" s="1070"/>
    </row>
    <row r="74" spans="5:13" ht="14.25">
      <c r="E74" s="638"/>
      <c r="F74" s="638"/>
      <c r="M74" s="1070"/>
    </row>
    <row r="75" spans="5:13" ht="14.25">
      <c r="E75" s="638"/>
      <c r="F75" s="638"/>
      <c r="M75" s="1070"/>
    </row>
    <row r="76" spans="5:13" ht="14.25">
      <c r="E76" s="638"/>
      <c r="F76" s="638"/>
      <c r="M76" s="1070"/>
    </row>
    <row r="77" spans="5:13" ht="14.25">
      <c r="E77" s="638"/>
      <c r="F77" s="638"/>
      <c r="M77" s="1070"/>
    </row>
    <row r="78" spans="5:13" ht="14.25">
      <c r="E78" s="638"/>
      <c r="F78" s="638"/>
      <c r="M78" s="1070"/>
    </row>
    <row r="79" spans="5:13" ht="14.25">
      <c r="E79" s="638"/>
      <c r="F79" s="638"/>
      <c r="M79" s="1070"/>
    </row>
    <row r="80" spans="5:13" ht="14.25">
      <c r="E80" s="638"/>
      <c r="F80" s="638"/>
      <c r="M80" s="1070"/>
    </row>
    <row r="81" spans="5:13" ht="14.25">
      <c r="E81" s="638"/>
      <c r="F81" s="638"/>
      <c r="M81" s="1070"/>
    </row>
    <row r="82" spans="5:13" ht="14.25">
      <c r="E82" s="638"/>
      <c r="F82" s="638"/>
      <c r="M82" s="1070"/>
    </row>
    <row r="83" spans="5:13" ht="14.25">
      <c r="E83" s="638"/>
      <c r="F83" s="638"/>
      <c r="M83" s="1070"/>
    </row>
    <row r="84" spans="5:13" ht="14.25">
      <c r="E84" s="638"/>
      <c r="F84" s="638"/>
      <c r="M84" s="1070"/>
    </row>
    <row r="85" spans="5:13" ht="14.25">
      <c r="E85" s="638"/>
      <c r="F85" s="638"/>
      <c r="M85" s="1070"/>
    </row>
    <row r="86" spans="5:13" ht="14.25">
      <c r="E86" s="638"/>
      <c r="F86" s="638"/>
      <c r="M86" s="1070"/>
    </row>
    <row r="87" spans="5:13" ht="14.25">
      <c r="E87" s="638"/>
      <c r="F87" s="638"/>
      <c r="M87" s="1070"/>
    </row>
    <row r="88" spans="5:13" ht="14.25">
      <c r="E88" s="638"/>
      <c r="F88" s="638"/>
      <c r="M88" s="1070"/>
    </row>
    <row r="89" spans="5:13" ht="14.25">
      <c r="E89" s="638"/>
      <c r="F89" s="638"/>
      <c r="M89" s="1070"/>
    </row>
    <row r="90" spans="5:13" ht="14.25">
      <c r="E90" s="638"/>
      <c r="F90" s="638"/>
      <c r="M90" s="1070"/>
    </row>
    <row r="91" spans="5:13">
      <c r="F91" s="638"/>
    </row>
    <row r="92" spans="5:13">
      <c r="F92" s="638"/>
    </row>
    <row r="93" spans="5:13">
      <c r="F93" s="638"/>
    </row>
    <row r="94" spans="5:13">
      <c r="F94" s="638"/>
    </row>
    <row r="95" spans="5:13">
      <c r="F95" s="638"/>
    </row>
    <row r="96" spans="5:13">
      <c r="F96" s="638"/>
    </row>
  </sheetData>
  <mergeCells count="13">
    <mergeCell ref="N4:N5"/>
    <mergeCell ref="G4:G5"/>
    <mergeCell ref="B2:H2"/>
    <mergeCell ref="G3:H3"/>
    <mergeCell ref="K4:M4"/>
    <mergeCell ref="B4:B5"/>
    <mergeCell ref="C4:C5"/>
    <mergeCell ref="D4:D5"/>
    <mergeCell ref="F4:F5"/>
    <mergeCell ref="E4:E5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0"/>
  <dimension ref="A1:P96"/>
  <sheetViews>
    <sheetView zoomScaleNormal="100" workbookViewId="0">
      <selection activeCell="Q14" sqref="Q14"/>
    </sheetView>
  </sheetViews>
  <sheetFormatPr defaultRowHeight="12.75"/>
  <cols>
    <col min="1" max="1" width="9.140625" style="611"/>
    <col min="2" max="2" width="4.7109375" style="9" customWidth="1"/>
    <col min="3" max="3" width="5.140625" style="9" customWidth="1"/>
    <col min="4" max="4" width="5" style="9" customWidth="1"/>
    <col min="5" max="5" width="8.7109375" style="18" customWidth="1"/>
    <col min="6" max="6" width="8.7109375" style="616" customWidth="1"/>
    <col min="7" max="7" width="50.7109375" style="9" customWidth="1"/>
    <col min="8" max="10" width="14.7109375" style="9" customWidth="1"/>
    <col min="11" max="12" width="14.7109375" style="611" customWidth="1"/>
    <col min="13" max="13" width="15.7109375" style="9" customWidth="1"/>
    <col min="14" max="14" width="7.7109375" style="680" customWidth="1"/>
    <col min="15" max="16384" width="9.140625" style="9"/>
  </cols>
  <sheetData>
    <row r="1" spans="1:16" ht="13.5" thickBot="1"/>
    <row r="2" spans="1:16" s="1052" customFormat="1" ht="20.100000000000001" customHeight="1" thickTop="1" thickBot="1">
      <c r="B2" s="1261" t="s">
        <v>229</v>
      </c>
      <c r="C2" s="1262"/>
      <c r="D2" s="1262"/>
      <c r="E2" s="1262"/>
      <c r="F2" s="1262"/>
      <c r="G2" s="1262"/>
      <c r="H2" s="1262"/>
      <c r="I2" s="1262"/>
      <c r="J2" s="1262"/>
      <c r="K2" s="1262"/>
      <c r="L2" s="1262"/>
      <c r="M2" s="1262"/>
      <c r="N2" s="1056"/>
    </row>
    <row r="3" spans="1:16" s="1" customFormat="1" ht="8.1" customHeight="1" thickTop="1" thickBot="1">
      <c r="A3" s="608"/>
      <c r="E3" s="2"/>
      <c r="F3" s="609"/>
      <c r="G3" s="1264"/>
      <c r="H3" s="1264"/>
      <c r="I3" s="306"/>
      <c r="J3" s="306"/>
      <c r="K3" s="119"/>
      <c r="L3" s="119"/>
      <c r="M3" s="119"/>
      <c r="N3" s="674"/>
    </row>
    <row r="4" spans="1:16" s="1" customFormat="1" ht="39" customHeight="1">
      <c r="A4" s="608"/>
      <c r="B4" s="1268" t="s">
        <v>78</v>
      </c>
      <c r="C4" s="1280" t="s">
        <v>79</v>
      </c>
      <c r="D4" s="1281" t="s">
        <v>110</v>
      </c>
      <c r="E4" s="1282" t="s">
        <v>615</v>
      </c>
      <c r="F4" s="1273" t="s">
        <v>695</v>
      </c>
      <c r="G4" s="1274" t="s">
        <v>80</v>
      </c>
      <c r="H4" s="1283" t="s">
        <v>614</v>
      </c>
      <c r="I4" s="1284" t="s">
        <v>747</v>
      </c>
      <c r="J4" s="1283" t="s">
        <v>667</v>
      </c>
      <c r="K4" s="1265" t="s">
        <v>682</v>
      </c>
      <c r="L4" s="1266"/>
      <c r="M4" s="1267"/>
      <c r="N4" s="1278" t="s">
        <v>756</v>
      </c>
    </row>
    <row r="5" spans="1:16" s="608" customFormat="1" ht="27" customHeight="1">
      <c r="B5" s="1269"/>
      <c r="C5" s="1271"/>
      <c r="D5" s="1271"/>
      <c r="E5" s="1275"/>
      <c r="F5" s="1271"/>
      <c r="G5" s="1275"/>
      <c r="H5" s="1275"/>
      <c r="I5" s="1275"/>
      <c r="J5" s="1275"/>
      <c r="K5" s="1048" t="s">
        <v>753</v>
      </c>
      <c r="L5" s="1048" t="s">
        <v>754</v>
      </c>
      <c r="M5" s="1059" t="s">
        <v>426</v>
      </c>
      <c r="N5" s="1279"/>
    </row>
    <row r="6" spans="1:16" s="2" customFormat="1" ht="12.95" customHeight="1">
      <c r="A6" s="609"/>
      <c r="B6" s="1181">
        <v>1</v>
      </c>
      <c r="C6" s="661">
        <v>2</v>
      </c>
      <c r="D6" s="661">
        <v>3</v>
      </c>
      <c r="E6" s="661">
        <v>4</v>
      </c>
      <c r="F6" s="661">
        <v>5</v>
      </c>
      <c r="G6" s="661">
        <v>6</v>
      </c>
      <c r="H6" s="661">
        <v>7</v>
      </c>
      <c r="I6" s="661">
        <v>8</v>
      </c>
      <c r="J6" s="661">
        <v>9</v>
      </c>
      <c r="K6" s="661">
        <v>10</v>
      </c>
      <c r="L6" s="661">
        <v>11</v>
      </c>
      <c r="M6" s="1201" t="s">
        <v>755</v>
      </c>
      <c r="N6" s="1183">
        <v>13</v>
      </c>
    </row>
    <row r="7" spans="1:16" s="2" customFormat="1" ht="12.95" customHeight="1">
      <c r="A7" s="609"/>
      <c r="B7" s="6" t="s">
        <v>156</v>
      </c>
      <c r="C7" s="7" t="s">
        <v>81</v>
      </c>
      <c r="D7" s="7" t="s">
        <v>82</v>
      </c>
      <c r="E7" s="5"/>
      <c r="F7" s="610"/>
      <c r="G7" s="5"/>
      <c r="H7" s="5"/>
      <c r="I7" s="5"/>
      <c r="J7" s="5"/>
      <c r="K7" s="610"/>
      <c r="L7" s="610"/>
      <c r="M7" s="1060"/>
      <c r="N7" s="675"/>
    </row>
    <row r="8" spans="1:16" s="1" customFormat="1" ht="12.95" customHeight="1">
      <c r="A8" s="608"/>
      <c r="B8" s="12"/>
      <c r="C8" s="8"/>
      <c r="D8" s="8"/>
      <c r="E8" s="635">
        <v>611000</v>
      </c>
      <c r="F8" s="661"/>
      <c r="G8" s="8" t="s">
        <v>163</v>
      </c>
      <c r="H8" s="256">
        <f>SUM(H9:H11)</f>
        <v>67890</v>
      </c>
      <c r="I8" s="968">
        <v>67940</v>
      </c>
      <c r="J8" s="599">
        <v>49507</v>
      </c>
      <c r="K8" s="256">
        <f>SUM(K9:K11)</f>
        <v>70000</v>
      </c>
      <c r="L8" s="256">
        <f>SUM(L9:L11)</f>
        <v>0</v>
      </c>
      <c r="M8" s="1061">
        <f>SUM(M9:M11)</f>
        <v>70000</v>
      </c>
      <c r="N8" s="676">
        <f>IF(I8=0,"",M8/I8*100)</f>
        <v>103.03208713570797</v>
      </c>
    </row>
    <row r="9" spans="1:16" ht="12.95" customHeight="1">
      <c r="B9" s="10"/>
      <c r="C9" s="11"/>
      <c r="D9" s="11"/>
      <c r="E9" s="636">
        <v>611100</v>
      </c>
      <c r="F9" s="662"/>
      <c r="G9" s="20" t="s">
        <v>204</v>
      </c>
      <c r="H9" s="255">
        <f>56140+500+1690</f>
        <v>58330</v>
      </c>
      <c r="I9" s="967">
        <v>58030</v>
      </c>
      <c r="J9" s="598">
        <v>42767</v>
      </c>
      <c r="K9" s="255">
        <f>58800+500+500</f>
        <v>59800</v>
      </c>
      <c r="L9" s="255">
        <v>0</v>
      </c>
      <c r="M9" s="1062">
        <f>SUM(K9:L9)</f>
        <v>59800</v>
      </c>
      <c r="N9" s="677">
        <f>IF(I9=0,"",M9/I9*100)</f>
        <v>103.05014647596072</v>
      </c>
    </row>
    <row r="10" spans="1:16" ht="12.95" customHeight="1">
      <c r="B10" s="10"/>
      <c r="C10" s="11"/>
      <c r="D10" s="11"/>
      <c r="E10" s="636">
        <v>611200</v>
      </c>
      <c r="F10" s="662"/>
      <c r="G10" s="11" t="s">
        <v>205</v>
      </c>
      <c r="H10" s="255">
        <f>9060+500</f>
        <v>9560</v>
      </c>
      <c r="I10" s="967">
        <v>9910</v>
      </c>
      <c r="J10" s="598">
        <v>6740</v>
      </c>
      <c r="K10" s="255">
        <f>9100+200+900</f>
        <v>10200</v>
      </c>
      <c r="L10" s="255">
        <v>0</v>
      </c>
      <c r="M10" s="1062">
        <f t="shared" ref="M10:M11" si="0">SUM(K10:L10)</f>
        <v>10200</v>
      </c>
      <c r="N10" s="677">
        <f t="shared" ref="N10:N35" si="1">IF(I10=0,"",M10/I10*100)</f>
        <v>102.9263370332997</v>
      </c>
    </row>
    <row r="11" spans="1:16" ht="12.95" customHeight="1">
      <c r="B11" s="10"/>
      <c r="C11" s="11"/>
      <c r="D11" s="11"/>
      <c r="E11" s="636">
        <v>611200</v>
      </c>
      <c r="F11" s="662"/>
      <c r="G11" s="686" t="s">
        <v>547</v>
      </c>
      <c r="H11" s="255">
        <v>0</v>
      </c>
      <c r="I11" s="967">
        <v>0</v>
      </c>
      <c r="J11" s="598">
        <v>0</v>
      </c>
      <c r="K11" s="255">
        <v>0</v>
      </c>
      <c r="L11" s="255">
        <v>0</v>
      </c>
      <c r="M11" s="1062">
        <f t="shared" si="0"/>
        <v>0</v>
      </c>
      <c r="N11" s="677" t="str">
        <f t="shared" si="1"/>
        <v/>
      </c>
      <c r="P11" s="63"/>
    </row>
    <row r="12" spans="1:16" ht="12.95" customHeight="1">
      <c r="B12" s="10"/>
      <c r="C12" s="11"/>
      <c r="D12" s="11"/>
      <c r="E12" s="636"/>
      <c r="F12" s="662"/>
      <c r="G12" s="11"/>
      <c r="H12" s="256"/>
      <c r="I12" s="968"/>
      <c r="J12" s="599"/>
      <c r="K12" s="256"/>
      <c r="L12" s="256"/>
      <c r="M12" s="1061"/>
      <c r="N12" s="677" t="str">
        <f t="shared" si="1"/>
        <v/>
      </c>
    </row>
    <row r="13" spans="1:16" s="1" customFormat="1" ht="12.95" customHeight="1">
      <c r="A13" s="608"/>
      <c r="B13" s="12"/>
      <c r="C13" s="8"/>
      <c r="D13" s="8"/>
      <c r="E13" s="635">
        <v>612000</v>
      </c>
      <c r="F13" s="661"/>
      <c r="G13" s="8" t="s">
        <v>162</v>
      </c>
      <c r="H13" s="256">
        <f>H14</f>
        <v>6270</v>
      </c>
      <c r="I13" s="968">
        <v>6220</v>
      </c>
      <c r="J13" s="599">
        <v>4552</v>
      </c>
      <c r="K13" s="256">
        <f>K14</f>
        <v>6420</v>
      </c>
      <c r="L13" s="256">
        <f>L14</f>
        <v>0</v>
      </c>
      <c r="M13" s="1061">
        <f>M14</f>
        <v>6420</v>
      </c>
      <c r="N13" s="676">
        <f t="shared" si="1"/>
        <v>103.21543408360128</v>
      </c>
    </row>
    <row r="14" spans="1:16" ht="12.95" customHeight="1">
      <c r="B14" s="10"/>
      <c r="C14" s="11"/>
      <c r="D14" s="11"/>
      <c r="E14" s="636">
        <v>612100</v>
      </c>
      <c r="F14" s="662"/>
      <c r="G14" s="13" t="s">
        <v>83</v>
      </c>
      <c r="H14" s="255">
        <f>5990+100+180</f>
        <v>6270</v>
      </c>
      <c r="I14" s="967">
        <v>6220</v>
      </c>
      <c r="J14" s="598">
        <v>4552</v>
      </c>
      <c r="K14" s="255">
        <f>6290+60+70</f>
        <v>6420</v>
      </c>
      <c r="L14" s="255">
        <v>0</v>
      </c>
      <c r="M14" s="1062">
        <f>SUM(K14:L14)</f>
        <v>6420</v>
      </c>
      <c r="N14" s="677">
        <f t="shared" si="1"/>
        <v>103.21543408360128</v>
      </c>
    </row>
    <row r="15" spans="1:16" ht="12.95" customHeight="1">
      <c r="B15" s="10"/>
      <c r="C15" s="11"/>
      <c r="D15" s="11"/>
      <c r="E15" s="636"/>
      <c r="F15" s="662"/>
      <c r="G15" s="11"/>
      <c r="H15" s="35"/>
      <c r="I15" s="963"/>
      <c r="J15" s="594"/>
      <c r="K15" s="620"/>
      <c r="L15" s="620"/>
      <c r="M15" s="1064"/>
      <c r="N15" s="677" t="str">
        <f t="shared" si="1"/>
        <v/>
      </c>
    </row>
    <row r="16" spans="1:16" s="1" customFormat="1" ht="12.95" customHeight="1">
      <c r="A16" s="608"/>
      <c r="B16" s="12"/>
      <c r="C16" s="8"/>
      <c r="D16" s="8"/>
      <c r="E16" s="635">
        <v>613000</v>
      </c>
      <c r="F16" s="661"/>
      <c r="G16" s="8" t="s">
        <v>164</v>
      </c>
      <c r="H16" s="35">
        <f>SUM(H17:H26)</f>
        <v>8200</v>
      </c>
      <c r="I16" s="963">
        <v>6400</v>
      </c>
      <c r="J16" s="594">
        <v>3629</v>
      </c>
      <c r="K16" s="620">
        <f>SUM(K17:K26)</f>
        <v>17700</v>
      </c>
      <c r="L16" s="620">
        <f>SUM(L17:L26)</f>
        <v>0</v>
      </c>
      <c r="M16" s="1064">
        <f>SUM(M17:M26)</f>
        <v>17700</v>
      </c>
      <c r="N16" s="676">
        <f t="shared" si="1"/>
        <v>276.5625</v>
      </c>
    </row>
    <row r="17" spans="1:15" ht="12.95" customHeight="1">
      <c r="B17" s="10"/>
      <c r="C17" s="11"/>
      <c r="D17" s="11"/>
      <c r="E17" s="636">
        <v>613100</v>
      </c>
      <c r="F17" s="662"/>
      <c r="G17" s="11" t="s">
        <v>84</v>
      </c>
      <c r="H17" s="30">
        <v>1000</v>
      </c>
      <c r="I17" s="962">
        <v>200</v>
      </c>
      <c r="J17" s="593">
        <v>0</v>
      </c>
      <c r="K17" s="962">
        <v>1000</v>
      </c>
      <c r="L17" s="962">
        <v>0</v>
      </c>
      <c r="M17" s="1062">
        <f t="shared" ref="M17:M26" si="2">SUM(K17:L17)</f>
        <v>1000</v>
      </c>
      <c r="N17" s="677">
        <f t="shared" si="1"/>
        <v>500</v>
      </c>
    </row>
    <row r="18" spans="1:15" ht="12.95" customHeight="1">
      <c r="B18" s="10"/>
      <c r="C18" s="11"/>
      <c r="D18" s="11"/>
      <c r="E18" s="636">
        <v>613200</v>
      </c>
      <c r="F18" s="662"/>
      <c r="G18" s="11" t="s">
        <v>85</v>
      </c>
      <c r="H18" s="30">
        <v>0</v>
      </c>
      <c r="I18" s="962">
        <v>0</v>
      </c>
      <c r="J18" s="593">
        <v>0</v>
      </c>
      <c r="K18" s="962">
        <v>0</v>
      </c>
      <c r="L18" s="962">
        <v>0</v>
      </c>
      <c r="M18" s="1062">
        <f t="shared" si="2"/>
        <v>0</v>
      </c>
      <c r="N18" s="677" t="str">
        <f t="shared" si="1"/>
        <v/>
      </c>
    </row>
    <row r="19" spans="1:15" ht="12.95" customHeight="1">
      <c r="B19" s="10"/>
      <c r="C19" s="11"/>
      <c r="D19" s="11"/>
      <c r="E19" s="636">
        <v>613300</v>
      </c>
      <c r="F19" s="662"/>
      <c r="G19" s="20" t="s">
        <v>206</v>
      </c>
      <c r="H19" s="57">
        <v>4000</v>
      </c>
      <c r="I19" s="964">
        <v>3500</v>
      </c>
      <c r="J19" s="595">
        <v>2333</v>
      </c>
      <c r="K19" s="982">
        <v>3500</v>
      </c>
      <c r="L19" s="982">
        <v>0</v>
      </c>
      <c r="M19" s="1062">
        <f t="shared" si="2"/>
        <v>3500</v>
      </c>
      <c r="N19" s="677">
        <f t="shared" si="1"/>
        <v>100</v>
      </c>
      <c r="O19" s="56"/>
    </row>
    <row r="20" spans="1:15" ht="12.95" customHeight="1">
      <c r="B20" s="10"/>
      <c r="C20" s="11"/>
      <c r="D20" s="11"/>
      <c r="E20" s="636">
        <v>613400</v>
      </c>
      <c r="F20" s="662"/>
      <c r="G20" s="11" t="s">
        <v>165</v>
      </c>
      <c r="H20" s="30">
        <v>1200</v>
      </c>
      <c r="I20" s="962">
        <v>1200</v>
      </c>
      <c r="J20" s="593">
        <v>643</v>
      </c>
      <c r="K20" s="962">
        <v>1200</v>
      </c>
      <c r="L20" s="962">
        <v>0</v>
      </c>
      <c r="M20" s="1062">
        <f t="shared" si="2"/>
        <v>1200</v>
      </c>
      <c r="N20" s="677">
        <f t="shared" si="1"/>
        <v>100</v>
      </c>
    </row>
    <row r="21" spans="1:15" ht="12.95" customHeight="1">
      <c r="B21" s="10"/>
      <c r="C21" s="11"/>
      <c r="D21" s="11"/>
      <c r="E21" s="636">
        <v>613500</v>
      </c>
      <c r="F21" s="662"/>
      <c r="G21" s="11" t="s">
        <v>86</v>
      </c>
      <c r="H21" s="30">
        <v>0</v>
      </c>
      <c r="I21" s="962">
        <v>0</v>
      </c>
      <c r="J21" s="593">
        <v>0</v>
      </c>
      <c r="K21" s="962">
        <v>0</v>
      </c>
      <c r="L21" s="962">
        <v>0</v>
      </c>
      <c r="M21" s="1062">
        <f t="shared" si="2"/>
        <v>0</v>
      </c>
      <c r="N21" s="677" t="str">
        <f t="shared" si="1"/>
        <v/>
      </c>
    </row>
    <row r="22" spans="1:15" ht="12.95" customHeight="1">
      <c r="B22" s="10"/>
      <c r="C22" s="11"/>
      <c r="D22" s="11"/>
      <c r="E22" s="636">
        <v>613600</v>
      </c>
      <c r="F22" s="662"/>
      <c r="G22" s="20" t="s">
        <v>207</v>
      </c>
      <c r="H22" s="30">
        <v>0</v>
      </c>
      <c r="I22" s="962">
        <v>0</v>
      </c>
      <c r="J22" s="593">
        <v>0</v>
      </c>
      <c r="K22" s="962">
        <v>0</v>
      </c>
      <c r="L22" s="962">
        <v>0</v>
      </c>
      <c r="M22" s="1062">
        <f t="shared" si="2"/>
        <v>0</v>
      </c>
      <c r="N22" s="677" t="str">
        <f t="shared" si="1"/>
        <v/>
      </c>
    </row>
    <row r="23" spans="1:15" ht="12.95" customHeight="1">
      <c r="B23" s="10"/>
      <c r="C23" s="11"/>
      <c r="D23" s="11"/>
      <c r="E23" s="636">
        <v>613700</v>
      </c>
      <c r="F23" s="662"/>
      <c r="G23" s="11" t="s">
        <v>87</v>
      </c>
      <c r="H23" s="57">
        <v>500</v>
      </c>
      <c r="I23" s="964">
        <v>500</v>
      </c>
      <c r="J23" s="595">
        <v>207</v>
      </c>
      <c r="K23" s="982">
        <v>500</v>
      </c>
      <c r="L23" s="982">
        <v>0</v>
      </c>
      <c r="M23" s="1062">
        <f t="shared" si="2"/>
        <v>500</v>
      </c>
      <c r="N23" s="677">
        <f t="shared" si="1"/>
        <v>100</v>
      </c>
    </row>
    <row r="24" spans="1:15" ht="12.95" customHeight="1">
      <c r="B24" s="10"/>
      <c r="C24" s="11"/>
      <c r="D24" s="11"/>
      <c r="E24" s="636">
        <v>613800</v>
      </c>
      <c r="F24" s="662"/>
      <c r="G24" s="11" t="s">
        <v>166</v>
      </c>
      <c r="H24" s="57">
        <v>0</v>
      </c>
      <c r="I24" s="964">
        <v>0</v>
      </c>
      <c r="J24" s="595">
        <v>0</v>
      </c>
      <c r="K24" s="982">
        <v>0</v>
      </c>
      <c r="L24" s="982">
        <v>0</v>
      </c>
      <c r="M24" s="1062">
        <f t="shared" si="2"/>
        <v>0</v>
      </c>
      <c r="N24" s="677" t="str">
        <f t="shared" si="1"/>
        <v/>
      </c>
    </row>
    <row r="25" spans="1:15" ht="12.95" customHeight="1">
      <c r="B25" s="10"/>
      <c r="C25" s="11"/>
      <c r="D25" s="11"/>
      <c r="E25" s="636">
        <v>613900</v>
      </c>
      <c r="F25" s="662"/>
      <c r="G25" s="11" t="s">
        <v>167</v>
      </c>
      <c r="H25" s="57">
        <v>1500</v>
      </c>
      <c r="I25" s="964">
        <v>1000</v>
      </c>
      <c r="J25" s="595">
        <v>446</v>
      </c>
      <c r="K25" s="982">
        <v>11500</v>
      </c>
      <c r="L25" s="982">
        <v>0</v>
      </c>
      <c r="M25" s="1062">
        <f t="shared" si="2"/>
        <v>11500</v>
      </c>
      <c r="N25" s="677">
        <f t="shared" si="1"/>
        <v>1150</v>
      </c>
    </row>
    <row r="26" spans="1:15" ht="12.95" customHeight="1">
      <c r="B26" s="10"/>
      <c r="C26" s="11"/>
      <c r="D26" s="11"/>
      <c r="E26" s="636">
        <v>613900</v>
      </c>
      <c r="F26" s="662"/>
      <c r="G26" s="20" t="s">
        <v>634</v>
      </c>
      <c r="H26" s="88">
        <v>0</v>
      </c>
      <c r="I26" s="966">
        <v>0</v>
      </c>
      <c r="J26" s="597">
        <v>0</v>
      </c>
      <c r="K26" s="984">
        <v>0</v>
      </c>
      <c r="L26" s="984">
        <v>0</v>
      </c>
      <c r="M26" s="1062">
        <f t="shared" si="2"/>
        <v>0</v>
      </c>
      <c r="N26" s="677" t="str">
        <f t="shared" si="1"/>
        <v/>
      </c>
    </row>
    <row r="27" spans="1:15" ht="12.95" customHeight="1">
      <c r="B27" s="10"/>
      <c r="C27" s="11"/>
      <c r="D27" s="11"/>
      <c r="E27" s="636"/>
      <c r="F27" s="662"/>
      <c r="G27" s="11"/>
      <c r="H27" s="79"/>
      <c r="I27" s="965"/>
      <c r="J27" s="596"/>
      <c r="K27" s="622"/>
      <c r="L27" s="622"/>
      <c r="M27" s="1064"/>
      <c r="N27" s="677" t="str">
        <f t="shared" si="1"/>
        <v/>
      </c>
    </row>
    <row r="28" spans="1:15" s="1" customFormat="1" ht="12.95" customHeight="1">
      <c r="A28" s="608"/>
      <c r="B28" s="12"/>
      <c r="C28" s="8"/>
      <c r="D28" s="8"/>
      <c r="E28" s="635">
        <v>821000</v>
      </c>
      <c r="F28" s="661"/>
      <c r="G28" s="8" t="s">
        <v>90</v>
      </c>
      <c r="H28" s="79">
        <f>H29+H30</f>
        <v>500</v>
      </c>
      <c r="I28" s="965">
        <v>500</v>
      </c>
      <c r="J28" s="596">
        <v>0</v>
      </c>
      <c r="K28" s="622">
        <f>K29+K30</f>
        <v>1000</v>
      </c>
      <c r="L28" s="622">
        <f>L29+L30</f>
        <v>0</v>
      </c>
      <c r="M28" s="1064">
        <f>M29+M30</f>
        <v>1000</v>
      </c>
      <c r="N28" s="676">
        <f t="shared" si="1"/>
        <v>200</v>
      </c>
    </row>
    <row r="29" spans="1:15" ht="12.95" customHeight="1">
      <c r="B29" s="10"/>
      <c r="C29" s="11"/>
      <c r="D29" s="11"/>
      <c r="E29" s="636">
        <v>821200</v>
      </c>
      <c r="F29" s="662"/>
      <c r="G29" s="11" t="s">
        <v>91</v>
      </c>
      <c r="H29" s="57">
        <v>0</v>
      </c>
      <c r="I29" s="964">
        <v>0</v>
      </c>
      <c r="J29" s="595">
        <v>0</v>
      </c>
      <c r="K29" s="595">
        <v>0</v>
      </c>
      <c r="L29" s="595">
        <v>0</v>
      </c>
      <c r="M29" s="1062">
        <f t="shared" ref="M29:M30" si="3">SUM(K29:L29)</f>
        <v>0</v>
      </c>
      <c r="N29" s="677" t="str">
        <f t="shared" si="1"/>
        <v/>
      </c>
    </row>
    <row r="30" spans="1:15" ht="12.95" customHeight="1">
      <c r="B30" s="10"/>
      <c r="C30" s="11"/>
      <c r="D30" s="11"/>
      <c r="E30" s="636">
        <v>821300</v>
      </c>
      <c r="F30" s="662"/>
      <c r="G30" s="11" t="s">
        <v>92</v>
      </c>
      <c r="H30" s="57">
        <v>500</v>
      </c>
      <c r="I30" s="964">
        <v>500</v>
      </c>
      <c r="J30" s="595">
        <v>0</v>
      </c>
      <c r="K30" s="595">
        <v>1000</v>
      </c>
      <c r="L30" s="595">
        <v>0</v>
      </c>
      <c r="M30" s="1062">
        <f t="shared" si="3"/>
        <v>1000</v>
      </c>
      <c r="N30" s="677">
        <f t="shared" si="1"/>
        <v>200</v>
      </c>
    </row>
    <row r="31" spans="1:15" ht="12.95" customHeight="1">
      <c r="B31" s="10"/>
      <c r="C31" s="11"/>
      <c r="D31" s="11"/>
      <c r="E31" s="636"/>
      <c r="F31" s="662"/>
      <c r="G31" s="11"/>
      <c r="H31" s="15"/>
      <c r="I31" s="961"/>
      <c r="J31" s="592"/>
      <c r="K31" s="615"/>
      <c r="L31" s="615"/>
      <c r="M31" s="1064"/>
      <c r="N31" s="677" t="str">
        <f t="shared" si="1"/>
        <v/>
      </c>
    </row>
    <row r="32" spans="1:15" s="1" customFormat="1" ht="12.95" customHeight="1">
      <c r="A32" s="608"/>
      <c r="B32" s="12"/>
      <c r="C32" s="8"/>
      <c r="D32" s="8"/>
      <c r="E32" s="635"/>
      <c r="F32" s="661"/>
      <c r="G32" s="8" t="s">
        <v>93</v>
      </c>
      <c r="H32" s="15">
        <v>3</v>
      </c>
      <c r="I32" s="961">
        <v>3</v>
      </c>
      <c r="J32" s="592">
        <v>3</v>
      </c>
      <c r="K32" s="615">
        <v>3</v>
      </c>
      <c r="L32" s="615"/>
      <c r="M32" s="1064">
        <v>3</v>
      </c>
      <c r="N32" s="677"/>
    </row>
    <row r="33" spans="1:14" s="1" customFormat="1" ht="12.95" customHeight="1">
      <c r="A33" s="608"/>
      <c r="B33" s="12"/>
      <c r="C33" s="8"/>
      <c r="D33" s="8"/>
      <c r="E33" s="635"/>
      <c r="F33" s="661"/>
      <c r="G33" s="8" t="s">
        <v>113</v>
      </c>
      <c r="H33" s="15">
        <f>H8+H13+H16+H28</f>
        <v>82860</v>
      </c>
      <c r="I33" s="15">
        <f>I8+I13+I16+I28</f>
        <v>81060</v>
      </c>
      <c r="J33" s="15">
        <f t="shared" ref="J33" si="4">J8+J13+J16+J28</f>
        <v>57688</v>
      </c>
      <c r="K33" s="615">
        <f>K8+K13+K16+K28</f>
        <v>95120</v>
      </c>
      <c r="L33" s="615">
        <f>L8+L13+L16+L28</f>
        <v>0</v>
      </c>
      <c r="M33" s="1064">
        <f>M8+M13+M16+M28</f>
        <v>95120</v>
      </c>
      <c r="N33" s="676">
        <f t="shared" si="1"/>
        <v>117.34517641253393</v>
      </c>
    </row>
    <row r="34" spans="1:14" s="1" customFormat="1" ht="12.95" customHeight="1">
      <c r="A34" s="608"/>
      <c r="B34" s="12"/>
      <c r="C34" s="8"/>
      <c r="D34" s="8"/>
      <c r="E34" s="635"/>
      <c r="F34" s="661"/>
      <c r="G34" s="8" t="s">
        <v>94</v>
      </c>
      <c r="H34" s="15">
        <f>H33</f>
        <v>82860</v>
      </c>
      <c r="I34" s="15">
        <f>I33</f>
        <v>81060</v>
      </c>
      <c r="J34" s="15">
        <f t="shared" ref="J34" si="5">J33</f>
        <v>57688</v>
      </c>
      <c r="K34" s="615">
        <f t="shared" ref="K34:M35" si="6">K33</f>
        <v>95120</v>
      </c>
      <c r="L34" s="615">
        <f t="shared" si="6"/>
        <v>0</v>
      </c>
      <c r="M34" s="1064">
        <f t="shared" si="6"/>
        <v>95120</v>
      </c>
      <c r="N34" s="676">
        <f>IF(I34=0,"",M34/I34*100)</f>
        <v>117.34517641253393</v>
      </c>
    </row>
    <row r="35" spans="1:14" s="1" customFormat="1" ht="12.95" customHeight="1">
      <c r="A35" s="608"/>
      <c r="B35" s="12"/>
      <c r="C35" s="8"/>
      <c r="D35" s="8"/>
      <c r="E35" s="635"/>
      <c r="F35" s="661"/>
      <c r="G35" s="8" t="s">
        <v>95</v>
      </c>
      <c r="H35" s="15">
        <f>H34</f>
        <v>82860</v>
      </c>
      <c r="I35" s="15">
        <f>I34</f>
        <v>81060</v>
      </c>
      <c r="J35" s="15">
        <f t="shared" ref="J35" si="7">J34</f>
        <v>57688</v>
      </c>
      <c r="K35" s="615">
        <f t="shared" si="6"/>
        <v>95120</v>
      </c>
      <c r="L35" s="615">
        <f t="shared" si="6"/>
        <v>0</v>
      </c>
      <c r="M35" s="1064">
        <f t="shared" si="6"/>
        <v>95120</v>
      </c>
      <c r="N35" s="676">
        <f t="shared" si="1"/>
        <v>117.34517641253393</v>
      </c>
    </row>
    <row r="36" spans="1:14" ht="12.95" customHeight="1" thickBot="1">
      <c r="B36" s="16"/>
      <c r="C36" s="17"/>
      <c r="D36" s="17"/>
      <c r="E36" s="637"/>
      <c r="F36" s="663"/>
      <c r="G36" s="17"/>
      <c r="H36" s="17"/>
      <c r="I36" s="17"/>
      <c r="J36" s="17"/>
      <c r="K36" s="17"/>
      <c r="L36" s="17"/>
      <c r="M36" s="1071"/>
      <c r="N36" s="679"/>
    </row>
    <row r="37" spans="1:14" ht="12.95" customHeight="1">
      <c r="E37" s="638"/>
      <c r="F37" s="664"/>
      <c r="M37" s="1068"/>
    </row>
    <row r="38" spans="1:14" ht="12.95" customHeight="1">
      <c r="B38" s="56"/>
      <c r="E38" s="638"/>
      <c r="F38" s="664"/>
      <c r="M38" s="1068"/>
    </row>
    <row r="39" spans="1:14" ht="12.95" customHeight="1">
      <c r="B39" s="56"/>
      <c r="E39" s="638"/>
      <c r="F39" s="664"/>
      <c r="M39" s="1068"/>
    </row>
    <row r="40" spans="1:14" ht="12.95" customHeight="1">
      <c r="E40" s="638"/>
      <c r="F40" s="664"/>
      <c r="M40" s="1068"/>
    </row>
    <row r="41" spans="1:14" ht="12.95" customHeight="1">
      <c r="E41" s="638"/>
      <c r="F41" s="664"/>
      <c r="M41" s="1068"/>
    </row>
    <row r="42" spans="1:14" ht="12.95" customHeight="1">
      <c r="E42" s="638"/>
      <c r="F42" s="664"/>
      <c r="M42" s="1068"/>
    </row>
    <row r="43" spans="1:14" ht="12.95" customHeight="1">
      <c r="E43" s="638"/>
      <c r="F43" s="664"/>
      <c r="M43" s="1068"/>
    </row>
    <row r="44" spans="1:14" ht="12.95" customHeight="1">
      <c r="E44" s="638"/>
      <c r="F44" s="664"/>
      <c r="M44" s="1068"/>
    </row>
    <row r="45" spans="1:14" ht="12.95" customHeight="1">
      <c r="E45" s="638"/>
      <c r="F45" s="664"/>
      <c r="M45" s="1068"/>
    </row>
    <row r="46" spans="1:14" ht="12.95" customHeight="1">
      <c r="E46" s="638"/>
      <c r="F46" s="664"/>
      <c r="M46" s="1068"/>
    </row>
    <row r="47" spans="1:14" ht="12.95" customHeight="1">
      <c r="E47" s="638"/>
      <c r="F47" s="664"/>
      <c r="M47" s="1068"/>
    </row>
    <row r="48" spans="1:14" ht="12.95" customHeight="1">
      <c r="E48" s="638"/>
      <c r="F48" s="664"/>
      <c r="M48" s="1068"/>
    </row>
    <row r="49" spans="5:13" ht="12.95" customHeight="1">
      <c r="E49" s="638"/>
      <c r="F49" s="664"/>
      <c r="M49" s="1068"/>
    </row>
    <row r="50" spans="5:13" ht="12.95" customHeight="1">
      <c r="E50" s="638"/>
      <c r="F50" s="664"/>
      <c r="M50" s="1068"/>
    </row>
    <row r="51" spans="5:13" ht="12.95" customHeight="1">
      <c r="E51" s="638"/>
      <c r="F51" s="664"/>
      <c r="M51" s="1068"/>
    </row>
    <row r="52" spans="5:13" ht="12.95" customHeight="1">
      <c r="E52" s="638"/>
      <c r="F52" s="664"/>
      <c r="M52" s="1068"/>
    </row>
    <row r="53" spans="5:13" ht="12.95" customHeight="1">
      <c r="E53" s="638"/>
      <c r="F53" s="664"/>
      <c r="M53" s="1068"/>
    </row>
    <row r="54" spans="5:13" ht="12.95" customHeight="1">
      <c r="E54" s="638"/>
      <c r="F54" s="664"/>
      <c r="M54" s="1068"/>
    </row>
    <row r="55" spans="5:13" ht="12.95" customHeight="1">
      <c r="E55" s="638"/>
      <c r="F55" s="664"/>
      <c r="M55" s="1068"/>
    </row>
    <row r="56" spans="5:13" ht="12.95" customHeight="1">
      <c r="E56" s="638"/>
      <c r="F56" s="664"/>
      <c r="M56" s="1068"/>
    </row>
    <row r="57" spans="5:13" ht="12.95" customHeight="1">
      <c r="E57" s="638"/>
      <c r="F57" s="664"/>
      <c r="M57" s="1068"/>
    </row>
    <row r="58" spans="5:13" ht="12.95" customHeight="1">
      <c r="E58" s="638"/>
      <c r="F58" s="664"/>
      <c r="M58" s="1068"/>
    </row>
    <row r="59" spans="5:13" ht="12.95" customHeight="1">
      <c r="E59" s="638"/>
      <c r="F59" s="664"/>
      <c r="M59" s="1068"/>
    </row>
    <row r="60" spans="5:13" ht="17.100000000000001" customHeight="1">
      <c r="E60" s="638"/>
      <c r="F60" s="664"/>
      <c r="M60" s="1068"/>
    </row>
    <row r="61" spans="5:13" ht="14.25">
      <c r="E61" s="638"/>
      <c r="F61" s="664"/>
      <c r="M61" s="1068"/>
    </row>
    <row r="62" spans="5:13" ht="14.25">
      <c r="E62" s="638"/>
      <c r="F62" s="664"/>
      <c r="M62" s="1068"/>
    </row>
    <row r="63" spans="5:13" ht="14.25">
      <c r="E63" s="638"/>
      <c r="F63" s="664"/>
      <c r="M63" s="1068"/>
    </row>
    <row r="64" spans="5:13" ht="14.25">
      <c r="E64" s="638"/>
      <c r="F64" s="664"/>
      <c r="M64" s="1068"/>
    </row>
    <row r="65" spans="5:13" ht="14.25">
      <c r="E65" s="638"/>
      <c r="F65" s="664"/>
      <c r="M65" s="1068"/>
    </row>
    <row r="66" spans="5:13" ht="14.25">
      <c r="E66" s="638"/>
      <c r="F66" s="664"/>
      <c r="M66" s="1068"/>
    </row>
    <row r="67" spans="5:13" ht="14.25">
      <c r="E67" s="638"/>
      <c r="F67" s="664"/>
      <c r="M67" s="1068"/>
    </row>
    <row r="68" spans="5:13" ht="14.25">
      <c r="E68" s="638"/>
      <c r="F68" s="664"/>
      <c r="M68" s="1068"/>
    </row>
    <row r="69" spans="5:13" ht="14.25">
      <c r="E69" s="638"/>
      <c r="F69" s="664"/>
      <c r="M69" s="1068"/>
    </row>
    <row r="70" spans="5:13" ht="14.25">
      <c r="E70" s="638"/>
      <c r="F70" s="664"/>
      <c r="M70" s="1068"/>
    </row>
    <row r="71" spans="5:13" ht="14.25">
      <c r="E71" s="638"/>
      <c r="F71" s="664"/>
      <c r="M71" s="1068"/>
    </row>
    <row r="72" spans="5:13" ht="14.25">
      <c r="E72" s="638"/>
      <c r="F72" s="664"/>
      <c r="M72" s="1068"/>
    </row>
    <row r="73" spans="5:13" ht="14.25">
      <c r="E73" s="638"/>
      <c r="F73" s="664"/>
      <c r="M73" s="1068"/>
    </row>
    <row r="74" spans="5:13" ht="14.25">
      <c r="E74" s="638"/>
      <c r="F74" s="638"/>
      <c r="M74" s="1068"/>
    </row>
    <row r="75" spans="5:13" ht="14.25">
      <c r="E75" s="638"/>
      <c r="F75" s="638"/>
      <c r="M75" s="1068"/>
    </row>
    <row r="76" spans="5:13" ht="14.25">
      <c r="E76" s="638"/>
      <c r="F76" s="638"/>
      <c r="M76" s="1068"/>
    </row>
    <row r="77" spans="5:13" ht="14.25">
      <c r="E77" s="638"/>
      <c r="F77" s="638"/>
      <c r="M77" s="1068"/>
    </row>
    <row r="78" spans="5:13" ht="14.25">
      <c r="E78" s="638"/>
      <c r="F78" s="638"/>
      <c r="M78" s="1068"/>
    </row>
    <row r="79" spans="5:13" ht="14.25">
      <c r="E79" s="638"/>
      <c r="F79" s="638"/>
      <c r="M79" s="1068"/>
    </row>
    <row r="80" spans="5:13" ht="14.25">
      <c r="E80" s="638"/>
      <c r="F80" s="638"/>
      <c r="M80" s="1068"/>
    </row>
    <row r="81" spans="5:13" ht="14.25">
      <c r="E81" s="638"/>
      <c r="F81" s="638"/>
      <c r="M81" s="1068"/>
    </row>
    <row r="82" spans="5:13" ht="14.25">
      <c r="E82" s="638"/>
      <c r="F82" s="638"/>
      <c r="M82" s="1068"/>
    </row>
    <row r="83" spans="5:13" ht="14.25">
      <c r="E83" s="638"/>
      <c r="F83" s="638"/>
      <c r="M83" s="1068"/>
    </row>
    <row r="84" spans="5:13" ht="14.25">
      <c r="E84" s="638"/>
      <c r="F84" s="638"/>
      <c r="M84" s="1068"/>
    </row>
    <row r="85" spans="5:13" ht="14.25">
      <c r="E85" s="638"/>
      <c r="F85" s="638"/>
      <c r="M85" s="1068"/>
    </row>
    <row r="86" spans="5:13" ht="14.25">
      <c r="E86" s="638"/>
      <c r="F86" s="638"/>
      <c r="M86" s="1068"/>
    </row>
    <row r="87" spans="5:13" ht="14.25">
      <c r="E87" s="638"/>
      <c r="F87" s="638"/>
      <c r="M87" s="1068"/>
    </row>
    <row r="88" spans="5:13" ht="14.25">
      <c r="E88" s="638"/>
      <c r="F88" s="638"/>
      <c r="M88" s="1068"/>
    </row>
    <row r="89" spans="5:13" ht="14.25">
      <c r="E89" s="638"/>
      <c r="F89" s="638"/>
      <c r="M89" s="1068"/>
    </row>
    <row r="90" spans="5:13" ht="14.25">
      <c r="E90" s="638"/>
      <c r="F90" s="638"/>
      <c r="M90" s="1068"/>
    </row>
    <row r="91" spans="5:13">
      <c r="F91" s="638"/>
    </row>
    <row r="92" spans="5:13">
      <c r="F92" s="638"/>
    </row>
    <row r="93" spans="5:13">
      <c r="F93" s="638"/>
    </row>
    <row r="94" spans="5:13">
      <c r="F94" s="638"/>
    </row>
    <row r="95" spans="5:13">
      <c r="F95" s="638"/>
    </row>
    <row r="96" spans="5:13">
      <c r="F96" s="638"/>
    </row>
  </sheetData>
  <mergeCells count="13">
    <mergeCell ref="N4:N5"/>
    <mergeCell ref="G4:G5"/>
    <mergeCell ref="B2:M2"/>
    <mergeCell ref="G3:H3"/>
    <mergeCell ref="K4:M4"/>
    <mergeCell ref="B4:B5"/>
    <mergeCell ref="C4:C5"/>
    <mergeCell ref="D4:D5"/>
    <mergeCell ref="F4:F5"/>
    <mergeCell ref="E4:E5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1"/>
  <dimension ref="A1:P96"/>
  <sheetViews>
    <sheetView zoomScaleNormal="100" workbookViewId="0">
      <selection activeCell="Q14" sqref="Q14"/>
    </sheetView>
  </sheetViews>
  <sheetFormatPr defaultRowHeight="12.75"/>
  <cols>
    <col min="1" max="1" width="9.140625" style="611"/>
    <col min="2" max="2" width="4.7109375" style="9" customWidth="1"/>
    <col min="3" max="3" width="5.140625" style="9" customWidth="1"/>
    <col min="4" max="4" width="5" style="9" customWidth="1"/>
    <col min="5" max="5" width="8.7109375" style="18" customWidth="1"/>
    <col min="6" max="6" width="8.7109375" style="616" customWidth="1"/>
    <col min="7" max="7" width="50.7109375" style="9" customWidth="1"/>
    <col min="8" max="12" width="14.7109375" style="64" customWidth="1"/>
    <col min="13" max="13" width="15.7109375" style="64" customWidth="1"/>
    <col min="14" max="14" width="7.7109375" style="680" customWidth="1"/>
    <col min="15" max="16384" width="9.140625" style="9"/>
  </cols>
  <sheetData>
    <row r="1" spans="1:16" ht="13.5" thickBot="1"/>
    <row r="2" spans="1:16" s="126" customFormat="1" ht="20.100000000000001" customHeight="1" thickTop="1" thickBot="1">
      <c r="A2" s="1052"/>
      <c r="B2" s="1261" t="s">
        <v>158</v>
      </c>
      <c r="C2" s="1262"/>
      <c r="D2" s="1262"/>
      <c r="E2" s="1262"/>
      <c r="F2" s="1262"/>
      <c r="G2" s="1262"/>
      <c r="H2" s="1262"/>
      <c r="I2" s="1053"/>
      <c r="J2" s="1053"/>
      <c r="K2" s="1054"/>
      <c r="L2" s="1054"/>
      <c r="M2" s="1054"/>
      <c r="N2" s="1057"/>
    </row>
    <row r="3" spans="1:16" s="1" customFormat="1" ht="8.1" customHeight="1" thickTop="1" thickBot="1">
      <c r="A3" s="608"/>
      <c r="E3" s="2"/>
      <c r="F3" s="609"/>
      <c r="G3" s="1264"/>
      <c r="H3" s="1264"/>
      <c r="I3" s="306"/>
      <c r="J3" s="306"/>
      <c r="K3" s="119"/>
      <c r="L3" s="119"/>
      <c r="M3" s="119"/>
      <c r="N3" s="674"/>
    </row>
    <row r="4" spans="1:16" s="1" customFormat="1" ht="39" customHeight="1">
      <c r="A4" s="608"/>
      <c r="B4" s="1268" t="s">
        <v>78</v>
      </c>
      <c r="C4" s="1280" t="s">
        <v>79</v>
      </c>
      <c r="D4" s="1281" t="s">
        <v>110</v>
      </c>
      <c r="E4" s="1282" t="s">
        <v>615</v>
      </c>
      <c r="F4" s="1273" t="s">
        <v>695</v>
      </c>
      <c r="G4" s="1274" t="s">
        <v>80</v>
      </c>
      <c r="H4" s="1283" t="s">
        <v>614</v>
      </c>
      <c r="I4" s="1284" t="s">
        <v>747</v>
      </c>
      <c r="J4" s="1283" t="s">
        <v>667</v>
      </c>
      <c r="K4" s="1265" t="s">
        <v>682</v>
      </c>
      <c r="L4" s="1266"/>
      <c r="M4" s="1267"/>
      <c r="N4" s="1278" t="s">
        <v>756</v>
      </c>
    </row>
    <row r="5" spans="1:16" s="608" customFormat="1" ht="27" customHeight="1">
      <c r="B5" s="1269"/>
      <c r="C5" s="1271"/>
      <c r="D5" s="1271"/>
      <c r="E5" s="1275"/>
      <c r="F5" s="1271"/>
      <c r="G5" s="1275"/>
      <c r="H5" s="1275"/>
      <c r="I5" s="1275"/>
      <c r="J5" s="1275"/>
      <c r="K5" s="1048" t="s">
        <v>753</v>
      </c>
      <c r="L5" s="1048" t="s">
        <v>754</v>
      </c>
      <c r="M5" s="1059" t="s">
        <v>426</v>
      </c>
      <c r="N5" s="1279"/>
    </row>
    <row r="6" spans="1:16" s="2" customFormat="1" ht="12.95" customHeight="1">
      <c r="A6" s="609"/>
      <c r="B6" s="1181">
        <v>1</v>
      </c>
      <c r="C6" s="661">
        <v>2</v>
      </c>
      <c r="D6" s="661">
        <v>3</v>
      </c>
      <c r="E6" s="661">
        <v>4</v>
      </c>
      <c r="F6" s="661">
        <v>5</v>
      </c>
      <c r="G6" s="661">
        <v>6</v>
      </c>
      <c r="H6" s="661">
        <v>7</v>
      </c>
      <c r="I6" s="661">
        <v>8</v>
      </c>
      <c r="J6" s="661">
        <v>9</v>
      </c>
      <c r="K6" s="661">
        <v>10</v>
      </c>
      <c r="L6" s="661">
        <v>11</v>
      </c>
      <c r="M6" s="1201" t="s">
        <v>755</v>
      </c>
      <c r="N6" s="1183">
        <v>13</v>
      </c>
    </row>
    <row r="7" spans="1:16" s="2" customFormat="1" ht="12.95" customHeight="1">
      <c r="A7" s="609"/>
      <c r="B7" s="6" t="s">
        <v>157</v>
      </c>
      <c r="C7" s="7" t="s">
        <v>81</v>
      </c>
      <c r="D7" s="7" t="s">
        <v>82</v>
      </c>
      <c r="E7" s="5"/>
      <c r="F7" s="610"/>
      <c r="G7" s="5"/>
      <c r="H7" s="110"/>
      <c r="I7" s="110"/>
      <c r="J7" s="110"/>
      <c r="K7" s="110"/>
      <c r="L7" s="110"/>
      <c r="M7" s="1069"/>
      <c r="N7" s="675"/>
    </row>
    <row r="8" spans="1:16" s="1" customFormat="1" ht="12.95" customHeight="1">
      <c r="A8" s="608"/>
      <c r="B8" s="12"/>
      <c r="C8" s="8"/>
      <c r="D8" s="8"/>
      <c r="E8" s="635">
        <v>611000</v>
      </c>
      <c r="F8" s="661"/>
      <c r="G8" s="8" t="s">
        <v>163</v>
      </c>
      <c r="H8" s="256">
        <f>SUM(H9:H11)</f>
        <v>460210</v>
      </c>
      <c r="I8" s="975">
        <v>454610</v>
      </c>
      <c r="J8" s="606">
        <v>336445</v>
      </c>
      <c r="K8" s="256">
        <f>SUM(K9:K11)</f>
        <v>466320</v>
      </c>
      <c r="L8" s="256">
        <f>SUM(L9:L11)</f>
        <v>0</v>
      </c>
      <c r="M8" s="1061">
        <f>SUM(M9:M11)</f>
        <v>466320</v>
      </c>
      <c r="N8" s="676">
        <f>IF(I8=0,"",M8/I8*100)</f>
        <v>102.57583423153913</v>
      </c>
    </row>
    <row r="9" spans="1:16" ht="12.95" customHeight="1">
      <c r="B9" s="10"/>
      <c r="C9" s="11"/>
      <c r="D9" s="11"/>
      <c r="E9" s="636">
        <v>611100</v>
      </c>
      <c r="F9" s="662"/>
      <c r="G9" s="20" t="s">
        <v>204</v>
      </c>
      <c r="H9" s="258">
        <f>390480+2500+5820</f>
        <v>398800</v>
      </c>
      <c r="I9" s="976">
        <v>395100</v>
      </c>
      <c r="J9" s="607">
        <v>294329</v>
      </c>
      <c r="K9" s="258">
        <f>398220+3300+2*500+12*150</f>
        <v>404320</v>
      </c>
      <c r="L9" s="258">
        <v>0</v>
      </c>
      <c r="M9" s="1062">
        <f>SUM(K9:L9)</f>
        <v>404320</v>
      </c>
      <c r="N9" s="677">
        <f>IF(I9=0,"",M9/I9*100)</f>
        <v>102.33358643381423</v>
      </c>
    </row>
    <row r="10" spans="1:16" ht="12.95" customHeight="1">
      <c r="B10" s="10"/>
      <c r="C10" s="11"/>
      <c r="D10" s="11"/>
      <c r="E10" s="636">
        <v>611200</v>
      </c>
      <c r="F10" s="662"/>
      <c r="G10" s="11" t="s">
        <v>205</v>
      </c>
      <c r="H10" s="258">
        <f>58910+2500</f>
        <v>61410</v>
      </c>
      <c r="I10" s="976">
        <v>59510</v>
      </c>
      <c r="J10" s="607">
        <v>42116</v>
      </c>
      <c r="K10" s="258">
        <f>59000+1200+2*900</f>
        <v>62000</v>
      </c>
      <c r="L10" s="258">
        <v>0</v>
      </c>
      <c r="M10" s="1062">
        <f t="shared" ref="M10:M11" si="0">SUM(K10:L10)</f>
        <v>62000</v>
      </c>
      <c r="N10" s="677">
        <f t="shared" ref="N10:N35" si="1">IF(I10=0,"",M10/I10*100)</f>
        <v>104.18417072760882</v>
      </c>
    </row>
    <row r="11" spans="1:16" ht="12.95" customHeight="1">
      <c r="B11" s="10"/>
      <c r="C11" s="11"/>
      <c r="D11" s="11"/>
      <c r="E11" s="636">
        <v>611200</v>
      </c>
      <c r="F11" s="662"/>
      <c r="G11" s="686" t="s">
        <v>547</v>
      </c>
      <c r="H11" s="255">
        <v>0</v>
      </c>
      <c r="I11" s="974">
        <v>0</v>
      </c>
      <c r="J11" s="605">
        <v>0</v>
      </c>
      <c r="K11" s="255">
        <v>0</v>
      </c>
      <c r="L11" s="255">
        <v>0</v>
      </c>
      <c r="M11" s="1062">
        <f t="shared" si="0"/>
        <v>0</v>
      </c>
      <c r="N11" s="677" t="str">
        <f t="shared" si="1"/>
        <v/>
      </c>
      <c r="P11" s="63"/>
    </row>
    <row r="12" spans="1:16" ht="12.95" customHeight="1">
      <c r="B12" s="10"/>
      <c r="C12" s="11"/>
      <c r="D12" s="11"/>
      <c r="E12" s="636"/>
      <c r="F12" s="662"/>
      <c r="G12" s="11"/>
      <c r="H12" s="256"/>
      <c r="I12" s="975"/>
      <c r="J12" s="606"/>
      <c r="K12" s="256"/>
      <c r="L12" s="256"/>
      <c r="M12" s="1061"/>
      <c r="N12" s="677" t="str">
        <f t="shared" si="1"/>
        <v/>
      </c>
      <c r="P12" s="56"/>
    </row>
    <row r="13" spans="1:16" s="1" customFormat="1" ht="12.95" customHeight="1">
      <c r="A13" s="608"/>
      <c r="B13" s="12"/>
      <c r="C13" s="8"/>
      <c r="D13" s="8"/>
      <c r="E13" s="635">
        <v>612000</v>
      </c>
      <c r="F13" s="661"/>
      <c r="G13" s="8" t="s">
        <v>162</v>
      </c>
      <c r="H13" s="256">
        <f>H14</f>
        <v>42830</v>
      </c>
      <c r="I13" s="975">
        <v>42700</v>
      </c>
      <c r="J13" s="606">
        <v>31592</v>
      </c>
      <c r="K13" s="256">
        <f>K14</f>
        <v>42860</v>
      </c>
      <c r="L13" s="256">
        <f>L14</f>
        <v>0</v>
      </c>
      <c r="M13" s="1061">
        <f>M14</f>
        <v>42860</v>
      </c>
      <c r="N13" s="676">
        <f t="shared" si="1"/>
        <v>100.37470725995317</v>
      </c>
    </row>
    <row r="14" spans="1:16" ht="12.95" customHeight="1">
      <c r="B14" s="10"/>
      <c r="C14" s="11"/>
      <c r="D14" s="11"/>
      <c r="E14" s="636">
        <v>612100</v>
      </c>
      <c r="F14" s="662"/>
      <c r="G14" s="13" t="s">
        <v>83</v>
      </c>
      <c r="H14" s="258">
        <f>41500+700+630</f>
        <v>42830</v>
      </c>
      <c r="I14" s="976">
        <v>42700</v>
      </c>
      <c r="J14" s="607">
        <v>31592</v>
      </c>
      <c r="K14" s="258">
        <f>42100+380+2*70+12*20</f>
        <v>42860</v>
      </c>
      <c r="L14" s="258">
        <v>0</v>
      </c>
      <c r="M14" s="1062">
        <f>SUM(K14:L14)</f>
        <v>42860</v>
      </c>
      <c r="N14" s="677">
        <f t="shared" si="1"/>
        <v>100.37470725995317</v>
      </c>
    </row>
    <row r="15" spans="1:16" ht="12.95" customHeight="1">
      <c r="B15" s="10"/>
      <c r="C15" s="11"/>
      <c r="D15" s="11"/>
      <c r="E15" s="636"/>
      <c r="F15" s="662"/>
      <c r="G15" s="11"/>
      <c r="H15" s="15"/>
      <c r="I15" s="969"/>
      <c r="J15" s="600"/>
      <c r="K15" s="615"/>
      <c r="L15" s="615"/>
      <c r="M15" s="1064"/>
      <c r="N15" s="677" t="str">
        <f t="shared" si="1"/>
        <v/>
      </c>
    </row>
    <row r="16" spans="1:16" s="1" customFormat="1" ht="12.95" customHeight="1">
      <c r="A16" s="608"/>
      <c r="B16" s="12"/>
      <c r="C16" s="8"/>
      <c r="D16" s="8"/>
      <c r="E16" s="635">
        <v>613000</v>
      </c>
      <c r="F16" s="661"/>
      <c r="G16" s="8" t="s">
        <v>164</v>
      </c>
      <c r="H16" s="35">
        <f>SUM(H17:H26)</f>
        <v>87000</v>
      </c>
      <c r="I16" s="971">
        <v>88800</v>
      </c>
      <c r="J16" s="602">
        <v>63913</v>
      </c>
      <c r="K16" s="620">
        <f>SUM(K17:K26)</f>
        <v>91300</v>
      </c>
      <c r="L16" s="620">
        <f>SUM(L17:L26)</f>
        <v>0</v>
      </c>
      <c r="M16" s="1064">
        <f>SUM(M17:M26)</f>
        <v>91300</v>
      </c>
      <c r="N16" s="676">
        <f t="shared" si="1"/>
        <v>102.81531531531532</v>
      </c>
    </row>
    <row r="17" spans="1:15" ht="12.95" customHeight="1">
      <c r="B17" s="10"/>
      <c r="C17" s="11"/>
      <c r="D17" s="11"/>
      <c r="E17" s="636">
        <v>613100</v>
      </c>
      <c r="F17" s="662"/>
      <c r="G17" s="11" t="s">
        <v>84</v>
      </c>
      <c r="H17" s="31">
        <v>3000</v>
      </c>
      <c r="I17" s="970">
        <v>2500</v>
      </c>
      <c r="J17" s="601">
        <v>1384</v>
      </c>
      <c r="K17" s="978">
        <v>3000</v>
      </c>
      <c r="L17" s="978">
        <v>0</v>
      </c>
      <c r="M17" s="1062">
        <f t="shared" ref="M17:M26" si="2">SUM(K17:L17)</f>
        <v>3000</v>
      </c>
      <c r="N17" s="677">
        <f t="shared" si="1"/>
        <v>120</v>
      </c>
    </row>
    <row r="18" spans="1:15" ht="12.95" customHeight="1">
      <c r="B18" s="10"/>
      <c r="C18" s="11"/>
      <c r="D18" s="11"/>
      <c r="E18" s="636">
        <v>613200</v>
      </c>
      <c r="F18" s="662"/>
      <c r="G18" s="11" t="s">
        <v>85</v>
      </c>
      <c r="H18" s="31">
        <v>4500</v>
      </c>
      <c r="I18" s="970">
        <v>4500</v>
      </c>
      <c r="J18" s="601">
        <v>3015</v>
      </c>
      <c r="K18" s="978">
        <v>4500</v>
      </c>
      <c r="L18" s="978">
        <v>0</v>
      </c>
      <c r="M18" s="1062">
        <f t="shared" si="2"/>
        <v>4500</v>
      </c>
      <c r="N18" s="677">
        <f t="shared" si="1"/>
        <v>100</v>
      </c>
    </row>
    <row r="19" spans="1:15" ht="12.95" customHeight="1">
      <c r="B19" s="10"/>
      <c r="C19" s="11"/>
      <c r="D19" s="11"/>
      <c r="E19" s="636">
        <v>613300</v>
      </c>
      <c r="F19" s="662"/>
      <c r="G19" s="20" t="s">
        <v>206</v>
      </c>
      <c r="H19" s="88">
        <v>14000</v>
      </c>
      <c r="I19" s="973">
        <v>11500</v>
      </c>
      <c r="J19" s="604">
        <v>7911</v>
      </c>
      <c r="K19" s="984">
        <v>12500</v>
      </c>
      <c r="L19" s="984">
        <v>0</v>
      </c>
      <c r="M19" s="1062">
        <f t="shared" si="2"/>
        <v>12500</v>
      </c>
      <c r="N19" s="677">
        <f t="shared" si="1"/>
        <v>108.69565217391303</v>
      </c>
      <c r="O19" s="56"/>
    </row>
    <row r="20" spans="1:15" ht="12.95" customHeight="1">
      <c r="B20" s="10"/>
      <c r="C20" s="11"/>
      <c r="D20" s="11"/>
      <c r="E20" s="636">
        <v>613400</v>
      </c>
      <c r="F20" s="662"/>
      <c r="G20" s="11" t="s">
        <v>165</v>
      </c>
      <c r="H20" s="31">
        <v>9000</v>
      </c>
      <c r="I20" s="970">
        <v>9500</v>
      </c>
      <c r="J20" s="601">
        <v>6934</v>
      </c>
      <c r="K20" s="978">
        <v>10000</v>
      </c>
      <c r="L20" s="978">
        <v>0</v>
      </c>
      <c r="M20" s="1062">
        <f t="shared" si="2"/>
        <v>10000</v>
      </c>
      <c r="N20" s="677">
        <f t="shared" si="1"/>
        <v>105.26315789473684</v>
      </c>
    </row>
    <row r="21" spans="1:15" ht="12.95" customHeight="1">
      <c r="B21" s="10"/>
      <c r="C21" s="11"/>
      <c r="D21" s="11"/>
      <c r="E21" s="636">
        <v>613500</v>
      </c>
      <c r="F21" s="662"/>
      <c r="G21" s="11" t="s">
        <v>86</v>
      </c>
      <c r="H21" s="88">
        <v>2500</v>
      </c>
      <c r="I21" s="973">
        <v>2000</v>
      </c>
      <c r="J21" s="604">
        <v>1251</v>
      </c>
      <c r="K21" s="984">
        <v>2500</v>
      </c>
      <c r="L21" s="984">
        <v>0</v>
      </c>
      <c r="M21" s="1062">
        <f t="shared" si="2"/>
        <v>2500</v>
      </c>
      <c r="N21" s="677">
        <f t="shared" si="1"/>
        <v>125</v>
      </c>
      <c r="O21" s="56"/>
    </row>
    <row r="22" spans="1:15" ht="12.95" customHeight="1">
      <c r="B22" s="10"/>
      <c r="C22" s="11"/>
      <c r="D22" s="11"/>
      <c r="E22" s="636">
        <v>613600</v>
      </c>
      <c r="F22" s="662"/>
      <c r="G22" s="20" t="s">
        <v>207</v>
      </c>
      <c r="H22" s="31">
        <v>0</v>
      </c>
      <c r="I22" s="970">
        <v>0</v>
      </c>
      <c r="J22" s="601">
        <v>0</v>
      </c>
      <c r="K22" s="978">
        <v>0</v>
      </c>
      <c r="L22" s="978">
        <v>0</v>
      </c>
      <c r="M22" s="1062">
        <f t="shared" si="2"/>
        <v>0</v>
      </c>
      <c r="N22" s="677" t="str">
        <f t="shared" si="1"/>
        <v/>
      </c>
    </row>
    <row r="23" spans="1:15" ht="12.95" customHeight="1">
      <c r="B23" s="10"/>
      <c r="C23" s="11"/>
      <c r="D23" s="11"/>
      <c r="E23" s="636">
        <v>613700</v>
      </c>
      <c r="F23" s="662"/>
      <c r="G23" s="11" t="s">
        <v>87</v>
      </c>
      <c r="H23" s="88">
        <v>3000</v>
      </c>
      <c r="I23" s="973">
        <v>3000</v>
      </c>
      <c r="J23" s="604">
        <v>2172</v>
      </c>
      <c r="K23" s="984">
        <v>3000</v>
      </c>
      <c r="L23" s="984">
        <v>0</v>
      </c>
      <c r="M23" s="1062">
        <f t="shared" si="2"/>
        <v>3000</v>
      </c>
      <c r="N23" s="677">
        <f t="shared" si="1"/>
        <v>100</v>
      </c>
      <c r="O23" s="56"/>
    </row>
    <row r="24" spans="1:15" ht="12.95" customHeight="1">
      <c r="B24" s="10"/>
      <c r="C24" s="11"/>
      <c r="D24" s="11"/>
      <c r="E24" s="636">
        <v>613800</v>
      </c>
      <c r="F24" s="662"/>
      <c r="G24" s="11" t="s">
        <v>166</v>
      </c>
      <c r="H24" s="88">
        <v>1000</v>
      </c>
      <c r="I24" s="973">
        <v>800</v>
      </c>
      <c r="J24" s="604">
        <v>293</v>
      </c>
      <c r="K24" s="984">
        <v>800</v>
      </c>
      <c r="L24" s="984">
        <v>0</v>
      </c>
      <c r="M24" s="1062">
        <f t="shared" si="2"/>
        <v>800</v>
      </c>
      <c r="N24" s="677">
        <f t="shared" si="1"/>
        <v>100</v>
      </c>
    </row>
    <row r="25" spans="1:15" ht="12.95" customHeight="1">
      <c r="B25" s="10"/>
      <c r="C25" s="11"/>
      <c r="D25" s="11"/>
      <c r="E25" s="636">
        <v>613900</v>
      </c>
      <c r="F25" s="662"/>
      <c r="G25" s="11" t="s">
        <v>167</v>
      </c>
      <c r="H25" s="88">
        <v>50000</v>
      </c>
      <c r="I25" s="973">
        <v>55000</v>
      </c>
      <c r="J25" s="604">
        <v>40953</v>
      </c>
      <c r="K25" s="984">
        <v>55000</v>
      </c>
      <c r="L25" s="984">
        <v>0</v>
      </c>
      <c r="M25" s="1062">
        <f t="shared" si="2"/>
        <v>55000</v>
      </c>
      <c r="N25" s="677">
        <f t="shared" si="1"/>
        <v>100</v>
      </c>
    </row>
    <row r="26" spans="1:15" ht="12.95" customHeight="1">
      <c r="B26" s="10"/>
      <c r="C26" s="11"/>
      <c r="D26" s="11"/>
      <c r="E26" s="636">
        <v>613900</v>
      </c>
      <c r="F26" s="662"/>
      <c r="G26" s="20" t="s">
        <v>635</v>
      </c>
      <c r="H26" s="88">
        <v>0</v>
      </c>
      <c r="I26" s="973">
        <v>0</v>
      </c>
      <c r="J26" s="604">
        <v>0</v>
      </c>
      <c r="K26" s="984">
        <v>0</v>
      </c>
      <c r="L26" s="984">
        <v>0</v>
      </c>
      <c r="M26" s="1062">
        <f t="shared" si="2"/>
        <v>0</v>
      </c>
      <c r="N26" s="677" t="str">
        <f t="shared" si="1"/>
        <v/>
      </c>
    </row>
    <row r="27" spans="1:15" s="1" customFormat="1" ht="12.95" customHeight="1">
      <c r="A27" s="608"/>
      <c r="B27" s="12"/>
      <c r="C27" s="8"/>
      <c r="D27" s="8"/>
      <c r="E27" s="635"/>
      <c r="F27" s="661"/>
      <c r="G27" s="8"/>
      <c r="H27" s="88"/>
      <c r="I27" s="973"/>
      <c r="J27" s="604"/>
      <c r="K27" s="623"/>
      <c r="L27" s="623"/>
      <c r="M27" s="1063"/>
      <c r="N27" s="677" t="str">
        <f t="shared" si="1"/>
        <v/>
      </c>
    </row>
    <row r="28" spans="1:15" s="1" customFormat="1" ht="12.95" customHeight="1">
      <c r="A28" s="608"/>
      <c r="B28" s="12"/>
      <c r="C28" s="8"/>
      <c r="D28" s="8"/>
      <c r="E28" s="635">
        <v>821000</v>
      </c>
      <c r="F28" s="661"/>
      <c r="G28" s="8" t="s">
        <v>90</v>
      </c>
      <c r="H28" s="79">
        <f>H29+H30</f>
        <v>3000</v>
      </c>
      <c r="I28" s="972">
        <v>1000</v>
      </c>
      <c r="J28" s="603">
        <v>0</v>
      </c>
      <c r="K28" s="622">
        <f>K29+K30</f>
        <v>3000</v>
      </c>
      <c r="L28" s="622">
        <f>L29+L30</f>
        <v>0</v>
      </c>
      <c r="M28" s="1064">
        <f>M29+M30</f>
        <v>3000</v>
      </c>
      <c r="N28" s="676">
        <f t="shared" si="1"/>
        <v>300</v>
      </c>
    </row>
    <row r="29" spans="1:15" ht="12.95" customHeight="1">
      <c r="B29" s="10"/>
      <c r="C29" s="11"/>
      <c r="D29" s="11"/>
      <c r="E29" s="636">
        <v>821200</v>
      </c>
      <c r="F29" s="662"/>
      <c r="G29" s="11" t="s">
        <v>91</v>
      </c>
      <c r="H29" s="88">
        <v>0</v>
      </c>
      <c r="I29" s="973">
        <v>0</v>
      </c>
      <c r="J29" s="604">
        <v>0</v>
      </c>
      <c r="K29" s="623">
        <v>0</v>
      </c>
      <c r="L29" s="623">
        <v>0</v>
      </c>
      <c r="M29" s="1062">
        <f t="shared" ref="M29:M30" si="3">SUM(K29:L29)</f>
        <v>0</v>
      </c>
      <c r="N29" s="677" t="str">
        <f t="shared" si="1"/>
        <v/>
      </c>
    </row>
    <row r="30" spans="1:15" ht="12.95" customHeight="1">
      <c r="B30" s="10"/>
      <c r="C30" s="11"/>
      <c r="D30" s="11"/>
      <c r="E30" s="636">
        <v>821300</v>
      </c>
      <c r="F30" s="662"/>
      <c r="G30" s="11" t="s">
        <v>92</v>
      </c>
      <c r="H30" s="88">
        <v>3000</v>
      </c>
      <c r="I30" s="973">
        <v>1000</v>
      </c>
      <c r="J30" s="604">
        <v>0</v>
      </c>
      <c r="K30" s="623">
        <v>3000</v>
      </c>
      <c r="L30" s="623">
        <v>0</v>
      </c>
      <c r="M30" s="1062">
        <f t="shared" si="3"/>
        <v>3000</v>
      </c>
      <c r="N30" s="677">
        <f t="shared" si="1"/>
        <v>300</v>
      </c>
    </row>
    <row r="31" spans="1:15" ht="12.95" customHeight="1">
      <c r="B31" s="10"/>
      <c r="C31" s="11"/>
      <c r="D31" s="11"/>
      <c r="E31" s="636"/>
      <c r="F31" s="662"/>
      <c r="G31" s="11"/>
      <c r="H31" s="31"/>
      <c r="I31" s="970"/>
      <c r="J31" s="601"/>
      <c r="K31" s="618"/>
      <c r="L31" s="618"/>
      <c r="M31" s="1063"/>
      <c r="N31" s="677" t="str">
        <f t="shared" si="1"/>
        <v/>
      </c>
    </row>
    <row r="32" spans="1:15" s="1" customFormat="1" ht="12.95" customHeight="1">
      <c r="A32" s="608"/>
      <c r="B32" s="12"/>
      <c r="C32" s="8"/>
      <c r="D32" s="8"/>
      <c r="E32" s="635"/>
      <c r="F32" s="661"/>
      <c r="G32" s="8" t="s">
        <v>93</v>
      </c>
      <c r="H32" s="79">
        <v>13</v>
      </c>
      <c r="I32" s="972">
        <v>13</v>
      </c>
      <c r="J32" s="603">
        <v>13</v>
      </c>
      <c r="K32" s="622">
        <v>13</v>
      </c>
      <c r="L32" s="622"/>
      <c r="M32" s="1064">
        <v>13</v>
      </c>
      <c r="N32" s="677"/>
    </row>
    <row r="33" spans="1:14" s="1" customFormat="1" ht="12.95" customHeight="1">
      <c r="A33" s="608"/>
      <c r="B33" s="12"/>
      <c r="C33" s="8"/>
      <c r="D33" s="8"/>
      <c r="E33" s="635"/>
      <c r="F33" s="661"/>
      <c r="G33" s="8" t="s">
        <v>113</v>
      </c>
      <c r="H33" s="15">
        <f>H8+H13+H16+H28</f>
        <v>593040</v>
      </c>
      <c r="I33" s="15">
        <f>I8+I13+I16+I28</f>
        <v>587110</v>
      </c>
      <c r="J33" s="15">
        <f t="shared" ref="J33" si="4">J8+J13+J16+J28</f>
        <v>431950</v>
      </c>
      <c r="K33" s="615">
        <f>K8+K13+K16+K28</f>
        <v>603480</v>
      </c>
      <c r="L33" s="615">
        <f>L8+L13+L16+L28</f>
        <v>0</v>
      </c>
      <c r="M33" s="1064">
        <f>M8+M13+M16+M28</f>
        <v>603480</v>
      </c>
      <c r="N33" s="676">
        <f t="shared" si="1"/>
        <v>102.78823389143432</v>
      </c>
    </row>
    <row r="34" spans="1:14" s="1" customFormat="1" ht="12.95" customHeight="1">
      <c r="A34" s="608"/>
      <c r="B34" s="12"/>
      <c r="C34" s="8"/>
      <c r="D34" s="8"/>
      <c r="E34" s="635"/>
      <c r="F34" s="661"/>
      <c r="G34" s="8" t="s">
        <v>94</v>
      </c>
      <c r="H34" s="15">
        <f>H33</f>
        <v>593040</v>
      </c>
      <c r="I34" s="15">
        <f>I33</f>
        <v>587110</v>
      </c>
      <c r="J34" s="15">
        <f t="shared" ref="J34" si="5">J33</f>
        <v>431950</v>
      </c>
      <c r="K34" s="615">
        <f t="shared" ref="K34:M35" si="6">K33</f>
        <v>603480</v>
      </c>
      <c r="L34" s="615">
        <f t="shared" si="6"/>
        <v>0</v>
      </c>
      <c r="M34" s="1064">
        <f t="shared" si="6"/>
        <v>603480</v>
      </c>
      <c r="N34" s="676">
        <f>IF(I34=0,"",M34/I34*100)</f>
        <v>102.78823389143432</v>
      </c>
    </row>
    <row r="35" spans="1:14" s="1" customFormat="1" ht="12.95" customHeight="1">
      <c r="A35" s="608"/>
      <c r="B35" s="12"/>
      <c r="C35" s="8"/>
      <c r="D35" s="8"/>
      <c r="E35" s="635"/>
      <c r="F35" s="661"/>
      <c r="G35" s="8" t="s">
        <v>95</v>
      </c>
      <c r="H35" s="15">
        <f>H34</f>
        <v>593040</v>
      </c>
      <c r="I35" s="15">
        <f>I34</f>
        <v>587110</v>
      </c>
      <c r="J35" s="15">
        <f t="shared" ref="J35" si="7">J34</f>
        <v>431950</v>
      </c>
      <c r="K35" s="615">
        <f t="shared" si="6"/>
        <v>603480</v>
      </c>
      <c r="L35" s="615">
        <f t="shared" si="6"/>
        <v>0</v>
      </c>
      <c r="M35" s="1064">
        <f t="shared" si="6"/>
        <v>603480</v>
      </c>
      <c r="N35" s="676">
        <f t="shared" si="1"/>
        <v>102.78823389143432</v>
      </c>
    </row>
    <row r="36" spans="1:14" ht="12.95" customHeight="1" thickBot="1">
      <c r="B36" s="16"/>
      <c r="C36" s="17"/>
      <c r="D36" s="17"/>
      <c r="E36" s="637"/>
      <c r="F36" s="663"/>
      <c r="G36" s="17"/>
      <c r="H36" s="32"/>
      <c r="I36" s="32"/>
      <c r="J36" s="32"/>
      <c r="K36" s="32"/>
      <c r="L36" s="32"/>
      <c r="M36" s="1067"/>
      <c r="N36" s="679"/>
    </row>
    <row r="37" spans="1:14" ht="12.95" customHeight="1">
      <c r="E37" s="638"/>
      <c r="F37" s="664"/>
      <c r="M37" s="1070"/>
    </row>
    <row r="38" spans="1:14" ht="12.95" customHeight="1">
      <c r="B38" s="56"/>
      <c r="E38" s="638"/>
      <c r="F38" s="664"/>
      <c r="M38" s="1070"/>
    </row>
    <row r="39" spans="1:14" ht="12.95" customHeight="1">
      <c r="B39" s="56"/>
      <c r="E39" s="638"/>
      <c r="F39" s="664"/>
      <c r="M39" s="1070"/>
    </row>
    <row r="40" spans="1:14" ht="12.95" customHeight="1">
      <c r="B40" s="56"/>
      <c r="E40" s="638"/>
      <c r="F40" s="664"/>
      <c r="M40" s="1070"/>
    </row>
    <row r="41" spans="1:14" ht="12.95" customHeight="1">
      <c r="E41" s="638"/>
      <c r="F41" s="664"/>
      <c r="M41" s="1070"/>
    </row>
    <row r="42" spans="1:14" ht="12.95" customHeight="1">
      <c r="E42" s="638"/>
      <c r="F42" s="664"/>
      <c r="M42" s="1070"/>
    </row>
    <row r="43" spans="1:14" ht="12.95" customHeight="1">
      <c r="E43" s="638"/>
      <c r="F43" s="664"/>
      <c r="M43" s="1070"/>
    </row>
    <row r="44" spans="1:14" ht="12.95" customHeight="1">
      <c r="E44" s="638"/>
      <c r="F44" s="664"/>
      <c r="M44" s="1070"/>
    </row>
    <row r="45" spans="1:14" ht="12.95" customHeight="1">
      <c r="E45" s="638"/>
      <c r="F45" s="664"/>
      <c r="M45" s="1070"/>
    </row>
    <row r="46" spans="1:14" ht="12.95" customHeight="1">
      <c r="E46" s="638"/>
      <c r="F46" s="664"/>
      <c r="M46" s="1070"/>
    </row>
    <row r="47" spans="1:14" ht="12.95" customHeight="1">
      <c r="E47" s="638"/>
      <c r="F47" s="664"/>
      <c r="M47" s="1070"/>
    </row>
    <row r="48" spans="1:14" ht="12.95" customHeight="1">
      <c r="E48" s="638"/>
      <c r="F48" s="664"/>
      <c r="M48" s="1070"/>
    </row>
    <row r="49" spans="5:13" ht="12.95" customHeight="1">
      <c r="E49" s="638"/>
      <c r="F49" s="664"/>
      <c r="M49" s="1070"/>
    </row>
    <row r="50" spans="5:13" ht="12.95" customHeight="1">
      <c r="E50" s="638"/>
      <c r="F50" s="664"/>
      <c r="M50" s="1070"/>
    </row>
    <row r="51" spans="5:13" ht="12.95" customHeight="1">
      <c r="E51" s="638"/>
      <c r="F51" s="664"/>
      <c r="M51" s="1070"/>
    </row>
    <row r="52" spans="5:13" ht="12.95" customHeight="1">
      <c r="E52" s="638"/>
      <c r="F52" s="664"/>
      <c r="M52" s="1070"/>
    </row>
    <row r="53" spans="5:13" ht="12.95" customHeight="1">
      <c r="E53" s="638"/>
      <c r="F53" s="664"/>
      <c r="M53" s="1070"/>
    </row>
    <row r="54" spans="5:13" ht="12.95" customHeight="1">
      <c r="E54" s="638"/>
      <c r="F54" s="664"/>
      <c r="M54" s="1070"/>
    </row>
    <row r="55" spans="5:13" ht="12.95" customHeight="1">
      <c r="E55" s="638"/>
      <c r="F55" s="664"/>
      <c r="M55" s="1070"/>
    </row>
    <row r="56" spans="5:13" ht="12.95" customHeight="1">
      <c r="E56" s="638"/>
      <c r="F56" s="664"/>
      <c r="M56" s="1070"/>
    </row>
    <row r="57" spans="5:13" ht="12.95" customHeight="1">
      <c r="E57" s="638"/>
      <c r="F57" s="664"/>
      <c r="M57" s="1070"/>
    </row>
    <row r="58" spans="5:13" ht="12.95" customHeight="1">
      <c r="E58" s="638"/>
      <c r="F58" s="664"/>
      <c r="M58" s="1070"/>
    </row>
    <row r="59" spans="5:13" ht="12.95" customHeight="1">
      <c r="E59" s="638"/>
      <c r="F59" s="664"/>
      <c r="M59" s="1070"/>
    </row>
    <row r="60" spans="5:13" ht="17.100000000000001" customHeight="1">
      <c r="E60" s="638"/>
      <c r="F60" s="664"/>
      <c r="M60" s="1070"/>
    </row>
    <row r="61" spans="5:13" ht="14.25">
      <c r="E61" s="638"/>
      <c r="F61" s="664"/>
      <c r="M61" s="1070"/>
    </row>
    <row r="62" spans="5:13" ht="14.25">
      <c r="E62" s="638"/>
      <c r="F62" s="664"/>
      <c r="M62" s="1070"/>
    </row>
    <row r="63" spans="5:13" ht="14.25">
      <c r="E63" s="638"/>
      <c r="F63" s="664"/>
      <c r="M63" s="1070"/>
    </row>
    <row r="64" spans="5:13" ht="14.25">
      <c r="E64" s="638"/>
      <c r="F64" s="664"/>
      <c r="M64" s="1070"/>
    </row>
    <row r="65" spans="5:13" ht="14.25">
      <c r="E65" s="638"/>
      <c r="F65" s="664"/>
      <c r="M65" s="1070"/>
    </row>
    <row r="66" spans="5:13" ht="14.25">
      <c r="E66" s="638"/>
      <c r="F66" s="664"/>
      <c r="M66" s="1070"/>
    </row>
    <row r="67" spans="5:13" ht="14.25">
      <c r="E67" s="638"/>
      <c r="F67" s="664"/>
      <c r="M67" s="1070"/>
    </row>
    <row r="68" spans="5:13" ht="14.25">
      <c r="E68" s="638"/>
      <c r="F68" s="664"/>
      <c r="M68" s="1070"/>
    </row>
    <row r="69" spans="5:13" ht="14.25">
      <c r="E69" s="638"/>
      <c r="F69" s="664"/>
      <c r="M69" s="1070"/>
    </row>
    <row r="70" spans="5:13" ht="14.25">
      <c r="E70" s="638"/>
      <c r="F70" s="664"/>
      <c r="M70" s="1070"/>
    </row>
    <row r="71" spans="5:13" ht="14.25">
      <c r="E71" s="638"/>
      <c r="F71" s="664"/>
      <c r="M71" s="1070"/>
    </row>
    <row r="72" spans="5:13" ht="14.25">
      <c r="E72" s="638"/>
      <c r="F72" s="664"/>
      <c r="M72" s="1070"/>
    </row>
    <row r="73" spans="5:13" ht="14.25">
      <c r="E73" s="638"/>
      <c r="F73" s="664"/>
      <c r="M73" s="1070"/>
    </row>
    <row r="74" spans="5:13" ht="14.25">
      <c r="E74" s="638"/>
      <c r="F74" s="638"/>
      <c r="M74" s="1070"/>
    </row>
    <row r="75" spans="5:13" ht="14.25">
      <c r="E75" s="638"/>
      <c r="F75" s="638"/>
      <c r="M75" s="1070"/>
    </row>
    <row r="76" spans="5:13" ht="14.25">
      <c r="E76" s="638"/>
      <c r="F76" s="638"/>
      <c r="M76" s="1070"/>
    </row>
    <row r="77" spans="5:13" ht="14.25">
      <c r="E77" s="638"/>
      <c r="F77" s="638"/>
      <c r="M77" s="1070"/>
    </row>
    <row r="78" spans="5:13" ht="14.25">
      <c r="E78" s="638"/>
      <c r="F78" s="638"/>
      <c r="M78" s="1070"/>
    </row>
    <row r="79" spans="5:13" ht="14.25">
      <c r="E79" s="638"/>
      <c r="F79" s="638"/>
      <c r="M79" s="1070"/>
    </row>
    <row r="80" spans="5:13" ht="14.25">
      <c r="E80" s="638"/>
      <c r="F80" s="638"/>
      <c r="M80" s="1070"/>
    </row>
    <row r="81" spans="5:13" ht="14.25">
      <c r="E81" s="638"/>
      <c r="F81" s="638"/>
      <c r="M81" s="1070"/>
    </row>
    <row r="82" spans="5:13" ht="14.25">
      <c r="E82" s="638"/>
      <c r="F82" s="638"/>
      <c r="M82" s="1070"/>
    </row>
    <row r="83" spans="5:13" ht="14.25">
      <c r="E83" s="638"/>
      <c r="F83" s="638"/>
      <c r="M83" s="1070"/>
    </row>
    <row r="84" spans="5:13" ht="14.25">
      <c r="E84" s="638"/>
      <c r="F84" s="638"/>
      <c r="M84" s="1070"/>
    </row>
    <row r="85" spans="5:13" ht="14.25">
      <c r="E85" s="638"/>
      <c r="F85" s="638"/>
      <c r="M85" s="1070"/>
    </row>
    <row r="86" spans="5:13" ht="14.25">
      <c r="E86" s="638"/>
      <c r="F86" s="638"/>
      <c r="M86" s="1070"/>
    </row>
    <row r="87" spans="5:13" ht="14.25">
      <c r="E87" s="638"/>
      <c r="F87" s="638"/>
      <c r="M87" s="1070"/>
    </row>
    <row r="88" spans="5:13" ht="14.25">
      <c r="E88" s="638"/>
      <c r="F88" s="638"/>
      <c r="M88" s="1070"/>
    </row>
    <row r="89" spans="5:13" ht="14.25">
      <c r="E89" s="638"/>
      <c r="F89" s="638"/>
      <c r="M89" s="1070"/>
    </row>
    <row r="90" spans="5:13" ht="14.25">
      <c r="E90" s="638"/>
      <c r="F90" s="638"/>
      <c r="M90" s="1070"/>
    </row>
    <row r="91" spans="5:13">
      <c r="F91" s="638"/>
    </row>
    <row r="92" spans="5:13">
      <c r="F92" s="638"/>
    </row>
    <row r="93" spans="5:13">
      <c r="F93" s="638"/>
    </row>
    <row r="94" spans="5:13">
      <c r="F94" s="638"/>
    </row>
    <row r="95" spans="5:13">
      <c r="F95" s="638"/>
    </row>
    <row r="96" spans="5:13">
      <c r="F96" s="638"/>
    </row>
  </sheetData>
  <mergeCells count="13">
    <mergeCell ref="N4:N5"/>
    <mergeCell ref="G4:G5"/>
    <mergeCell ref="B2:H2"/>
    <mergeCell ref="G3:H3"/>
    <mergeCell ref="K4:M4"/>
    <mergeCell ref="B4:B5"/>
    <mergeCell ref="C4:C5"/>
    <mergeCell ref="D4:D5"/>
    <mergeCell ref="F4:F5"/>
    <mergeCell ref="E4:E5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4"/>
  <dimension ref="A1:P96"/>
  <sheetViews>
    <sheetView zoomScaleNormal="100" workbookViewId="0">
      <selection activeCell="Q14" sqref="Q14"/>
    </sheetView>
  </sheetViews>
  <sheetFormatPr defaultRowHeight="12.75"/>
  <cols>
    <col min="1" max="1" width="9.140625" style="611"/>
    <col min="2" max="2" width="4.7109375" style="9" customWidth="1"/>
    <col min="3" max="3" width="5.140625" style="9" customWidth="1"/>
    <col min="4" max="4" width="5" style="9" customWidth="1"/>
    <col min="5" max="5" width="8.7109375" style="18" customWidth="1"/>
    <col min="6" max="6" width="8.7109375" style="616" customWidth="1"/>
    <col min="7" max="7" width="50.7109375" style="9" customWidth="1"/>
    <col min="8" max="12" width="14.7109375" style="64" customWidth="1"/>
    <col min="13" max="13" width="15.7109375" style="64" customWidth="1"/>
    <col min="14" max="14" width="7.7109375" style="680" customWidth="1"/>
    <col min="15" max="16384" width="9.140625" style="9"/>
  </cols>
  <sheetData>
    <row r="1" spans="1:16" ht="13.5" thickBot="1"/>
    <row r="2" spans="1:16" s="126" customFormat="1" ht="20.100000000000001" customHeight="1" thickTop="1" thickBot="1">
      <c r="A2" s="1052"/>
      <c r="B2" s="1261" t="s">
        <v>182</v>
      </c>
      <c r="C2" s="1262"/>
      <c r="D2" s="1262"/>
      <c r="E2" s="1262"/>
      <c r="F2" s="1262"/>
      <c r="G2" s="1262"/>
      <c r="H2" s="1262"/>
      <c r="I2" s="1053"/>
      <c r="J2" s="1053"/>
      <c r="K2" s="1054"/>
      <c r="L2" s="1054"/>
      <c r="M2" s="1054"/>
      <c r="N2" s="1057"/>
    </row>
    <row r="3" spans="1:16" s="1" customFormat="1" ht="8.1" customHeight="1" thickTop="1" thickBot="1">
      <c r="A3" s="608"/>
      <c r="E3" s="2"/>
      <c r="F3" s="609"/>
      <c r="G3" s="1264"/>
      <c r="H3" s="1264"/>
      <c r="I3" s="306"/>
      <c r="J3" s="306"/>
      <c r="K3" s="119"/>
      <c r="L3" s="119"/>
      <c r="M3" s="119"/>
      <c r="N3" s="674"/>
    </row>
    <row r="4" spans="1:16" s="1" customFormat="1" ht="39" customHeight="1">
      <c r="A4" s="608"/>
      <c r="B4" s="1268" t="s">
        <v>78</v>
      </c>
      <c r="C4" s="1280" t="s">
        <v>79</v>
      </c>
      <c r="D4" s="1281" t="s">
        <v>110</v>
      </c>
      <c r="E4" s="1282" t="s">
        <v>615</v>
      </c>
      <c r="F4" s="1273" t="s">
        <v>695</v>
      </c>
      <c r="G4" s="1274" t="s">
        <v>80</v>
      </c>
      <c r="H4" s="1283" t="s">
        <v>614</v>
      </c>
      <c r="I4" s="1284" t="s">
        <v>747</v>
      </c>
      <c r="J4" s="1283" t="s">
        <v>667</v>
      </c>
      <c r="K4" s="1265" t="s">
        <v>682</v>
      </c>
      <c r="L4" s="1266"/>
      <c r="M4" s="1267"/>
      <c r="N4" s="1278" t="s">
        <v>756</v>
      </c>
    </row>
    <row r="5" spans="1:16" s="608" customFormat="1" ht="27" customHeight="1">
      <c r="B5" s="1269"/>
      <c r="C5" s="1271"/>
      <c r="D5" s="1271"/>
      <c r="E5" s="1275"/>
      <c r="F5" s="1271"/>
      <c r="G5" s="1275"/>
      <c r="H5" s="1275"/>
      <c r="I5" s="1275"/>
      <c r="J5" s="1275"/>
      <c r="K5" s="1048" t="s">
        <v>753</v>
      </c>
      <c r="L5" s="1048" t="s">
        <v>754</v>
      </c>
      <c r="M5" s="1059" t="s">
        <v>426</v>
      </c>
      <c r="N5" s="1279"/>
    </row>
    <row r="6" spans="1:16" s="2" customFormat="1" ht="12.95" customHeight="1">
      <c r="A6" s="609"/>
      <c r="B6" s="1181">
        <v>1</v>
      </c>
      <c r="C6" s="661">
        <v>2</v>
      </c>
      <c r="D6" s="661">
        <v>3</v>
      </c>
      <c r="E6" s="661">
        <v>4</v>
      </c>
      <c r="F6" s="661">
        <v>5</v>
      </c>
      <c r="G6" s="661">
        <v>6</v>
      </c>
      <c r="H6" s="661">
        <v>7</v>
      </c>
      <c r="I6" s="661">
        <v>8</v>
      </c>
      <c r="J6" s="661">
        <v>9</v>
      </c>
      <c r="K6" s="661">
        <v>10</v>
      </c>
      <c r="L6" s="661">
        <v>11</v>
      </c>
      <c r="M6" s="1201" t="s">
        <v>755</v>
      </c>
      <c r="N6" s="1183">
        <v>13</v>
      </c>
    </row>
    <row r="7" spans="1:16" s="2" customFormat="1" ht="12.95" customHeight="1">
      <c r="A7" s="609"/>
      <c r="B7" s="6" t="s">
        <v>181</v>
      </c>
      <c r="C7" s="7" t="s">
        <v>81</v>
      </c>
      <c r="D7" s="7" t="s">
        <v>82</v>
      </c>
      <c r="E7" s="5"/>
      <c r="F7" s="610"/>
      <c r="G7" s="5"/>
      <c r="H7" s="110"/>
      <c r="I7" s="110"/>
      <c r="J7" s="110"/>
      <c r="K7" s="110"/>
      <c r="L7" s="110"/>
      <c r="M7" s="1069"/>
      <c r="N7" s="675"/>
    </row>
    <row r="8" spans="1:16" s="1" customFormat="1" ht="12.95" customHeight="1">
      <c r="A8" s="608"/>
      <c r="B8" s="12"/>
      <c r="C8" s="8"/>
      <c r="D8" s="8"/>
      <c r="E8" s="635">
        <v>611000</v>
      </c>
      <c r="F8" s="661"/>
      <c r="G8" s="8" t="s">
        <v>163</v>
      </c>
      <c r="H8" s="256">
        <f>SUM(H9:H11)</f>
        <v>376990</v>
      </c>
      <c r="I8" s="983">
        <v>367980</v>
      </c>
      <c r="J8" s="627">
        <v>252160</v>
      </c>
      <c r="K8" s="256">
        <f>SUM(K9:K11)</f>
        <v>415400</v>
      </c>
      <c r="L8" s="256">
        <f>SUM(L9:L11)</f>
        <v>0</v>
      </c>
      <c r="M8" s="1061">
        <f>SUM(M9:M11)</f>
        <v>415400</v>
      </c>
      <c r="N8" s="676">
        <f>IF(I8=0,"",M8/I8*100)</f>
        <v>112.8865699222784</v>
      </c>
    </row>
    <row r="9" spans="1:16" ht="12.95" customHeight="1">
      <c r="B9" s="10"/>
      <c r="C9" s="11"/>
      <c r="D9" s="11"/>
      <c r="E9" s="636">
        <v>611100</v>
      </c>
      <c r="F9" s="662"/>
      <c r="G9" s="20" t="s">
        <v>204</v>
      </c>
      <c r="H9" s="258">
        <f>262650+1500+21000+2*13400+7880+1440</f>
        <v>321270</v>
      </c>
      <c r="I9" s="984">
        <v>306200</v>
      </c>
      <c r="J9" s="628">
        <v>215596</v>
      </c>
      <c r="K9" s="258">
        <f>351500+3300+2*500</f>
        <v>355800</v>
      </c>
      <c r="L9" s="258">
        <v>0</v>
      </c>
      <c r="M9" s="1062">
        <f>SUM(K9:L9)</f>
        <v>355800</v>
      </c>
      <c r="N9" s="677">
        <f>IF(I9=0,"",M9/I9*100)</f>
        <v>116.19856303069889</v>
      </c>
    </row>
    <row r="10" spans="1:16" ht="12.95" customHeight="1">
      <c r="B10" s="10"/>
      <c r="C10" s="11"/>
      <c r="D10" s="11"/>
      <c r="E10" s="636">
        <v>611200</v>
      </c>
      <c r="F10" s="662"/>
      <c r="G10" s="11" t="s">
        <v>205</v>
      </c>
      <c r="H10" s="258">
        <f>45750+1500+1470+3000+2*2000</f>
        <v>55720</v>
      </c>
      <c r="I10" s="984">
        <v>61780</v>
      </c>
      <c r="J10" s="628">
        <v>36564</v>
      </c>
      <c r="K10" s="258">
        <f>56700+1100+2*900</f>
        <v>59600</v>
      </c>
      <c r="L10" s="258">
        <v>0</v>
      </c>
      <c r="M10" s="1062">
        <f t="shared" ref="M10:M11" si="0">SUM(K10:L10)</f>
        <v>59600</v>
      </c>
      <c r="N10" s="677">
        <f t="shared" ref="N10:N35" si="1">IF(I10=0,"",M10/I10*100)</f>
        <v>96.471349951440601</v>
      </c>
    </row>
    <row r="11" spans="1:16" ht="12.95" customHeight="1">
      <c r="B11" s="10"/>
      <c r="C11" s="11"/>
      <c r="D11" s="11"/>
      <c r="E11" s="636">
        <v>611200</v>
      </c>
      <c r="F11" s="662"/>
      <c r="G11" s="229" t="s">
        <v>547</v>
      </c>
      <c r="H11" s="255">
        <v>0</v>
      </c>
      <c r="I11" s="982">
        <v>0</v>
      </c>
      <c r="J11" s="626">
        <v>0</v>
      </c>
      <c r="K11" s="255">
        <v>0</v>
      </c>
      <c r="L11" s="255">
        <v>0</v>
      </c>
      <c r="M11" s="1062">
        <f t="shared" si="0"/>
        <v>0</v>
      </c>
      <c r="N11" s="677" t="str">
        <f t="shared" si="1"/>
        <v/>
      </c>
      <c r="P11" s="63"/>
    </row>
    <row r="12" spans="1:16" ht="12.95" customHeight="1">
      <c r="B12" s="10"/>
      <c r="C12" s="11"/>
      <c r="D12" s="11"/>
      <c r="E12" s="636"/>
      <c r="F12" s="662"/>
      <c r="G12" s="11"/>
      <c r="H12" s="256"/>
      <c r="I12" s="983"/>
      <c r="J12" s="627"/>
      <c r="K12" s="256"/>
      <c r="L12" s="256"/>
      <c r="M12" s="1061"/>
      <c r="N12" s="677" t="str">
        <f t="shared" si="1"/>
        <v/>
      </c>
    </row>
    <row r="13" spans="1:16" s="1" customFormat="1" ht="12.95" customHeight="1">
      <c r="A13" s="608"/>
      <c r="B13" s="12"/>
      <c r="C13" s="8"/>
      <c r="D13" s="8"/>
      <c r="E13" s="635">
        <v>612000</v>
      </c>
      <c r="F13" s="661"/>
      <c r="G13" s="8" t="s">
        <v>162</v>
      </c>
      <c r="H13" s="256">
        <f>H14</f>
        <v>35290</v>
      </c>
      <c r="I13" s="983">
        <v>33900</v>
      </c>
      <c r="J13" s="627">
        <v>23036</v>
      </c>
      <c r="K13" s="256">
        <f>K14</f>
        <v>37820</v>
      </c>
      <c r="L13" s="256">
        <f>L14</f>
        <v>0</v>
      </c>
      <c r="M13" s="1061">
        <f>M14</f>
        <v>37820</v>
      </c>
      <c r="N13" s="676">
        <f t="shared" si="1"/>
        <v>111.56342182890855</v>
      </c>
    </row>
    <row r="14" spans="1:16" ht="12.95" customHeight="1">
      <c r="B14" s="10"/>
      <c r="C14" s="11"/>
      <c r="D14" s="11"/>
      <c r="E14" s="636">
        <v>612100</v>
      </c>
      <c r="F14" s="662"/>
      <c r="G14" s="13" t="s">
        <v>83</v>
      </c>
      <c r="H14" s="258">
        <f>28710+300+2310+2*1470+870+160</f>
        <v>35290</v>
      </c>
      <c r="I14" s="984">
        <v>33900</v>
      </c>
      <c r="J14" s="628">
        <v>23036</v>
      </c>
      <c r="K14" s="258">
        <f>37300+380+2*70</f>
        <v>37820</v>
      </c>
      <c r="L14" s="258">
        <v>0</v>
      </c>
      <c r="M14" s="1062">
        <f>SUM(K14:L14)</f>
        <v>37820</v>
      </c>
      <c r="N14" s="677">
        <f t="shared" si="1"/>
        <v>111.56342182890855</v>
      </c>
    </row>
    <row r="15" spans="1:16" ht="12.95" customHeight="1">
      <c r="B15" s="10"/>
      <c r="C15" s="11"/>
      <c r="D15" s="11"/>
      <c r="E15" s="636"/>
      <c r="F15" s="662"/>
      <c r="G15" s="11"/>
      <c r="H15" s="31"/>
      <c r="I15" s="978"/>
      <c r="J15" s="618"/>
      <c r="K15" s="618"/>
      <c r="L15" s="618"/>
      <c r="M15" s="1063"/>
      <c r="N15" s="677" t="str">
        <f t="shared" si="1"/>
        <v/>
      </c>
    </row>
    <row r="16" spans="1:16" s="1" customFormat="1" ht="12.95" customHeight="1">
      <c r="A16" s="608"/>
      <c r="B16" s="12"/>
      <c r="C16" s="8"/>
      <c r="D16" s="8"/>
      <c r="E16" s="635">
        <v>613000</v>
      </c>
      <c r="F16" s="661"/>
      <c r="G16" s="8" t="s">
        <v>164</v>
      </c>
      <c r="H16" s="35">
        <f>SUM(H17:H26)</f>
        <v>29700</v>
      </c>
      <c r="I16" s="979">
        <v>28890</v>
      </c>
      <c r="J16" s="620">
        <v>16605</v>
      </c>
      <c r="K16" s="620">
        <f>SUM(K17:K26)</f>
        <v>30700</v>
      </c>
      <c r="L16" s="620">
        <f>SUM(L17:L26)</f>
        <v>0</v>
      </c>
      <c r="M16" s="1064">
        <f>SUM(M17:M26)</f>
        <v>30700</v>
      </c>
      <c r="N16" s="676">
        <f t="shared" si="1"/>
        <v>106.26514364832123</v>
      </c>
    </row>
    <row r="17" spans="1:15" ht="12.95" customHeight="1">
      <c r="B17" s="10"/>
      <c r="C17" s="11"/>
      <c r="D17" s="11"/>
      <c r="E17" s="636">
        <v>613100</v>
      </c>
      <c r="F17" s="662"/>
      <c r="G17" s="11" t="s">
        <v>84</v>
      </c>
      <c r="H17" s="31">
        <v>2500</v>
      </c>
      <c r="I17" s="978">
        <v>2000</v>
      </c>
      <c r="J17" s="618">
        <v>845</v>
      </c>
      <c r="K17" s="978">
        <v>2000</v>
      </c>
      <c r="L17" s="978">
        <v>0</v>
      </c>
      <c r="M17" s="1062">
        <f t="shared" ref="M17:M26" si="2">SUM(K17:L17)</f>
        <v>2000</v>
      </c>
      <c r="N17" s="677">
        <f t="shared" si="1"/>
        <v>100</v>
      </c>
    </row>
    <row r="18" spans="1:15" ht="12.95" customHeight="1">
      <c r="B18" s="10"/>
      <c r="C18" s="11"/>
      <c r="D18" s="11"/>
      <c r="E18" s="636">
        <v>613200</v>
      </c>
      <c r="F18" s="662"/>
      <c r="G18" s="11" t="s">
        <v>85</v>
      </c>
      <c r="H18" s="31">
        <v>7000</v>
      </c>
      <c r="I18" s="978">
        <v>6000</v>
      </c>
      <c r="J18" s="618">
        <v>3233</v>
      </c>
      <c r="K18" s="978">
        <v>6000</v>
      </c>
      <c r="L18" s="978">
        <v>0</v>
      </c>
      <c r="M18" s="1062">
        <f t="shared" si="2"/>
        <v>6000</v>
      </c>
      <c r="N18" s="677">
        <f t="shared" si="1"/>
        <v>100</v>
      </c>
    </row>
    <row r="19" spans="1:15" ht="12.95" customHeight="1">
      <c r="B19" s="10"/>
      <c r="C19" s="11"/>
      <c r="D19" s="11"/>
      <c r="E19" s="636">
        <v>613300</v>
      </c>
      <c r="F19" s="662"/>
      <c r="G19" s="20" t="s">
        <v>206</v>
      </c>
      <c r="H19" s="31">
        <v>5500</v>
      </c>
      <c r="I19" s="978">
        <v>7500</v>
      </c>
      <c r="J19" s="618">
        <v>4778</v>
      </c>
      <c r="K19" s="978">
        <v>8500</v>
      </c>
      <c r="L19" s="978">
        <v>0</v>
      </c>
      <c r="M19" s="1062">
        <f t="shared" si="2"/>
        <v>8500</v>
      </c>
      <c r="N19" s="677">
        <f t="shared" si="1"/>
        <v>113.33333333333333</v>
      </c>
    </row>
    <row r="20" spans="1:15" ht="12.95" customHeight="1">
      <c r="B20" s="10"/>
      <c r="C20" s="11"/>
      <c r="D20" s="11"/>
      <c r="E20" s="636">
        <v>613400</v>
      </c>
      <c r="F20" s="662"/>
      <c r="G20" s="11" t="s">
        <v>165</v>
      </c>
      <c r="H20" s="31">
        <v>1500</v>
      </c>
      <c r="I20" s="978">
        <v>800</v>
      </c>
      <c r="J20" s="618">
        <v>393</v>
      </c>
      <c r="K20" s="978">
        <v>1000</v>
      </c>
      <c r="L20" s="978">
        <v>0</v>
      </c>
      <c r="M20" s="1062">
        <f t="shared" si="2"/>
        <v>1000</v>
      </c>
      <c r="N20" s="677">
        <f t="shared" si="1"/>
        <v>125</v>
      </c>
    </row>
    <row r="21" spans="1:15" ht="12.95" customHeight="1">
      <c r="B21" s="10"/>
      <c r="C21" s="11"/>
      <c r="D21" s="11"/>
      <c r="E21" s="636">
        <v>613500</v>
      </c>
      <c r="F21" s="662"/>
      <c r="G21" s="11" t="s">
        <v>86</v>
      </c>
      <c r="H21" s="31">
        <v>5500</v>
      </c>
      <c r="I21" s="978">
        <v>5500</v>
      </c>
      <c r="J21" s="618">
        <v>3290</v>
      </c>
      <c r="K21" s="978">
        <v>5500</v>
      </c>
      <c r="L21" s="978">
        <v>0</v>
      </c>
      <c r="M21" s="1062">
        <f t="shared" si="2"/>
        <v>5500</v>
      </c>
      <c r="N21" s="677">
        <f t="shared" si="1"/>
        <v>100</v>
      </c>
    </row>
    <row r="22" spans="1:15" ht="12.95" customHeight="1">
      <c r="B22" s="10"/>
      <c r="C22" s="11"/>
      <c r="D22" s="11"/>
      <c r="E22" s="636">
        <v>613600</v>
      </c>
      <c r="F22" s="662"/>
      <c r="G22" s="20" t="s">
        <v>207</v>
      </c>
      <c r="H22" s="88">
        <v>0</v>
      </c>
      <c r="I22" s="981">
        <v>0</v>
      </c>
      <c r="J22" s="623">
        <v>0</v>
      </c>
      <c r="K22" s="984">
        <v>0</v>
      </c>
      <c r="L22" s="984">
        <v>0</v>
      </c>
      <c r="M22" s="1062">
        <f t="shared" si="2"/>
        <v>0</v>
      </c>
      <c r="N22" s="677" t="str">
        <f t="shared" si="1"/>
        <v/>
      </c>
    </row>
    <row r="23" spans="1:15" ht="12.95" customHeight="1">
      <c r="B23" s="10"/>
      <c r="C23" s="11"/>
      <c r="D23" s="11"/>
      <c r="E23" s="636">
        <v>613700</v>
      </c>
      <c r="F23" s="662"/>
      <c r="G23" s="11" t="s">
        <v>87</v>
      </c>
      <c r="H23" s="88">
        <v>4000</v>
      </c>
      <c r="I23" s="981">
        <v>3500</v>
      </c>
      <c r="J23" s="623">
        <v>1549</v>
      </c>
      <c r="K23" s="984">
        <v>4000</v>
      </c>
      <c r="L23" s="984">
        <v>0</v>
      </c>
      <c r="M23" s="1062">
        <f t="shared" si="2"/>
        <v>4000</v>
      </c>
      <c r="N23" s="677">
        <f t="shared" si="1"/>
        <v>114.28571428571428</v>
      </c>
      <c r="O23" s="56"/>
    </row>
    <row r="24" spans="1:15" ht="12.95" customHeight="1">
      <c r="B24" s="10"/>
      <c r="C24" s="11"/>
      <c r="D24" s="11"/>
      <c r="E24" s="636">
        <v>613800</v>
      </c>
      <c r="F24" s="662"/>
      <c r="G24" s="11" t="s">
        <v>166</v>
      </c>
      <c r="H24" s="88">
        <v>1200</v>
      </c>
      <c r="I24" s="981">
        <v>890</v>
      </c>
      <c r="J24" s="623">
        <v>888</v>
      </c>
      <c r="K24" s="984">
        <v>1000</v>
      </c>
      <c r="L24" s="984">
        <v>0</v>
      </c>
      <c r="M24" s="1062">
        <f t="shared" si="2"/>
        <v>1000</v>
      </c>
      <c r="N24" s="677">
        <f t="shared" si="1"/>
        <v>112.35955056179776</v>
      </c>
    </row>
    <row r="25" spans="1:15" ht="12.95" customHeight="1">
      <c r="B25" s="10"/>
      <c r="C25" s="11"/>
      <c r="D25" s="11"/>
      <c r="E25" s="636">
        <v>613900</v>
      </c>
      <c r="F25" s="662"/>
      <c r="G25" s="11" t="s">
        <v>167</v>
      </c>
      <c r="H25" s="88">
        <v>2500</v>
      </c>
      <c r="I25" s="981">
        <v>2700</v>
      </c>
      <c r="J25" s="623">
        <v>1629</v>
      </c>
      <c r="K25" s="984">
        <v>2700</v>
      </c>
      <c r="L25" s="984">
        <v>0</v>
      </c>
      <c r="M25" s="1062">
        <f t="shared" si="2"/>
        <v>2700</v>
      </c>
      <c r="N25" s="677">
        <f t="shared" si="1"/>
        <v>100</v>
      </c>
      <c r="O25" s="56"/>
    </row>
    <row r="26" spans="1:15" ht="12.95" customHeight="1">
      <c r="B26" s="10"/>
      <c r="C26" s="11"/>
      <c r="D26" s="11"/>
      <c r="E26" s="636">
        <v>613900</v>
      </c>
      <c r="F26" s="662"/>
      <c r="G26" s="229" t="s">
        <v>548</v>
      </c>
      <c r="H26" s="88">
        <v>0</v>
      </c>
      <c r="I26" s="981">
        <v>0</v>
      </c>
      <c r="J26" s="623">
        <v>0</v>
      </c>
      <c r="K26" s="984">
        <v>0</v>
      </c>
      <c r="L26" s="984">
        <v>0</v>
      </c>
      <c r="M26" s="1062">
        <f t="shared" si="2"/>
        <v>0</v>
      </c>
      <c r="N26" s="677" t="str">
        <f t="shared" si="1"/>
        <v/>
      </c>
    </row>
    <row r="27" spans="1:15" s="1" customFormat="1" ht="12.95" customHeight="1">
      <c r="A27" s="608"/>
      <c r="B27" s="12"/>
      <c r="C27" s="8"/>
      <c r="D27" s="8"/>
      <c r="E27" s="635"/>
      <c r="F27" s="661"/>
      <c r="G27" s="8"/>
      <c r="H27" s="88"/>
      <c r="I27" s="981"/>
      <c r="J27" s="623"/>
      <c r="K27" s="623"/>
      <c r="L27" s="623"/>
      <c r="M27" s="1063"/>
      <c r="N27" s="677" t="str">
        <f t="shared" si="1"/>
        <v/>
      </c>
    </row>
    <row r="28" spans="1:15" s="1" customFormat="1" ht="12.95" customHeight="1">
      <c r="A28" s="608"/>
      <c r="B28" s="12"/>
      <c r="C28" s="8"/>
      <c r="D28" s="8"/>
      <c r="E28" s="635">
        <v>821000</v>
      </c>
      <c r="F28" s="661"/>
      <c r="G28" s="8" t="s">
        <v>90</v>
      </c>
      <c r="H28" s="79">
        <f>SUM(H29:H30)</f>
        <v>2000</v>
      </c>
      <c r="I28" s="980">
        <v>2000</v>
      </c>
      <c r="J28" s="622">
        <v>734</v>
      </c>
      <c r="K28" s="622">
        <f>SUM(K29:K30)</f>
        <v>2000</v>
      </c>
      <c r="L28" s="622">
        <f>SUM(L29:L30)</f>
        <v>0</v>
      </c>
      <c r="M28" s="1064">
        <f>SUM(M29:M30)</f>
        <v>2000</v>
      </c>
      <c r="N28" s="676">
        <f t="shared" si="1"/>
        <v>100</v>
      </c>
    </row>
    <row r="29" spans="1:15" ht="12.95" customHeight="1">
      <c r="B29" s="10"/>
      <c r="C29" s="11"/>
      <c r="D29" s="11"/>
      <c r="E29" s="636">
        <v>821200</v>
      </c>
      <c r="F29" s="662"/>
      <c r="G29" s="11" t="s">
        <v>91</v>
      </c>
      <c r="H29" s="88">
        <v>0</v>
      </c>
      <c r="I29" s="981">
        <v>0</v>
      </c>
      <c r="J29" s="623">
        <v>0</v>
      </c>
      <c r="K29" s="623">
        <v>0</v>
      </c>
      <c r="L29" s="623">
        <v>0</v>
      </c>
      <c r="M29" s="1062">
        <f t="shared" ref="M29:M30" si="3">SUM(K29:L29)</f>
        <v>0</v>
      </c>
      <c r="N29" s="677" t="str">
        <f t="shared" si="1"/>
        <v/>
      </c>
    </row>
    <row r="30" spans="1:15" ht="12.95" customHeight="1">
      <c r="B30" s="10"/>
      <c r="C30" s="11"/>
      <c r="D30" s="11"/>
      <c r="E30" s="636">
        <v>821300</v>
      </c>
      <c r="F30" s="662"/>
      <c r="G30" s="11" t="s">
        <v>92</v>
      </c>
      <c r="H30" s="88">
        <v>2000</v>
      </c>
      <c r="I30" s="981">
        <v>2000</v>
      </c>
      <c r="J30" s="623">
        <v>734</v>
      </c>
      <c r="K30" s="623">
        <v>2000</v>
      </c>
      <c r="L30" s="623">
        <v>0</v>
      </c>
      <c r="M30" s="1062">
        <f t="shared" si="3"/>
        <v>2000</v>
      </c>
      <c r="N30" s="677">
        <f t="shared" si="1"/>
        <v>100</v>
      </c>
    </row>
    <row r="31" spans="1:15" ht="12.95" customHeight="1">
      <c r="B31" s="10"/>
      <c r="C31" s="11"/>
      <c r="D31" s="11"/>
      <c r="E31" s="636"/>
      <c r="F31" s="662"/>
      <c r="G31" s="11"/>
      <c r="H31" s="88"/>
      <c r="I31" s="981"/>
      <c r="J31" s="623"/>
      <c r="K31" s="623"/>
      <c r="L31" s="623"/>
      <c r="M31" s="1063"/>
      <c r="N31" s="677" t="str">
        <f t="shared" si="1"/>
        <v/>
      </c>
    </row>
    <row r="32" spans="1:15" s="1" customFormat="1" ht="12.95" customHeight="1">
      <c r="A32" s="608"/>
      <c r="B32" s="12"/>
      <c r="C32" s="8"/>
      <c r="D32" s="8"/>
      <c r="E32" s="635"/>
      <c r="F32" s="661"/>
      <c r="G32" s="8" t="s">
        <v>93</v>
      </c>
      <c r="H32" s="15">
        <v>14</v>
      </c>
      <c r="I32" s="977">
        <v>14</v>
      </c>
      <c r="J32" s="615">
        <v>13</v>
      </c>
      <c r="K32" s="615">
        <v>14</v>
      </c>
      <c r="L32" s="615"/>
      <c r="M32" s="1064">
        <v>14</v>
      </c>
      <c r="N32" s="677"/>
    </row>
    <row r="33" spans="1:14" s="1" customFormat="1" ht="12.95" customHeight="1">
      <c r="A33" s="608"/>
      <c r="B33" s="12"/>
      <c r="C33" s="8"/>
      <c r="D33" s="8"/>
      <c r="E33" s="635"/>
      <c r="F33" s="661"/>
      <c r="G33" s="8" t="s">
        <v>113</v>
      </c>
      <c r="H33" s="15">
        <f>H8+H13+H16+H28</f>
        <v>443980</v>
      </c>
      <c r="I33" s="15">
        <f>I8+I13+I16+I28</f>
        <v>432770</v>
      </c>
      <c r="J33" s="15">
        <f t="shared" ref="J33" si="4">J8+J13+J16+J28</f>
        <v>292535</v>
      </c>
      <c r="K33" s="615">
        <f>K8+K13+K16+K28</f>
        <v>485920</v>
      </c>
      <c r="L33" s="615">
        <f>L8+L13+L16+L28</f>
        <v>0</v>
      </c>
      <c r="M33" s="1064">
        <f>M8+M13+M16+M28</f>
        <v>485920</v>
      </c>
      <c r="N33" s="676">
        <f t="shared" si="1"/>
        <v>112.28135037086675</v>
      </c>
    </row>
    <row r="34" spans="1:14" s="1" customFormat="1" ht="12.95" customHeight="1">
      <c r="A34" s="608"/>
      <c r="B34" s="12"/>
      <c r="C34" s="8"/>
      <c r="D34" s="8"/>
      <c r="E34" s="635"/>
      <c r="F34" s="661"/>
      <c r="G34" s="8" t="s">
        <v>94</v>
      </c>
      <c r="H34" s="15">
        <f>H33</f>
        <v>443980</v>
      </c>
      <c r="I34" s="15">
        <f>I33</f>
        <v>432770</v>
      </c>
      <c r="J34" s="15">
        <f t="shared" ref="J34" si="5">J33</f>
        <v>292535</v>
      </c>
      <c r="K34" s="615">
        <f t="shared" ref="K34:M35" si="6">K33</f>
        <v>485920</v>
      </c>
      <c r="L34" s="615">
        <f t="shared" si="6"/>
        <v>0</v>
      </c>
      <c r="M34" s="1064">
        <f t="shared" si="6"/>
        <v>485920</v>
      </c>
      <c r="N34" s="676">
        <f>IF(I34=0,"",M34/I34*100)</f>
        <v>112.28135037086675</v>
      </c>
    </row>
    <row r="35" spans="1:14" s="1" customFormat="1" ht="12.95" customHeight="1">
      <c r="A35" s="608"/>
      <c r="B35" s="12"/>
      <c r="C35" s="8"/>
      <c r="D35" s="8"/>
      <c r="E35" s="635"/>
      <c r="F35" s="661"/>
      <c r="G35" s="8" t="s">
        <v>95</v>
      </c>
      <c r="H35" s="15">
        <f>H34</f>
        <v>443980</v>
      </c>
      <c r="I35" s="15">
        <f>I34</f>
        <v>432770</v>
      </c>
      <c r="J35" s="15">
        <f t="shared" ref="J35" si="7">J34</f>
        <v>292535</v>
      </c>
      <c r="K35" s="615">
        <f t="shared" si="6"/>
        <v>485920</v>
      </c>
      <c r="L35" s="615">
        <f t="shared" si="6"/>
        <v>0</v>
      </c>
      <c r="M35" s="1064">
        <f t="shared" si="6"/>
        <v>485920</v>
      </c>
      <c r="N35" s="676">
        <f t="shared" si="1"/>
        <v>112.28135037086675</v>
      </c>
    </row>
    <row r="36" spans="1:14" ht="12.95" customHeight="1" thickBot="1">
      <c r="B36" s="16"/>
      <c r="C36" s="17"/>
      <c r="D36" s="17"/>
      <c r="E36" s="637"/>
      <c r="F36" s="663"/>
      <c r="G36" s="17"/>
      <c r="H36" s="32"/>
      <c r="I36" s="32"/>
      <c r="J36" s="32"/>
      <c r="K36" s="32"/>
      <c r="L36" s="32"/>
      <c r="M36" s="1067"/>
      <c r="N36" s="679"/>
    </row>
    <row r="37" spans="1:14" ht="12.95" customHeight="1">
      <c r="E37" s="638"/>
      <c r="F37" s="664"/>
      <c r="M37" s="1070"/>
    </row>
    <row r="38" spans="1:14" ht="12.95" customHeight="1">
      <c r="B38" s="56"/>
      <c r="E38" s="638"/>
      <c r="F38" s="664"/>
      <c r="M38" s="1070"/>
    </row>
    <row r="39" spans="1:14" ht="12.95" customHeight="1">
      <c r="E39" s="638"/>
      <c r="F39" s="664"/>
      <c r="M39" s="1070"/>
    </row>
    <row r="40" spans="1:14" ht="12.95" customHeight="1">
      <c r="E40" s="638"/>
      <c r="F40" s="664"/>
      <c r="M40" s="1070"/>
    </row>
    <row r="41" spans="1:14" ht="12.95" customHeight="1">
      <c r="E41" s="638"/>
      <c r="F41" s="664"/>
      <c r="M41" s="1070"/>
    </row>
    <row r="42" spans="1:14" ht="12.95" customHeight="1">
      <c r="E42" s="638"/>
      <c r="F42" s="664"/>
      <c r="M42" s="1070"/>
    </row>
    <row r="43" spans="1:14" ht="12.95" customHeight="1">
      <c r="E43" s="638"/>
      <c r="F43" s="664"/>
      <c r="M43" s="1070"/>
    </row>
    <row r="44" spans="1:14" ht="12.95" customHeight="1">
      <c r="E44" s="638"/>
      <c r="F44" s="664"/>
      <c r="M44" s="1070"/>
    </row>
    <row r="45" spans="1:14" ht="12.95" customHeight="1">
      <c r="E45" s="638"/>
      <c r="F45" s="664"/>
      <c r="M45" s="1070"/>
    </row>
    <row r="46" spans="1:14" ht="12.95" customHeight="1">
      <c r="E46" s="638"/>
      <c r="F46" s="664"/>
      <c r="M46" s="1070"/>
    </row>
    <row r="47" spans="1:14" ht="12.95" customHeight="1">
      <c r="E47" s="638"/>
      <c r="F47" s="664"/>
      <c r="M47" s="1070"/>
    </row>
    <row r="48" spans="1:14" ht="12.95" customHeight="1">
      <c r="E48" s="638"/>
      <c r="F48" s="664"/>
      <c r="M48" s="1070"/>
    </row>
    <row r="49" spans="5:13" ht="12.95" customHeight="1">
      <c r="E49" s="638"/>
      <c r="F49" s="664"/>
      <c r="M49" s="1070"/>
    </row>
    <row r="50" spans="5:13" ht="12.95" customHeight="1">
      <c r="E50" s="638"/>
      <c r="F50" s="664"/>
      <c r="M50" s="1070"/>
    </row>
    <row r="51" spans="5:13" ht="12.95" customHeight="1">
      <c r="E51" s="638"/>
      <c r="F51" s="664"/>
      <c r="M51" s="1070"/>
    </row>
    <row r="52" spans="5:13" ht="12.95" customHeight="1">
      <c r="E52" s="638"/>
      <c r="F52" s="664"/>
      <c r="M52" s="1070"/>
    </row>
    <row r="53" spans="5:13" ht="12.95" customHeight="1">
      <c r="E53" s="638"/>
      <c r="F53" s="664"/>
      <c r="M53" s="1070"/>
    </row>
    <row r="54" spans="5:13" ht="12.95" customHeight="1">
      <c r="E54" s="638"/>
      <c r="F54" s="664"/>
      <c r="M54" s="1070"/>
    </row>
    <row r="55" spans="5:13" ht="12.95" customHeight="1">
      <c r="E55" s="638"/>
      <c r="F55" s="664"/>
      <c r="M55" s="1070"/>
    </row>
    <row r="56" spans="5:13" ht="12.95" customHeight="1">
      <c r="E56" s="638"/>
      <c r="F56" s="664"/>
      <c r="M56" s="1070"/>
    </row>
    <row r="57" spans="5:13" ht="12.95" customHeight="1">
      <c r="E57" s="638"/>
      <c r="F57" s="664"/>
      <c r="M57" s="1070"/>
    </row>
    <row r="58" spans="5:13" ht="12.95" customHeight="1">
      <c r="E58" s="638"/>
      <c r="F58" s="664"/>
      <c r="M58" s="1070"/>
    </row>
    <row r="59" spans="5:13" ht="12.95" customHeight="1">
      <c r="E59" s="638"/>
      <c r="F59" s="664"/>
      <c r="M59" s="1070"/>
    </row>
    <row r="60" spans="5:13" ht="17.100000000000001" customHeight="1">
      <c r="E60" s="638"/>
      <c r="F60" s="664"/>
      <c r="M60" s="1070"/>
    </row>
    <row r="61" spans="5:13" ht="14.25">
      <c r="E61" s="638"/>
      <c r="F61" s="664"/>
      <c r="M61" s="1070"/>
    </row>
    <row r="62" spans="5:13" ht="14.25">
      <c r="E62" s="638"/>
      <c r="F62" s="664"/>
      <c r="M62" s="1070"/>
    </row>
    <row r="63" spans="5:13" ht="14.25">
      <c r="E63" s="638"/>
      <c r="F63" s="664"/>
      <c r="M63" s="1070"/>
    </row>
    <row r="64" spans="5:13" ht="14.25">
      <c r="E64" s="638"/>
      <c r="F64" s="664"/>
      <c r="M64" s="1070"/>
    </row>
    <row r="65" spans="5:13" ht="14.25">
      <c r="E65" s="638"/>
      <c r="F65" s="664"/>
      <c r="M65" s="1070"/>
    </row>
    <row r="66" spans="5:13" ht="14.25">
      <c r="E66" s="638"/>
      <c r="F66" s="664"/>
      <c r="M66" s="1070"/>
    </row>
    <row r="67" spans="5:13" ht="14.25">
      <c r="E67" s="638"/>
      <c r="F67" s="664"/>
      <c r="M67" s="1070"/>
    </row>
    <row r="68" spans="5:13" ht="14.25">
      <c r="E68" s="638"/>
      <c r="F68" s="664"/>
      <c r="M68" s="1070"/>
    </row>
    <row r="69" spans="5:13" ht="14.25">
      <c r="E69" s="638"/>
      <c r="F69" s="664"/>
      <c r="M69" s="1070"/>
    </row>
    <row r="70" spans="5:13" ht="14.25">
      <c r="E70" s="638"/>
      <c r="F70" s="664"/>
      <c r="M70" s="1070"/>
    </row>
    <row r="71" spans="5:13" ht="14.25">
      <c r="E71" s="638"/>
      <c r="F71" s="664"/>
      <c r="M71" s="1070"/>
    </row>
    <row r="72" spans="5:13" ht="14.25">
      <c r="E72" s="638"/>
      <c r="F72" s="664"/>
      <c r="M72" s="1070"/>
    </row>
    <row r="73" spans="5:13" ht="14.25">
      <c r="E73" s="638"/>
      <c r="F73" s="664"/>
      <c r="M73" s="1070"/>
    </row>
    <row r="74" spans="5:13" ht="14.25">
      <c r="E74" s="638"/>
      <c r="F74" s="638"/>
      <c r="M74" s="1070"/>
    </row>
    <row r="75" spans="5:13" ht="14.25">
      <c r="E75" s="638"/>
      <c r="F75" s="638"/>
      <c r="M75" s="1070"/>
    </row>
    <row r="76" spans="5:13" ht="14.25">
      <c r="E76" s="638"/>
      <c r="F76" s="638"/>
      <c r="M76" s="1070"/>
    </row>
    <row r="77" spans="5:13" ht="14.25">
      <c r="E77" s="638"/>
      <c r="F77" s="638"/>
      <c r="M77" s="1070"/>
    </row>
    <row r="78" spans="5:13" ht="14.25">
      <c r="E78" s="638"/>
      <c r="F78" s="638"/>
      <c r="M78" s="1070"/>
    </row>
    <row r="79" spans="5:13" ht="14.25">
      <c r="E79" s="638"/>
      <c r="F79" s="638"/>
      <c r="M79" s="1070"/>
    </row>
    <row r="80" spans="5:13" ht="14.25">
      <c r="E80" s="638"/>
      <c r="F80" s="638"/>
      <c r="M80" s="1070"/>
    </row>
    <row r="81" spans="5:13" ht="14.25">
      <c r="E81" s="638"/>
      <c r="F81" s="638"/>
      <c r="M81" s="1070"/>
    </row>
    <row r="82" spans="5:13" ht="14.25">
      <c r="E82" s="638"/>
      <c r="F82" s="638"/>
      <c r="M82" s="1070"/>
    </row>
    <row r="83" spans="5:13" ht="14.25">
      <c r="E83" s="638"/>
      <c r="F83" s="638"/>
      <c r="M83" s="1070"/>
    </row>
    <row r="84" spans="5:13" ht="14.25">
      <c r="E84" s="638"/>
      <c r="F84" s="638"/>
      <c r="M84" s="1070"/>
    </row>
    <row r="85" spans="5:13" ht="14.25">
      <c r="E85" s="638"/>
      <c r="F85" s="638"/>
      <c r="M85" s="1070"/>
    </row>
    <row r="86" spans="5:13" ht="14.25">
      <c r="E86" s="638"/>
      <c r="F86" s="638"/>
      <c r="M86" s="1070"/>
    </row>
    <row r="87" spans="5:13" ht="14.25">
      <c r="E87" s="638"/>
      <c r="F87" s="638"/>
      <c r="M87" s="1070"/>
    </row>
    <row r="88" spans="5:13" ht="14.25">
      <c r="E88" s="638"/>
      <c r="F88" s="638"/>
      <c r="M88" s="1070"/>
    </row>
    <row r="89" spans="5:13" ht="14.25">
      <c r="E89" s="638"/>
      <c r="F89" s="638"/>
      <c r="M89" s="1070"/>
    </row>
    <row r="90" spans="5:13" ht="14.25">
      <c r="E90" s="638"/>
      <c r="F90" s="638"/>
      <c r="M90" s="1070"/>
    </row>
    <row r="91" spans="5:13">
      <c r="F91" s="638"/>
    </row>
    <row r="92" spans="5:13">
      <c r="F92" s="638"/>
    </row>
    <row r="93" spans="5:13">
      <c r="F93" s="638"/>
    </row>
    <row r="94" spans="5:13">
      <c r="F94" s="638"/>
    </row>
    <row r="95" spans="5:13">
      <c r="F95" s="638"/>
    </row>
    <row r="96" spans="5:13">
      <c r="F96" s="638"/>
    </row>
  </sheetData>
  <mergeCells count="13">
    <mergeCell ref="N4:N5"/>
    <mergeCell ref="G4:G5"/>
    <mergeCell ref="B2:H2"/>
    <mergeCell ref="G3:H3"/>
    <mergeCell ref="K4:M4"/>
    <mergeCell ref="B4:B5"/>
    <mergeCell ref="C4:C5"/>
    <mergeCell ref="D4:D5"/>
    <mergeCell ref="F4:F5"/>
    <mergeCell ref="E4:E5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2:L44"/>
  <sheetViews>
    <sheetView topLeftCell="A16" zoomScaleNormal="100" workbookViewId="0">
      <selection activeCell="Q14" sqref="Q14"/>
    </sheetView>
  </sheetViews>
  <sheetFormatPr defaultRowHeight="12.75"/>
  <cols>
    <col min="1" max="1" width="11.85546875" style="40" customWidth="1"/>
    <col min="2" max="2" width="82.28515625" customWidth="1"/>
    <col min="3" max="11" width="10.7109375" customWidth="1"/>
    <col min="12" max="12" width="11.42578125" style="46" customWidth="1"/>
  </cols>
  <sheetData>
    <row r="2" spans="1:12" ht="15.75">
      <c r="A2" s="1235" t="s">
        <v>689</v>
      </c>
      <c r="B2" s="1287"/>
      <c r="C2" s="1287"/>
      <c r="D2" s="1287"/>
      <c r="E2" s="1287"/>
      <c r="F2" s="1287"/>
      <c r="G2" s="1287"/>
      <c r="H2" s="1287"/>
      <c r="I2" s="1287"/>
      <c r="J2" s="1287"/>
      <c r="K2" s="1287"/>
      <c r="L2" s="1287"/>
    </row>
    <row r="4" spans="1:12" s="46" customFormat="1" ht="51">
      <c r="A4" s="177" t="s">
        <v>409</v>
      </c>
      <c r="B4" s="178" t="s">
        <v>427</v>
      </c>
      <c r="C4" s="177" t="s">
        <v>420</v>
      </c>
      <c r="D4" s="177" t="s">
        <v>421</v>
      </c>
      <c r="E4" s="177" t="s">
        <v>428</v>
      </c>
      <c r="F4" s="177" t="s">
        <v>429</v>
      </c>
      <c r="G4" s="177" t="s">
        <v>422</v>
      </c>
      <c r="H4" s="177" t="s">
        <v>423</v>
      </c>
      <c r="I4" s="177" t="s">
        <v>424</v>
      </c>
      <c r="J4" s="177" t="s">
        <v>430</v>
      </c>
      <c r="K4" s="177" t="s">
        <v>425</v>
      </c>
      <c r="L4" s="177" t="s">
        <v>426</v>
      </c>
    </row>
    <row r="5" spans="1:12" ht="15.95" customHeight="1">
      <c r="A5" s="171">
        <v>10010001</v>
      </c>
      <c r="B5" s="23" t="s">
        <v>239</v>
      </c>
      <c r="C5" s="169">
        <f>'1'!M9</f>
        <v>471300</v>
      </c>
      <c r="D5" s="169">
        <f>'1'!M10+'1'!M11</f>
        <v>81300</v>
      </c>
      <c r="E5" s="169">
        <f>'1'!M13</f>
        <v>51900</v>
      </c>
      <c r="F5" s="169">
        <f>'1'!M16</f>
        <v>276720</v>
      </c>
      <c r="G5" s="169">
        <v>0</v>
      </c>
      <c r="H5" s="169">
        <v>0</v>
      </c>
      <c r="I5" s="23">
        <v>0</v>
      </c>
      <c r="J5" s="169">
        <f>'1'!M28</f>
        <v>10000</v>
      </c>
      <c r="K5" s="23">
        <v>0</v>
      </c>
      <c r="L5" s="170">
        <f>SUM(C5:K5)</f>
        <v>891220</v>
      </c>
    </row>
    <row r="6" spans="1:12" ht="15.95" customHeight="1">
      <c r="A6" s="171">
        <v>11010001</v>
      </c>
      <c r="B6" s="23" t="s">
        <v>240</v>
      </c>
      <c r="C6" s="169">
        <f>'3'!M14</f>
        <v>130100</v>
      </c>
      <c r="D6" s="169">
        <f>'3'!M15+'3'!M16</f>
        <v>143660</v>
      </c>
      <c r="E6" s="169">
        <f>'3'!M18</f>
        <v>13850</v>
      </c>
      <c r="F6" s="169">
        <f>'3'!M21</f>
        <v>344400</v>
      </c>
      <c r="G6" s="169">
        <f>'3'!M34</f>
        <v>755000</v>
      </c>
      <c r="H6" s="169">
        <f>'3'!M47</f>
        <v>400000</v>
      </c>
      <c r="I6" s="23">
        <v>0</v>
      </c>
      <c r="J6" s="169">
        <f>'3'!M50</f>
        <v>55000</v>
      </c>
      <c r="K6" s="23">
        <v>0</v>
      </c>
      <c r="L6" s="170">
        <f t="shared" ref="L6:L40" si="0">SUM(C6:K6)</f>
        <v>1842010</v>
      </c>
    </row>
    <row r="7" spans="1:12" ht="15.95" customHeight="1">
      <c r="A7" s="171">
        <v>11010002</v>
      </c>
      <c r="B7" s="23" t="s">
        <v>241</v>
      </c>
      <c r="C7" s="169">
        <f>'4'!M9</f>
        <v>43250</v>
      </c>
      <c r="D7" s="169">
        <f>'4'!M10+'4'!M11</f>
        <v>11050</v>
      </c>
      <c r="E7" s="169">
        <f>'4'!M13</f>
        <v>4800</v>
      </c>
      <c r="F7" s="169">
        <f>'4'!M16</f>
        <v>4600</v>
      </c>
      <c r="G7" s="169">
        <f>'4'!M28</f>
        <v>20000</v>
      </c>
      <c r="H7" s="23">
        <v>0</v>
      </c>
      <c r="I7" s="23">
        <v>0</v>
      </c>
      <c r="J7" s="169">
        <f>'4'!M31</f>
        <v>1000</v>
      </c>
      <c r="K7" s="23">
        <v>0</v>
      </c>
      <c r="L7" s="170">
        <f t="shared" si="0"/>
        <v>84700</v>
      </c>
    </row>
    <row r="8" spans="1:12" ht="15.95" customHeight="1">
      <c r="A8" s="171">
        <v>11010003</v>
      </c>
      <c r="B8" s="23" t="s">
        <v>242</v>
      </c>
      <c r="C8" s="169">
        <f>'5'!M9</f>
        <v>44500</v>
      </c>
      <c r="D8" s="169">
        <f>'5'!M10+'5'!M11</f>
        <v>6350</v>
      </c>
      <c r="E8" s="169">
        <f>'5'!M13</f>
        <v>4800</v>
      </c>
      <c r="F8" s="169">
        <f>'5'!M16</f>
        <v>3000</v>
      </c>
      <c r="G8" s="23">
        <v>0</v>
      </c>
      <c r="H8" s="23">
        <v>0</v>
      </c>
      <c r="I8" s="23">
        <v>0</v>
      </c>
      <c r="J8" s="169">
        <f>'5'!M28</f>
        <v>1500</v>
      </c>
      <c r="K8" s="23">
        <v>0</v>
      </c>
      <c r="L8" s="170">
        <f t="shared" si="0"/>
        <v>60150</v>
      </c>
    </row>
    <row r="9" spans="1:12" ht="15.95" customHeight="1">
      <c r="A9" s="171">
        <v>11010004</v>
      </c>
      <c r="B9" s="23" t="s">
        <v>243</v>
      </c>
      <c r="C9" s="169">
        <f>'6'!M9</f>
        <v>65050</v>
      </c>
      <c r="D9" s="169">
        <f>'6'!M10+'6'!M11</f>
        <v>10580</v>
      </c>
      <c r="E9" s="169">
        <f>'6'!M13</f>
        <v>6940</v>
      </c>
      <c r="F9" s="169">
        <f>'6'!M16</f>
        <v>6300</v>
      </c>
      <c r="G9" s="23">
        <v>0</v>
      </c>
      <c r="H9" s="23">
        <v>0</v>
      </c>
      <c r="I9" s="23">
        <v>0</v>
      </c>
      <c r="J9" s="169">
        <f>'6'!M28</f>
        <v>1500</v>
      </c>
      <c r="K9" s="23">
        <v>0</v>
      </c>
      <c r="L9" s="170">
        <f t="shared" si="0"/>
        <v>90370</v>
      </c>
    </row>
    <row r="10" spans="1:12" ht="15.95" customHeight="1">
      <c r="A10" s="171">
        <v>11010005</v>
      </c>
      <c r="B10" s="288" t="s">
        <v>632</v>
      </c>
      <c r="C10" s="169">
        <f>'7'!M9</f>
        <v>133400</v>
      </c>
      <c r="D10" s="169">
        <f>'7'!M10+'7'!M11</f>
        <v>36480</v>
      </c>
      <c r="E10" s="169">
        <f>'7'!M13</f>
        <v>14260</v>
      </c>
      <c r="F10" s="169">
        <f>'7'!M16</f>
        <v>11700</v>
      </c>
      <c r="G10" s="23">
        <v>0</v>
      </c>
      <c r="H10" s="23">
        <v>0</v>
      </c>
      <c r="I10" s="23">
        <v>0</v>
      </c>
      <c r="J10" s="169">
        <f>'7'!M28</f>
        <v>1000</v>
      </c>
      <c r="K10" s="23">
        <v>0</v>
      </c>
      <c r="L10" s="170">
        <f t="shared" si="0"/>
        <v>196840</v>
      </c>
    </row>
    <row r="11" spans="1:12" ht="15.95" customHeight="1">
      <c r="A11" s="171">
        <v>12010001</v>
      </c>
      <c r="B11" s="23" t="s">
        <v>244</v>
      </c>
      <c r="C11" s="169">
        <f>'8'!M9</f>
        <v>217200</v>
      </c>
      <c r="D11" s="169">
        <f>'8'!M10+'8'!M11</f>
        <v>58800</v>
      </c>
      <c r="E11" s="169">
        <f>'8'!M13</f>
        <v>23250</v>
      </c>
      <c r="F11" s="169">
        <f>'8'!M16</f>
        <v>401500</v>
      </c>
      <c r="G11" s="23">
        <v>0</v>
      </c>
      <c r="H11" s="23">
        <v>0</v>
      </c>
      <c r="I11" s="23">
        <v>0</v>
      </c>
      <c r="J11" s="169">
        <f>'8'!M28</f>
        <v>80000</v>
      </c>
      <c r="K11" s="23">
        <v>0</v>
      </c>
      <c r="L11" s="170">
        <f t="shared" si="0"/>
        <v>780750</v>
      </c>
    </row>
    <row r="12" spans="1:12" ht="15.95" customHeight="1">
      <c r="A12" s="171">
        <v>13010001</v>
      </c>
      <c r="B12" s="23" t="s">
        <v>408</v>
      </c>
      <c r="C12" s="169">
        <f>'9'!M9</f>
        <v>4018380</v>
      </c>
      <c r="D12" s="169">
        <f>'9'!M10+'9'!M11</f>
        <v>826510</v>
      </c>
      <c r="E12" s="169">
        <f>'9'!M13</f>
        <v>626380</v>
      </c>
      <c r="F12" s="169">
        <f>'9'!M16</f>
        <v>797400</v>
      </c>
      <c r="G12" s="23">
        <v>0</v>
      </c>
      <c r="H12" s="23">
        <v>0</v>
      </c>
      <c r="I12" s="23">
        <v>0</v>
      </c>
      <c r="J12" s="169">
        <f>'9'!M28</f>
        <v>40000</v>
      </c>
      <c r="K12" s="23">
        <v>0</v>
      </c>
      <c r="L12" s="170">
        <f t="shared" si="0"/>
        <v>6308670</v>
      </c>
    </row>
    <row r="13" spans="1:12" ht="15.95" customHeight="1">
      <c r="A13" s="171">
        <v>14010001</v>
      </c>
      <c r="B13" s="23" t="s">
        <v>246</v>
      </c>
      <c r="C13" s="169">
        <f>'10'!M9</f>
        <v>80870</v>
      </c>
      <c r="D13" s="169">
        <f>'10'!M10+'10'!M11</f>
        <v>13600</v>
      </c>
      <c r="E13" s="169">
        <f>'10'!M13</f>
        <v>8720</v>
      </c>
      <c r="F13" s="169">
        <f>'10'!M16</f>
        <v>79300</v>
      </c>
      <c r="G13" s="23">
        <v>0</v>
      </c>
      <c r="H13" s="23">
        <v>0</v>
      </c>
      <c r="I13" s="23">
        <v>0</v>
      </c>
      <c r="J13" s="169">
        <f>'10'!M28</f>
        <v>0</v>
      </c>
      <c r="K13" s="23">
        <v>0</v>
      </c>
      <c r="L13" s="170">
        <f t="shared" si="0"/>
        <v>182490</v>
      </c>
    </row>
    <row r="14" spans="1:12" ht="15.95" customHeight="1">
      <c r="A14" s="171">
        <v>14020003</v>
      </c>
      <c r="B14" s="23" t="s">
        <v>247</v>
      </c>
      <c r="C14" s="169">
        <f>'11'!M9</f>
        <v>971130</v>
      </c>
      <c r="D14" s="169">
        <f>'11'!M10+'11'!M11</f>
        <v>177300</v>
      </c>
      <c r="E14" s="169">
        <f>'11'!M13</f>
        <v>105400</v>
      </c>
      <c r="F14" s="169">
        <f>'11'!M16</f>
        <v>323300</v>
      </c>
      <c r="G14" s="23">
        <v>0</v>
      </c>
      <c r="H14" s="23">
        <v>0</v>
      </c>
      <c r="I14" s="23">
        <v>0</v>
      </c>
      <c r="J14" s="169">
        <f>'11'!M29</f>
        <v>25000</v>
      </c>
      <c r="K14" s="23">
        <v>0</v>
      </c>
      <c r="L14" s="170">
        <f t="shared" si="0"/>
        <v>1602130</v>
      </c>
    </row>
    <row r="15" spans="1:12" ht="15.95" customHeight="1">
      <c r="A15" s="171">
        <v>14050001</v>
      </c>
      <c r="B15" s="23" t="s">
        <v>248</v>
      </c>
      <c r="C15" s="169">
        <f>'12'!M9</f>
        <v>37620</v>
      </c>
      <c r="D15" s="169">
        <f>'12'!M10+'12'!M11</f>
        <v>6040</v>
      </c>
      <c r="E15" s="169">
        <f>'12'!M13</f>
        <v>4130</v>
      </c>
      <c r="F15" s="169">
        <f>'12'!M16</f>
        <v>4200</v>
      </c>
      <c r="G15" s="23">
        <v>0</v>
      </c>
      <c r="H15" s="23">
        <v>0</v>
      </c>
      <c r="I15" s="23">
        <v>0</v>
      </c>
      <c r="J15" s="169">
        <f>'12'!M28</f>
        <v>3000</v>
      </c>
      <c r="K15" s="23">
        <v>0</v>
      </c>
      <c r="L15" s="170">
        <f t="shared" si="0"/>
        <v>54990</v>
      </c>
    </row>
    <row r="16" spans="1:12" ht="15.95" customHeight="1">
      <c r="A16" s="171">
        <v>14050002</v>
      </c>
      <c r="B16" s="23" t="s">
        <v>249</v>
      </c>
      <c r="C16" s="169">
        <f>'13'!M9</f>
        <v>31540</v>
      </c>
      <c r="D16" s="169">
        <f>'13'!M10+'13'!M11</f>
        <v>7020</v>
      </c>
      <c r="E16" s="169">
        <f>'13'!M13</f>
        <v>3430</v>
      </c>
      <c r="F16" s="169">
        <f>'13'!M16</f>
        <v>3050</v>
      </c>
      <c r="G16" s="23">
        <v>0</v>
      </c>
      <c r="H16" s="23">
        <v>0</v>
      </c>
      <c r="I16" s="23">
        <v>0</v>
      </c>
      <c r="J16" s="169">
        <f>'13'!M28</f>
        <v>1000</v>
      </c>
      <c r="K16" s="23">
        <v>0</v>
      </c>
      <c r="L16" s="170">
        <f t="shared" si="0"/>
        <v>46040</v>
      </c>
    </row>
    <row r="17" spans="1:12" ht="15.95" customHeight="1">
      <c r="A17" s="171">
        <v>14060001</v>
      </c>
      <c r="B17" s="23" t="s">
        <v>250</v>
      </c>
      <c r="C17" s="169">
        <f>'14'!M9</f>
        <v>68070</v>
      </c>
      <c r="D17" s="169">
        <f>'14'!M10+'14'!M11</f>
        <v>10840</v>
      </c>
      <c r="E17" s="169">
        <f>'14'!M13</f>
        <v>7310</v>
      </c>
      <c r="F17" s="169">
        <f>'14'!M16</f>
        <v>4800</v>
      </c>
      <c r="G17" s="23">
        <v>0</v>
      </c>
      <c r="H17" s="23">
        <v>0</v>
      </c>
      <c r="I17" s="23">
        <v>0</v>
      </c>
      <c r="J17" s="169">
        <f>'14'!M28</f>
        <v>500</v>
      </c>
      <c r="K17" s="23">
        <v>0</v>
      </c>
      <c r="L17" s="170">
        <f t="shared" si="0"/>
        <v>91520</v>
      </c>
    </row>
    <row r="18" spans="1:12" ht="15.95" customHeight="1">
      <c r="A18" s="171">
        <v>15010001</v>
      </c>
      <c r="B18" s="23" t="s">
        <v>251</v>
      </c>
      <c r="C18" s="169">
        <f>'15'!M9</f>
        <v>165200</v>
      </c>
      <c r="D18" s="169">
        <f>'15'!M10+'15'!M11</f>
        <v>32640</v>
      </c>
      <c r="E18" s="169">
        <f>'15'!M13</f>
        <v>17730</v>
      </c>
      <c r="F18" s="169">
        <f>'15'!M16</f>
        <v>79450</v>
      </c>
      <c r="G18" s="169">
        <f>'15'!M29</f>
        <v>1000000</v>
      </c>
      <c r="H18" s="23">
        <v>0</v>
      </c>
      <c r="I18" s="23">
        <v>0</v>
      </c>
      <c r="J18" s="169">
        <f>'15'!M32</f>
        <v>1000</v>
      </c>
      <c r="K18" s="23">
        <v>0</v>
      </c>
      <c r="L18" s="170">
        <f t="shared" si="0"/>
        <v>1296020</v>
      </c>
    </row>
    <row r="19" spans="1:12" ht="15.95" customHeight="1">
      <c r="A19" s="171">
        <v>16010001</v>
      </c>
      <c r="B19" s="23" t="s">
        <v>252</v>
      </c>
      <c r="C19" s="169">
        <f>'16'!M12</f>
        <v>317980</v>
      </c>
      <c r="D19" s="169">
        <f>'16'!M13+'16'!M14</f>
        <v>66790</v>
      </c>
      <c r="E19" s="169">
        <f>'16'!M16</f>
        <v>35150</v>
      </c>
      <c r="F19" s="169">
        <f>'16'!M19</f>
        <v>115600</v>
      </c>
      <c r="G19" s="169">
        <f>'16'!M32</f>
        <v>280000</v>
      </c>
      <c r="H19" s="23">
        <v>0</v>
      </c>
      <c r="I19" s="169">
        <f>'16'!M37</f>
        <v>56300</v>
      </c>
      <c r="J19" s="169">
        <f>'16'!M41</f>
        <v>1500</v>
      </c>
      <c r="K19" s="169">
        <f>'16'!M45</f>
        <v>523890</v>
      </c>
      <c r="L19" s="170">
        <f t="shared" si="0"/>
        <v>1397210</v>
      </c>
    </row>
    <row r="20" spans="1:12" ht="15.95" customHeight="1">
      <c r="A20" s="171">
        <v>17010001</v>
      </c>
      <c r="B20" s="23" t="s">
        <v>253</v>
      </c>
      <c r="C20" s="169">
        <f>'17'!M9</f>
        <v>212750</v>
      </c>
      <c r="D20" s="169">
        <f>'17'!M10+'17'!M11</f>
        <v>43230</v>
      </c>
      <c r="E20" s="169">
        <f>'17'!M13</f>
        <v>22720</v>
      </c>
      <c r="F20" s="169">
        <f>'17'!M16</f>
        <v>80100</v>
      </c>
      <c r="G20" s="169">
        <f>'17'!M28</f>
        <v>4000000</v>
      </c>
      <c r="H20" s="169">
        <v>0</v>
      </c>
      <c r="I20" s="23">
        <v>0</v>
      </c>
      <c r="J20" s="169">
        <f>'17'!M34</f>
        <v>1500</v>
      </c>
      <c r="K20" s="23">
        <v>0</v>
      </c>
      <c r="L20" s="170">
        <f t="shared" si="0"/>
        <v>4360300</v>
      </c>
    </row>
    <row r="21" spans="1:12" ht="15.95" customHeight="1">
      <c r="A21" s="171">
        <v>18010001</v>
      </c>
      <c r="B21" s="23" t="s">
        <v>254</v>
      </c>
      <c r="C21" s="169">
        <f>'18'!M9</f>
        <v>207100</v>
      </c>
      <c r="D21" s="169">
        <f>'18'!M10+'18'!M11</f>
        <v>40250</v>
      </c>
      <c r="E21" s="169">
        <f>'18'!M13</f>
        <v>21930</v>
      </c>
      <c r="F21" s="169">
        <f>'18'!M16</f>
        <v>219600</v>
      </c>
      <c r="G21" s="169">
        <f>'18'!M29</f>
        <v>210000</v>
      </c>
      <c r="H21" s="23">
        <v>0</v>
      </c>
      <c r="I21" s="23">
        <v>0</v>
      </c>
      <c r="J21" s="169">
        <f>'18'!M33</f>
        <v>894000</v>
      </c>
      <c r="K21" s="23">
        <v>0</v>
      </c>
      <c r="L21" s="170">
        <f t="shared" si="0"/>
        <v>1592880</v>
      </c>
    </row>
    <row r="22" spans="1:12" ht="15.95" customHeight="1">
      <c r="A22" s="171">
        <v>19010001</v>
      </c>
      <c r="B22" s="23" t="s">
        <v>255</v>
      </c>
      <c r="C22" s="169">
        <f>'19'!M9</f>
        <v>512370</v>
      </c>
      <c r="D22" s="169">
        <f>'19'!M10+'19'!M11</f>
        <v>95680</v>
      </c>
      <c r="E22" s="169">
        <f>'19'!M13</f>
        <v>54570</v>
      </c>
      <c r="F22" s="169">
        <f>'19'!M16</f>
        <v>82610</v>
      </c>
      <c r="G22" s="169">
        <f>'19'!M28</f>
        <v>1750000</v>
      </c>
      <c r="H22" s="23">
        <v>0</v>
      </c>
      <c r="I22" s="23">
        <v>0</v>
      </c>
      <c r="J22" s="169">
        <f>'19'!M34</f>
        <v>40000</v>
      </c>
      <c r="K22" s="23">
        <v>0</v>
      </c>
      <c r="L22" s="170">
        <f t="shared" si="0"/>
        <v>2535230</v>
      </c>
    </row>
    <row r="23" spans="1:12" ht="15.95" customHeight="1">
      <c r="A23" s="171">
        <v>20010001</v>
      </c>
      <c r="B23" s="23" t="s">
        <v>256</v>
      </c>
      <c r="C23" s="169">
        <f>'20'!M9</f>
        <v>259500</v>
      </c>
      <c r="D23" s="169">
        <f>'20'!M10+'20'!M11</f>
        <v>42100</v>
      </c>
      <c r="E23" s="169">
        <f>'20'!M13</f>
        <v>27660</v>
      </c>
      <c r="F23" s="169">
        <f>'20'!M16</f>
        <v>87900</v>
      </c>
      <c r="G23" s="169">
        <f>'20'!M30</f>
        <v>1180000</v>
      </c>
      <c r="H23" s="169">
        <v>0</v>
      </c>
      <c r="I23" s="169">
        <f>'20'!M41</f>
        <v>2560</v>
      </c>
      <c r="J23" s="169">
        <f>'20'!M44</f>
        <v>2500</v>
      </c>
      <c r="K23" s="169">
        <f>'20'!M48</f>
        <v>75000</v>
      </c>
      <c r="L23" s="170">
        <f t="shared" si="0"/>
        <v>1677220</v>
      </c>
    </row>
    <row r="24" spans="1:12" ht="15.95" customHeight="1">
      <c r="A24" s="171">
        <v>20020002</v>
      </c>
      <c r="B24" s="23" t="s">
        <v>410</v>
      </c>
      <c r="C24" s="169">
        <f>'21'!M9</f>
        <v>912510</v>
      </c>
      <c r="D24" s="169">
        <f>'21'!M10+'21'!M11</f>
        <v>217520</v>
      </c>
      <c r="E24" s="169">
        <f>'21'!M13</f>
        <v>95990</v>
      </c>
      <c r="F24" s="169">
        <f>'21'!M16</f>
        <v>153500</v>
      </c>
      <c r="G24" s="23">
        <v>0</v>
      </c>
      <c r="H24" s="23">
        <v>0</v>
      </c>
      <c r="I24" s="23">
        <v>0</v>
      </c>
      <c r="J24" s="169">
        <f>'21'!M28</f>
        <v>10000</v>
      </c>
      <c r="K24" s="23">
        <v>0</v>
      </c>
      <c r="L24" s="170">
        <f t="shared" si="0"/>
        <v>1389520</v>
      </c>
    </row>
    <row r="25" spans="1:12" ht="15.95" customHeight="1">
      <c r="A25" s="171">
        <v>20020003</v>
      </c>
      <c r="B25" s="23" t="s">
        <v>411</v>
      </c>
      <c r="C25" s="169">
        <f>'22'!M9</f>
        <v>838700</v>
      </c>
      <c r="D25" s="169">
        <f>'22'!M10+'22'!M11</f>
        <v>212400</v>
      </c>
      <c r="E25" s="169">
        <f>'22'!M13</f>
        <v>89570</v>
      </c>
      <c r="F25" s="169">
        <f>'22'!M16</f>
        <v>211950</v>
      </c>
      <c r="G25" s="23">
        <v>0</v>
      </c>
      <c r="H25" s="23">
        <v>0</v>
      </c>
      <c r="I25" s="23">
        <v>0</v>
      </c>
      <c r="J25" s="169">
        <f>'22'!M28</f>
        <v>10000</v>
      </c>
      <c r="K25" s="23">
        <v>0</v>
      </c>
      <c r="L25" s="170">
        <f t="shared" si="0"/>
        <v>1362620</v>
      </c>
    </row>
    <row r="26" spans="1:12" ht="15.95" customHeight="1">
      <c r="A26" s="171">
        <v>20020004</v>
      </c>
      <c r="B26" s="23" t="s">
        <v>412</v>
      </c>
      <c r="C26" s="169">
        <f>'23'!M9</f>
        <v>705000</v>
      </c>
      <c r="D26" s="169">
        <f>'23'!M10+'23'!M11</f>
        <v>163100</v>
      </c>
      <c r="E26" s="169">
        <f>'23'!M13</f>
        <v>76640</v>
      </c>
      <c r="F26" s="169">
        <f>'23'!M16</f>
        <v>123200</v>
      </c>
      <c r="G26" s="23">
        <v>0</v>
      </c>
      <c r="H26" s="23">
        <v>0</v>
      </c>
      <c r="I26" s="23">
        <v>0</v>
      </c>
      <c r="J26" s="169">
        <f>'23'!M29</f>
        <v>27090</v>
      </c>
      <c r="K26" s="23">
        <v>0</v>
      </c>
      <c r="L26" s="170">
        <f t="shared" si="0"/>
        <v>1095030</v>
      </c>
    </row>
    <row r="27" spans="1:12" ht="15.95" customHeight="1">
      <c r="A27" s="171">
        <v>20030001</v>
      </c>
      <c r="B27" s="23" t="s">
        <v>413</v>
      </c>
      <c r="C27" s="169">
        <f>'24'!M9</f>
        <v>836500</v>
      </c>
      <c r="D27" s="169">
        <f>'24'!M10+'24'!M11</f>
        <v>178100</v>
      </c>
      <c r="E27" s="169">
        <f>'24'!M13</f>
        <v>91450</v>
      </c>
      <c r="F27" s="169">
        <f>'24'!M16</f>
        <v>92400</v>
      </c>
      <c r="G27" s="23">
        <v>0</v>
      </c>
      <c r="H27" s="23">
        <v>0</v>
      </c>
      <c r="I27" s="23">
        <v>0</v>
      </c>
      <c r="J27" s="169">
        <f>'24'!M28</f>
        <v>10000</v>
      </c>
      <c r="K27" s="23">
        <v>0</v>
      </c>
      <c r="L27" s="170">
        <f t="shared" si="0"/>
        <v>1208450</v>
      </c>
    </row>
    <row r="28" spans="1:12" ht="15.95" customHeight="1">
      <c r="A28" s="171">
        <v>20030002</v>
      </c>
      <c r="B28" s="23" t="s">
        <v>414</v>
      </c>
      <c r="C28" s="169">
        <f>'25'!M9</f>
        <v>1883000</v>
      </c>
      <c r="D28" s="169">
        <f>'25'!M10+'25'!M11</f>
        <v>388800</v>
      </c>
      <c r="E28" s="169">
        <f>'25'!M13</f>
        <v>209380</v>
      </c>
      <c r="F28" s="169">
        <f>'25'!M16</f>
        <v>212000</v>
      </c>
      <c r="G28" s="23">
        <v>0</v>
      </c>
      <c r="H28" s="23">
        <v>0</v>
      </c>
      <c r="I28" s="23">
        <v>0</v>
      </c>
      <c r="J28" s="169">
        <f>'25'!M28</f>
        <v>21660</v>
      </c>
      <c r="K28" s="23">
        <v>0</v>
      </c>
      <c r="L28" s="170">
        <f t="shared" si="0"/>
        <v>2714840</v>
      </c>
    </row>
    <row r="29" spans="1:12" ht="15.95" customHeight="1">
      <c r="A29" s="171">
        <v>20030003</v>
      </c>
      <c r="B29" s="23" t="s">
        <v>415</v>
      </c>
      <c r="C29" s="169">
        <f>'26'!M9</f>
        <v>527200</v>
      </c>
      <c r="D29" s="169">
        <f>'26'!M10+'26'!M11</f>
        <v>116200</v>
      </c>
      <c r="E29" s="169">
        <f>'26'!M13</f>
        <v>56580</v>
      </c>
      <c r="F29" s="169">
        <f>'26'!M16</f>
        <v>56700</v>
      </c>
      <c r="G29" s="23">
        <v>0</v>
      </c>
      <c r="H29" s="23">
        <v>0</v>
      </c>
      <c r="I29" s="23">
        <v>0</v>
      </c>
      <c r="J29" s="169">
        <f>'26'!M28</f>
        <v>20000</v>
      </c>
      <c r="K29" s="23">
        <v>0</v>
      </c>
      <c r="L29" s="170">
        <f t="shared" si="0"/>
        <v>776680</v>
      </c>
    </row>
    <row r="30" spans="1:12" ht="15.95" customHeight="1">
      <c r="A30" s="171">
        <v>20030004</v>
      </c>
      <c r="B30" s="23" t="s">
        <v>416</v>
      </c>
      <c r="C30" s="169">
        <f>'27'!M9</f>
        <v>643300</v>
      </c>
      <c r="D30" s="169">
        <f>'27'!M10+'27'!M11</f>
        <v>134400</v>
      </c>
      <c r="E30" s="169">
        <f>'27'!M13</f>
        <v>72350</v>
      </c>
      <c r="F30" s="169">
        <f>'27'!M16</f>
        <v>63300</v>
      </c>
      <c r="G30" s="23">
        <v>0</v>
      </c>
      <c r="H30" s="23">
        <v>0</v>
      </c>
      <c r="I30" s="23">
        <v>0</v>
      </c>
      <c r="J30" s="169">
        <f>'27'!M28</f>
        <v>10000</v>
      </c>
      <c r="K30" s="23">
        <v>0</v>
      </c>
      <c r="L30" s="170">
        <f t="shared" si="0"/>
        <v>923350</v>
      </c>
    </row>
    <row r="31" spans="1:12" ht="15.95" customHeight="1">
      <c r="A31" s="171">
        <v>20030005</v>
      </c>
      <c r="B31" s="23" t="s">
        <v>417</v>
      </c>
      <c r="C31" s="169">
        <f>'28'!M9</f>
        <v>805450</v>
      </c>
      <c r="D31" s="169">
        <f>'28'!M10+'28'!M11</f>
        <v>174360</v>
      </c>
      <c r="E31" s="169">
        <f>'28'!M13</f>
        <v>85620</v>
      </c>
      <c r="F31" s="169">
        <f>'28'!M16</f>
        <v>98650</v>
      </c>
      <c r="G31" s="23">
        <v>0</v>
      </c>
      <c r="H31" s="23">
        <v>0</v>
      </c>
      <c r="I31" s="23">
        <v>0</v>
      </c>
      <c r="J31" s="169">
        <f>'28'!M28</f>
        <v>16000</v>
      </c>
      <c r="K31" s="23">
        <v>0</v>
      </c>
      <c r="L31" s="170">
        <f t="shared" si="0"/>
        <v>1180080</v>
      </c>
    </row>
    <row r="32" spans="1:12" ht="15.95" customHeight="1">
      <c r="A32" s="171">
        <v>20030006</v>
      </c>
      <c r="B32" s="23" t="s">
        <v>418</v>
      </c>
      <c r="C32" s="169">
        <f>'29'!M9</f>
        <v>315900</v>
      </c>
      <c r="D32" s="169">
        <f>'29'!M10+'29'!M11</f>
        <v>74300</v>
      </c>
      <c r="E32" s="169">
        <f>'29'!M13</f>
        <v>35840</v>
      </c>
      <c r="F32" s="169">
        <f>'29'!M16</f>
        <v>47300</v>
      </c>
      <c r="G32" s="23">
        <v>0</v>
      </c>
      <c r="H32" s="23">
        <v>0</v>
      </c>
      <c r="I32" s="23">
        <v>0</v>
      </c>
      <c r="J32" s="169">
        <f>'29'!M28</f>
        <v>3000</v>
      </c>
      <c r="K32" s="23">
        <v>0</v>
      </c>
      <c r="L32" s="170">
        <f t="shared" si="0"/>
        <v>476340</v>
      </c>
    </row>
    <row r="33" spans="1:12" ht="15.95" customHeight="1">
      <c r="A33" s="171">
        <v>20030007</v>
      </c>
      <c r="B33" s="23" t="s">
        <v>419</v>
      </c>
      <c r="C33" s="169">
        <f>'30'!M9</f>
        <v>477000</v>
      </c>
      <c r="D33" s="169">
        <f>'30'!M10+'30'!M11</f>
        <v>102860</v>
      </c>
      <c r="E33" s="169">
        <f>'30'!M13</f>
        <v>50890</v>
      </c>
      <c r="F33" s="169">
        <f>'30'!M16</f>
        <v>63400</v>
      </c>
      <c r="G33" s="23">
        <v>0</v>
      </c>
      <c r="H33" s="23">
        <v>0</v>
      </c>
      <c r="I33" s="23">
        <v>0</v>
      </c>
      <c r="J33" s="169">
        <f>'30'!M28</f>
        <v>3000</v>
      </c>
      <c r="K33" s="23">
        <v>0</v>
      </c>
      <c r="L33" s="170">
        <f t="shared" si="0"/>
        <v>697150</v>
      </c>
    </row>
    <row r="34" spans="1:12" ht="15.95" customHeight="1">
      <c r="A34" s="171">
        <v>21010001</v>
      </c>
      <c r="B34" s="23" t="s">
        <v>266</v>
      </c>
      <c r="C34" s="169">
        <f>'31'!M9</f>
        <v>209550</v>
      </c>
      <c r="D34" s="169">
        <f>'31'!M10+'31'!M11</f>
        <v>53530</v>
      </c>
      <c r="E34" s="169">
        <f>'31'!M13</f>
        <v>22580</v>
      </c>
      <c r="F34" s="169">
        <f>'31'!M16</f>
        <v>39800</v>
      </c>
      <c r="G34" s="169">
        <f>'31'!M28</f>
        <v>1100000</v>
      </c>
      <c r="H34" s="23">
        <v>0</v>
      </c>
      <c r="I34" s="23">
        <v>0</v>
      </c>
      <c r="J34" s="169">
        <f>'31'!M31</f>
        <v>3000</v>
      </c>
      <c r="K34" s="23">
        <v>0</v>
      </c>
      <c r="L34" s="170">
        <f t="shared" si="0"/>
        <v>1428460</v>
      </c>
    </row>
    <row r="35" spans="1:12" ht="15.95" customHeight="1">
      <c r="A35" s="171">
        <v>22010001</v>
      </c>
      <c r="B35" s="23" t="s">
        <v>267</v>
      </c>
      <c r="C35" s="169">
        <f>'32'!M9</f>
        <v>108990</v>
      </c>
      <c r="D35" s="169">
        <f>'32'!M10+'32'!M11</f>
        <v>22360</v>
      </c>
      <c r="E35" s="169">
        <f>'32'!M13</f>
        <v>11780</v>
      </c>
      <c r="F35" s="169">
        <f>'32'!M16</f>
        <v>15700</v>
      </c>
      <c r="G35" s="23">
        <v>0</v>
      </c>
      <c r="H35" s="23">
        <v>0</v>
      </c>
      <c r="I35" s="23">
        <v>0</v>
      </c>
      <c r="J35" s="169">
        <f>'32'!M28</f>
        <v>0</v>
      </c>
      <c r="K35" s="23">
        <v>0</v>
      </c>
      <c r="L35" s="170">
        <f t="shared" si="0"/>
        <v>158830</v>
      </c>
    </row>
    <row r="36" spans="1:12" ht="15.95" customHeight="1">
      <c r="A36" s="171">
        <v>23010001</v>
      </c>
      <c r="B36" s="23" t="s">
        <v>268</v>
      </c>
      <c r="C36" s="169">
        <f>'33'!M9</f>
        <v>189700</v>
      </c>
      <c r="D36" s="169">
        <f>'33'!M10+'33'!M11</f>
        <v>46100</v>
      </c>
      <c r="E36" s="169">
        <f>'33'!M13</f>
        <v>20390</v>
      </c>
      <c r="F36" s="169">
        <f>'33'!M16</f>
        <v>49900</v>
      </c>
      <c r="G36" s="169">
        <f>'33'!M28</f>
        <v>40000</v>
      </c>
      <c r="H36" s="23">
        <v>0</v>
      </c>
      <c r="I36" s="23">
        <v>0</v>
      </c>
      <c r="J36" s="169">
        <f>'33'!M32</f>
        <v>38500</v>
      </c>
      <c r="K36" s="23">
        <v>0</v>
      </c>
      <c r="L36" s="170">
        <f t="shared" si="0"/>
        <v>384590</v>
      </c>
    </row>
    <row r="37" spans="1:12" ht="15.95" customHeight="1">
      <c r="A37" s="171">
        <v>24010001</v>
      </c>
      <c r="B37" s="23" t="s">
        <v>269</v>
      </c>
      <c r="C37" s="169">
        <f>'34'!M9</f>
        <v>444360</v>
      </c>
      <c r="D37" s="169">
        <f>'34'!M10+'34'!M11</f>
        <v>70500</v>
      </c>
      <c r="E37" s="169">
        <f>'34'!M13</f>
        <v>47180</v>
      </c>
      <c r="F37" s="169">
        <f>'34'!M16</f>
        <v>117100</v>
      </c>
      <c r="G37" s="23">
        <v>0</v>
      </c>
      <c r="H37" s="23">
        <v>0</v>
      </c>
      <c r="I37" s="23">
        <v>0</v>
      </c>
      <c r="J37" s="169">
        <f>'34'!M28</f>
        <v>10000</v>
      </c>
      <c r="K37" s="23">
        <v>0</v>
      </c>
      <c r="L37" s="170">
        <f t="shared" si="0"/>
        <v>689140</v>
      </c>
    </row>
    <row r="38" spans="1:12" ht="15.95" customHeight="1">
      <c r="A38" s="171">
        <v>26010001</v>
      </c>
      <c r="B38" s="23" t="s">
        <v>270</v>
      </c>
      <c r="C38" s="169">
        <f>'35'!M9</f>
        <v>59800</v>
      </c>
      <c r="D38" s="169">
        <f>'35'!M10+'35'!M11</f>
        <v>10200</v>
      </c>
      <c r="E38" s="169">
        <f>'35'!M13</f>
        <v>6420</v>
      </c>
      <c r="F38" s="169">
        <f>'35'!M16</f>
        <v>17700</v>
      </c>
      <c r="G38" s="169">
        <v>0</v>
      </c>
      <c r="H38" s="23">
        <v>0</v>
      </c>
      <c r="I38" s="23">
        <v>0</v>
      </c>
      <c r="J38" s="169">
        <f>'35'!M28</f>
        <v>1000</v>
      </c>
      <c r="K38" s="23">
        <v>0</v>
      </c>
      <c r="L38" s="170">
        <f t="shared" si="0"/>
        <v>95120</v>
      </c>
    </row>
    <row r="39" spans="1:12" ht="15.95" customHeight="1">
      <c r="A39" s="171">
        <v>27010001</v>
      </c>
      <c r="B39" s="23" t="s">
        <v>271</v>
      </c>
      <c r="C39" s="169">
        <f>'36'!M9</f>
        <v>404320</v>
      </c>
      <c r="D39" s="169">
        <f>'36'!M10+'36'!M11</f>
        <v>62000</v>
      </c>
      <c r="E39" s="169">
        <f>'36'!M13</f>
        <v>42860</v>
      </c>
      <c r="F39" s="169">
        <f>'36'!M16</f>
        <v>91300</v>
      </c>
      <c r="G39" s="23">
        <v>0</v>
      </c>
      <c r="H39" s="23">
        <v>0</v>
      </c>
      <c r="I39" s="23">
        <v>0</v>
      </c>
      <c r="J39" s="169">
        <f>'36'!M28</f>
        <v>3000</v>
      </c>
      <c r="K39" s="23">
        <v>0</v>
      </c>
      <c r="L39" s="170">
        <f t="shared" si="0"/>
        <v>603480</v>
      </c>
    </row>
    <row r="40" spans="1:12" ht="15.95" customHeight="1">
      <c r="A40" s="171">
        <v>28010001</v>
      </c>
      <c r="B40" s="23" t="s">
        <v>272</v>
      </c>
      <c r="C40" s="169">
        <f>'37'!M9</f>
        <v>355800</v>
      </c>
      <c r="D40" s="169">
        <f>'37'!M10+'37'!M11</f>
        <v>59600</v>
      </c>
      <c r="E40" s="169">
        <f>'37'!M13</f>
        <v>37820</v>
      </c>
      <c r="F40" s="169">
        <f>'37'!M16</f>
        <v>30700</v>
      </c>
      <c r="G40" s="169">
        <v>0</v>
      </c>
      <c r="H40" s="23">
        <v>0</v>
      </c>
      <c r="I40" s="23">
        <v>0</v>
      </c>
      <c r="J40" s="169">
        <f>'37'!M28</f>
        <v>2000</v>
      </c>
      <c r="K40" s="23">
        <v>0</v>
      </c>
      <c r="L40" s="170">
        <f t="shared" si="0"/>
        <v>485920</v>
      </c>
    </row>
    <row r="41" spans="1:12" s="46" customFormat="1" ht="15.95" customHeight="1">
      <c r="A41" s="91"/>
      <c r="B41" s="175" t="s">
        <v>431</v>
      </c>
      <c r="C41" s="176">
        <f>SUM(C5:C40)</f>
        <v>17704390</v>
      </c>
      <c r="D41" s="176">
        <f t="shared" ref="D41:K41" si="1">SUM(D5:D40)</f>
        <v>3796550</v>
      </c>
      <c r="E41" s="176">
        <f t="shared" si="1"/>
        <v>2108270</v>
      </c>
      <c r="F41" s="176">
        <f t="shared" si="1"/>
        <v>4410130</v>
      </c>
      <c r="G41" s="176">
        <f t="shared" si="1"/>
        <v>10335000</v>
      </c>
      <c r="H41" s="176">
        <f t="shared" si="1"/>
        <v>400000</v>
      </c>
      <c r="I41" s="176">
        <f t="shared" si="1"/>
        <v>58860</v>
      </c>
      <c r="J41" s="176">
        <f t="shared" si="1"/>
        <v>1348250</v>
      </c>
      <c r="K41" s="176">
        <f t="shared" si="1"/>
        <v>598890</v>
      </c>
      <c r="L41" s="176">
        <f>SUM(L5:L40)</f>
        <v>40760340</v>
      </c>
    </row>
    <row r="42" spans="1:12" ht="18" customHeight="1">
      <c r="B42" t="s">
        <v>432</v>
      </c>
      <c r="L42" s="117">
        <f>Rashodi!K9</f>
        <v>460000</v>
      </c>
    </row>
    <row r="43" spans="1:12" ht="18" customHeight="1">
      <c r="B43" t="s">
        <v>453</v>
      </c>
      <c r="L43" s="117">
        <f>Uvod!F42</f>
        <v>5570</v>
      </c>
    </row>
    <row r="44" spans="1:12" ht="18" customHeight="1">
      <c r="A44" s="172"/>
      <c r="B44" s="174" t="s">
        <v>431</v>
      </c>
      <c r="C44" s="173"/>
      <c r="D44" s="173"/>
      <c r="E44" s="173"/>
      <c r="F44" s="173"/>
      <c r="G44" s="173"/>
      <c r="H44" s="173"/>
      <c r="I44" s="173"/>
      <c r="J44" s="173"/>
      <c r="K44" s="173"/>
      <c r="L44" s="179">
        <f>L41+L42+L43</f>
        <v>41225910</v>
      </c>
    </row>
  </sheetData>
  <mergeCells count="1">
    <mergeCell ref="A2:L2"/>
  </mergeCells>
  <phoneticPr fontId="0" type="noConversion"/>
  <pageMargins left="0.9055118110236221" right="0.31496062992125984" top="0.35433070866141736" bottom="0.51181102362204722" header="0.39370078740157483" footer="0.31496062992125984"/>
  <pageSetup paperSize="9" scale="67" orientation="landscape" r:id="rId1"/>
  <headerFooter alignWithMargins="0">
    <oddFooter>&amp;R&amp;P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2:I119"/>
  <sheetViews>
    <sheetView topLeftCell="A55" zoomScaleNormal="100" zoomScaleSheetLayoutView="100" workbookViewId="0">
      <selection activeCell="Q14" sqref="Q14"/>
    </sheetView>
  </sheetViews>
  <sheetFormatPr defaultRowHeight="12.75"/>
  <cols>
    <col min="1" max="1" width="6.140625" style="1122" customWidth="1"/>
    <col min="2" max="2" width="6.85546875" customWidth="1"/>
    <col min="3" max="3" width="11.5703125" customWidth="1"/>
    <col min="4" max="4" width="74.85546875" customWidth="1"/>
    <col min="5" max="6" width="17.7109375" customWidth="1"/>
    <col min="7" max="7" width="8.85546875" customWidth="1"/>
  </cols>
  <sheetData>
    <row r="2" spans="2:9" ht="15">
      <c r="B2" s="1288" t="s">
        <v>690</v>
      </c>
      <c r="C2" s="1207"/>
      <c r="D2" s="1207"/>
      <c r="E2" s="1207"/>
      <c r="F2" s="1207"/>
      <c r="G2" s="1207"/>
    </row>
    <row r="3" spans="2:9" ht="15">
      <c r="B3" s="184"/>
      <c r="C3" s="186"/>
      <c r="D3" s="185"/>
      <c r="E3" s="185"/>
      <c r="F3" s="185"/>
    </row>
    <row r="4" spans="2:9">
      <c r="B4" s="187"/>
      <c r="C4" s="187"/>
      <c r="D4" s="188"/>
      <c r="E4" s="189"/>
      <c r="F4" s="189"/>
    </row>
    <row r="5" spans="2:9" ht="66" customHeight="1">
      <c r="B5" s="190" t="s">
        <v>274</v>
      </c>
      <c r="C5" s="191" t="s">
        <v>455</v>
      </c>
      <c r="D5" s="191" t="s">
        <v>456</v>
      </c>
      <c r="E5" s="192" t="s">
        <v>748</v>
      </c>
      <c r="F5" s="192" t="s">
        <v>682</v>
      </c>
      <c r="G5" s="192" t="s">
        <v>55</v>
      </c>
    </row>
    <row r="6" spans="2:9">
      <c r="B6" s="193"/>
      <c r="C6" s="194">
        <v>1</v>
      </c>
      <c r="D6" s="194">
        <v>2</v>
      </c>
      <c r="E6" s="195">
        <v>3</v>
      </c>
      <c r="F6" s="195">
        <v>4</v>
      </c>
      <c r="G6" s="317">
        <v>5</v>
      </c>
    </row>
    <row r="7" spans="2:9">
      <c r="B7" s="1194">
        <v>1</v>
      </c>
      <c r="C7" s="1195"/>
      <c r="D7" s="1195" t="s">
        <v>54</v>
      </c>
      <c r="E7" s="1196">
        <f>E8+E17+E23+E30+E40+E47+E54+E61+E68+E77</f>
        <v>42094170</v>
      </c>
      <c r="F7" s="1196">
        <f>F8+F17+F23+F30+F40+F47+F54+F61+F68+F77</f>
        <v>41220340</v>
      </c>
      <c r="G7" s="1197">
        <f>IF(E7=0,"",F7/E7*100)</f>
        <v>97.924106829995694</v>
      </c>
      <c r="I7" s="75"/>
    </row>
    <row r="8" spans="2:9">
      <c r="B8" s="1194">
        <v>2</v>
      </c>
      <c r="C8" s="1198" t="s">
        <v>81</v>
      </c>
      <c r="D8" s="1199" t="s">
        <v>58</v>
      </c>
      <c r="E8" s="1196">
        <f>SUM(E9:E16)</f>
        <v>6490690</v>
      </c>
      <c r="F8" s="1196">
        <f>SUM(F9:F16)</f>
        <v>5803250</v>
      </c>
      <c r="G8" s="1200">
        <f>IF(E8=0,"",F8/E8*100)</f>
        <v>89.408830186004877</v>
      </c>
    </row>
    <row r="9" spans="2:9" ht="14.1" customHeight="1">
      <c r="B9" s="193">
        <v>3</v>
      </c>
      <c r="C9" s="196" t="s">
        <v>457</v>
      </c>
      <c r="D9" s="197" t="s">
        <v>59</v>
      </c>
      <c r="E9" s="165">
        <f>'1'!I33+'3'!I56+'4'!I36+'5'!I33+'6'!I33+'7'!I33+'16'!I50</f>
        <v>5768930</v>
      </c>
      <c r="F9" s="165">
        <f>'1'!M33+'3'!M56+'4'!M36+'5'!M33+'6'!M33+'7'!M33+'16'!M50</f>
        <v>5022500</v>
      </c>
      <c r="G9" s="198">
        <f>IF(E9=0,"",F9/E9*100)</f>
        <v>87.061205457511178</v>
      </c>
    </row>
    <row r="10" spans="2:9" ht="14.1" customHeight="1">
      <c r="B10" s="193">
        <v>4</v>
      </c>
      <c r="C10" s="196" t="s">
        <v>458</v>
      </c>
      <c r="D10" s="197" t="s">
        <v>459</v>
      </c>
      <c r="E10" s="165">
        <v>0</v>
      </c>
      <c r="F10" s="165">
        <v>0</v>
      </c>
      <c r="G10" s="198" t="str">
        <f t="shared" ref="G10:G73" si="0">IF(E10=0,"",F10/E10*100)</f>
        <v/>
      </c>
    </row>
    <row r="11" spans="2:9" ht="14.1" customHeight="1">
      <c r="B11" s="193">
        <v>5</v>
      </c>
      <c r="C11" s="196" t="s">
        <v>460</v>
      </c>
      <c r="D11" s="197" t="s">
        <v>461</v>
      </c>
      <c r="E11" s="165">
        <f>'8'!I33</f>
        <v>721760</v>
      </c>
      <c r="F11" s="165">
        <f>'8'!M33</f>
        <v>780750</v>
      </c>
      <c r="G11" s="198">
        <f t="shared" si="0"/>
        <v>108.17307692307692</v>
      </c>
    </row>
    <row r="12" spans="2:9" ht="14.1" customHeight="1">
      <c r="B12" s="193">
        <v>6</v>
      </c>
      <c r="C12" s="196" t="s">
        <v>462</v>
      </c>
      <c r="D12" s="197" t="s">
        <v>463</v>
      </c>
      <c r="E12" s="165">
        <v>0</v>
      </c>
      <c r="F12" s="165">
        <v>0</v>
      </c>
      <c r="G12" s="198" t="str">
        <f t="shared" si="0"/>
        <v/>
      </c>
    </row>
    <row r="13" spans="2:9" ht="14.1" customHeight="1">
      <c r="B13" s="193">
        <v>7</v>
      </c>
      <c r="C13" s="196" t="s">
        <v>464</v>
      </c>
      <c r="D13" s="197" t="s">
        <v>465</v>
      </c>
      <c r="E13" s="165">
        <v>0</v>
      </c>
      <c r="F13" s="165">
        <v>0</v>
      </c>
      <c r="G13" s="198" t="str">
        <f t="shared" si="0"/>
        <v/>
      </c>
    </row>
    <row r="14" spans="2:9" ht="14.1" customHeight="1">
      <c r="B14" s="193">
        <v>8</v>
      </c>
      <c r="C14" s="196" t="s">
        <v>466</v>
      </c>
      <c r="D14" s="197" t="s">
        <v>467</v>
      </c>
      <c r="E14" s="165">
        <v>0</v>
      </c>
      <c r="F14" s="165">
        <v>0</v>
      </c>
      <c r="G14" s="198" t="str">
        <f t="shared" si="0"/>
        <v/>
      </c>
    </row>
    <row r="15" spans="2:9" ht="14.1" customHeight="1">
      <c r="B15" s="193">
        <v>9</v>
      </c>
      <c r="C15" s="196" t="s">
        <v>468</v>
      </c>
      <c r="D15" s="197" t="s">
        <v>469</v>
      </c>
      <c r="E15" s="165">
        <v>0</v>
      </c>
      <c r="F15" s="165">
        <v>0</v>
      </c>
      <c r="G15" s="198" t="str">
        <f t="shared" si="0"/>
        <v/>
      </c>
    </row>
    <row r="16" spans="2:9" ht="14.1" customHeight="1">
      <c r="B16" s="193">
        <v>10</v>
      </c>
      <c r="C16" s="196" t="s">
        <v>470</v>
      </c>
      <c r="D16" s="197" t="s">
        <v>60</v>
      </c>
      <c r="E16" s="165">
        <v>0</v>
      </c>
      <c r="F16" s="165">
        <v>0</v>
      </c>
      <c r="G16" s="198" t="str">
        <f t="shared" si="0"/>
        <v/>
      </c>
    </row>
    <row r="17" spans="2:7" ht="14.1" customHeight="1">
      <c r="B17" s="1194">
        <v>11</v>
      </c>
      <c r="C17" s="1198" t="s">
        <v>132</v>
      </c>
      <c r="D17" s="1199" t="s">
        <v>61</v>
      </c>
      <c r="E17" s="1196">
        <f>SUM(E18:E22)</f>
        <v>0</v>
      </c>
      <c r="F17" s="1196">
        <f>SUM(F18:F22)</f>
        <v>0</v>
      </c>
      <c r="G17" s="1200" t="str">
        <f t="shared" si="0"/>
        <v/>
      </c>
    </row>
    <row r="18" spans="2:7" ht="14.1" customHeight="1">
      <c r="B18" s="193">
        <v>12</v>
      </c>
      <c r="C18" s="196" t="s">
        <v>471</v>
      </c>
      <c r="D18" s="197" t="s">
        <v>62</v>
      </c>
      <c r="E18" s="165">
        <v>0</v>
      </c>
      <c r="F18" s="165">
        <v>0</v>
      </c>
      <c r="G18" s="198" t="str">
        <f t="shared" si="0"/>
        <v/>
      </c>
    </row>
    <row r="19" spans="2:7" ht="14.1" customHeight="1">
      <c r="B19" s="193">
        <v>13</v>
      </c>
      <c r="C19" s="196" t="s">
        <v>472</v>
      </c>
      <c r="D19" s="197" t="s">
        <v>63</v>
      </c>
      <c r="E19" s="165">
        <v>0</v>
      </c>
      <c r="F19" s="165">
        <v>0</v>
      </c>
      <c r="G19" s="198" t="str">
        <f t="shared" si="0"/>
        <v/>
      </c>
    </row>
    <row r="20" spans="2:7" ht="14.1" customHeight="1">
      <c r="B20" s="193">
        <v>14</v>
      </c>
      <c r="C20" s="196" t="s">
        <v>473</v>
      </c>
      <c r="D20" s="197" t="s">
        <v>64</v>
      </c>
      <c r="E20" s="165">
        <v>0</v>
      </c>
      <c r="F20" s="165">
        <v>0</v>
      </c>
      <c r="G20" s="198" t="str">
        <f t="shared" si="0"/>
        <v/>
      </c>
    </row>
    <row r="21" spans="2:7" ht="14.1" customHeight="1">
      <c r="B21" s="193">
        <v>15</v>
      </c>
      <c r="C21" s="196" t="s">
        <v>474</v>
      </c>
      <c r="D21" s="197" t="s">
        <v>65</v>
      </c>
      <c r="E21" s="165">
        <v>0</v>
      </c>
      <c r="F21" s="165">
        <v>0</v>
      </c>
      <c r="G21" s="198" t="str">
        <f t="shared" si="0"/>
        <v/>
      </c>
    </row>
    <row r="22" spans="2:7" ht="14.1" customHeight="1">
      <c r="B22" s="193">
        <v>16</v>
      </c>
      <c r="C22" s="196" t="s">
        <v>475</v>
      </c>
      <c r="D22" s="197" t="s">
        <v>66</v>
      </c>
      <c r="E22" s="165">
        <v>0</v>
      </c>
      <c r="F22" s="165">
        <v>0</v>
      </c>
      <c r="G22" s="198" t="str">
        <f t="shared" si="0"/>
        <v/>
      </c>
    </row>
    <row r="23" spans="2:7" ht="14.1" customHeight="1">
      <c r="B23" s="1194">
        <v>17</v>
      </c>
      <c r="C23" s="1198" t="s">
        <v>145</v>
      </c>
      <c r="D23" s="1199" t="s">
        <v>636</v>
      </c>
      <c r="E23" s="1196">
        <f>SUM(E24:E29)</f>
        <v>9759070</v>
      </c>
      <c r="F23" s="1196">
        <f>SUM(F24:F29)</f>
        <v>10058170</v>
      </c>
      <c r="G23" s="1200">
        <f t="shared" si="0"/>
        <v>103.06484121950146</v>
      </c>
    </row>
    <row r="24" spans="2:7" ht="14.1" customHeight="1">
      <c r="B24" s="193">
        <v>18</v>
      </c>
      <c r="C24" s="196" t="s">
        <v>476</v>
      </c>
      <c r="D24" s="197" t="s">
        <v>477</v>
      </c>
      <c r="E24" s="165">
        <f>'9'!I33</f>
        <v>6164180</v>
      </c>
      <c r="F24" s="165">
        <f>'9'!M33</f>
        <v>6308670</v>
      </c>
      <c r="G24" s="198">
        <f t="shared" si="0"/>
        <v>102.34402629384607</v>
      </c>
    </row>
    <row r="25" spans="2:7" ht="14.1" customHeight="1">
      <c r="B25" s="193">
        <v>19</v>
      </c>
      <c r="C25" s="196" t="s">
        <v>478</v>
      </c>
      <c r="D25" s="197" t="s">
        <v>637</v>
      </c>
      <c r="E25" s="165">
        <f>'33'!I37</f>
        <v>327840</v>
      </c>
      <c r="F25" s="165">
        <f>'33'!M37</f>
        <v>384590</v>
      </c>
      <c r="G25" s="198">
        <f t="shared" si="0"/>
        <v>117.31027330405075</v>
      </c>
    </row>
    <row r="26" spans="2:7" ht="14.1" customHeight="1">
      <c r="B26" s="193">
        <v>20</v>
      </c>
      <c r="C26" s="196" t="s">
        <v>479</v>
      </c>
      <c r="D26" s="197" t="s">
        <v>480</v>
      </c>
      <c r="E26" s="165">
        <f>'11'!I34+'12'!I33+'13'!I33+'14'!I33+'34'!I33+'35'!I33+'36'!I33</f>
        <v>3096500</v>
      </c>
      <c r="F26" s="165">
        <f>'11'!M34+'12'!M33+'13'!M33+'14'!M33+'34'!M33+'35'!M33+'36'!M33</f>
        <v>3182420</v>
      </c>
      <c r="G26" s="198">
        <f t="shared" si="0"/>
        <v>102.77474568060714</v>
      </c>
    </row>
    <row r="27" spans="2:7" ht="14.1" customHeight="1">
      <c r="B27" s="193">
        <v>21</v>
      </c>
      <c r="C27" s="196" t="s">
        <v>481</v>
      </c>
      <c r="D27" s="197" t="s">
        <v>482</v>
      </c>
      <c r="E27" s="165">
        <v>0</v>
      </c>
      <c r="F27" s="165">
        <v>0</v>
      </c>
      <c r="G27" s="198" t="str">
        <f t="shared" si="0"/>
        <v/>
      </c>
    </row>
    <row r="28" spans="2:7" ht="14.1" customHeight="1">
      <c r="B28" s="193">
        <v>22</v>
      </c>
      <c r="C28" s="196" t="s">
        <v>483</v>
      </c>
      <c r="D28" s="197" t="s">
        <v>484</v>
      </c>
      <c r="E28" s="165">
        <v>0</v>
      </c>
      <c r="F28" s="165">
        <v>0</v>
      </c>
      <c r="G28" s="198" t="str">
        <f t="shared" si="0"/>
        <v/>
      </c>
    </row>
    <row r="29" spans="2:7" ht="14.1" customHeight="1">
      <c r="B29" s="193">
        <v>23</v>
      </c>
      <c r="C29" s="196" t="s">
        <v>485</v>
      </c>
      <c r="D29" s="197" t="s">
        <v>486</v>
      </c>
      <c r="E29" s="165">
        <f>'10'!I33</f>
        <v>170550</v>
      </c>
      <c r="F29" s="165">
        <f>'10'!M33</f>
        <v>182490</v>
      </c>
      <c r="G29" s="198">
        <f t="shared" si="0"/>
        <v>107.00087950747582</v>
      </c>
    </row>
    <row r="30" spans="2:7" ht="14.1" customHeight="1">
      <c r="B30" s="1194">
        <v>24</v>
      </c>
      <c r="C30" s="1198" t="s">
        <v>487</v>
      </c>
      <c r="D30" s="1199" t="s">
        <v>488</v>
      </c>
      <c r="E30" s="1196">
        <f>SUM(E31:E39)</f>
        <v>6758770</v>
      </c>
      <c r="F30" s="1196">
        <f>SUM(F31:F39)</f>
        <v>6068880</v>
      </c>
      <c r="G30" s="1200">
        <f t="shared" si="0"/>
        <v>89.792669376232652</v>
      </c>
    </row>
    <row r="31" spans="2:7" ht="14.1" customHeight="1">
      <c r="B31" s="193">
        <v>25</v>
      </c>
      <c r="C31" s="196" t="s">
        <v>489</v>
      </c>
      <c r="D31" s="197" t="s">
        <v>490</v>
      </c>
      <c r="E31" s="165">
        <v>0</v>
      </c>
      <c r="F31" s="165">
        <v>0</v>
      </c>
      <c r="G31" s="198" t="str">
        <f t="shared" si="0"/>
        <v/>
      </c>
    </row>
    <row r="32" spans="2:7" ht="14.1" customHeight="1">
      <c r="B32" s="193">
        <v>26</v>
      </c>
      <c r="C32" s="196" t="s">
        <v>491</v>
      </c>
      <c r="D32" s="197" t="s">
        <v>492</v>
      </c>
      <c r="E32" s="165">
        <f>'19'!I39</f>
        <v>3005860</v>
      </c>
      <c r="F32" s="165">
        <f>'19'!M39</f>
        <v>2535230</v>
      </c>
      <c r="G32" s="198">
        <f t="shared" si="0"/>
        <v>84.342916835780784</v>
      </c>
    </row>
    <row r="33" spans="2:7" ht="14.1" customHeight="1">
      <c r="B33" s="193">
        <v>27</v>
      </c>
      <c r="C33" s="196" t="s">
        <v>493</v>
      </c>
      <c r="D33" s="197" t="s">
        <v>494</v>
      </c>
      <c r="E33" s="165">
        <v>0</v>
      </c>
      <c r="F33" s="165">
        <v>0</v>
      </c>
      <c r="G33" s="198" t="str">
        <f t="shared" si="0"/>
        <v/>
      </c>
    </row>
    <row r="34" spans="2:7" ht="14.1" customHeight="1">
      <c r="B34" s="193">
        <v>28</v>
      </c>
      <c r="C34" s="196" t="s">
        <v>495</v>
      </c>
      <c r="D34" s="197" t="s">
        <v>496</v>
      </c>
      <c r="E34" s="165">
        <v>0</v>
      </c>
      <c r="F34" s="165">
        <v>0</v>
      </c>
      <c r="G34" s="198" t="str">
        <f t="shared" si="0"/>
        <v/>
      </c>
    </row>
    <row r="35" spans="2:7" ht="14.1" customHeight="1">
      <c r="B35" s="193">
        <v>29</v>
      </c>
      <c r="C35" s="196" t="s">
        <v>497</v>
      </c>
      <c r="D35" s="197" t="s">
        <v>67</v>
      </c>
      <c r="E35" s="165">
        <v>0</v>
      </c>
      <c r="F35" s="165">
        <v>0</v>
      </c>
      <c r="G35" s="198" t="str">
        <f t="shared" si="0"/>
        <v/>
      </c>
    </row>
    <row r="36" spans="2:7" ht="14.1" customHeight="1">
      <c r="B36" s="193">
        <v>30</v>
      </c>
      <c r="C36" s="196" t="s">
        <v>498</v>
      </c>
      <c r="D36" s="197" t="s">
        <v>499</v>
      </c>
      <c r="E36" s="165">
        <v>0</v>
      </c>
      <c r="F36" s="165">
        <v>0</v>
      </c>
      <c r="G36" s="198" t="str">
        <f t="shared" si="0"/>
        <v/>
      </c>
    </row>
    <row r="37" spans="2:7" ht="14.1" customHeight="1">
      <c r="B37" s="193">
        <v>31</v>
      </c>
      <c r="C37" s="196" t="s">
        <v>500</v>
      </c>
      <c r="D37" s="197" t="s">
        <v>501</v>
      </c>
      <c r="E37" s="165">
        <v>0</v>
      </c>
      <c r="F37" s="165">
        <v>0</v>
      </c>
      <c r="G37" s="198" t="str">
        <f t="shared" si="0"/>
        <v/>
      </c>
    </row>
    <row r="38" spans="2:7" ht="14.1" customHeight="1">
      <c r="B38" s="193">
        <v>32</v>
      </c>
      <c r="C38" s="196" t="s">
        <v>502</v>
      </c>
      <c r="D38" s="197" t="s">
        <v>503</v>
      </c>
      <c r="E38" s="165">
        <v>0</v>
      </c>
      <c r="F38" s="165">
        <v>0</v>
      </c>
      <c r="G38" s="198" t="str">
        <f t="shared" si="0"/>
        <v/>
      </c>
    </row>
    <row r="39" spans="2:7" ht="14.1" customHeight="1">
      <c r="B39" s="193">
        <v>33</v>
      </c>
      <c r="C39" s="196" t="s">
        <v>504</v>
      </c>
      <c r="D39" s="197" t="s">
        <v>505</v>
      </c>
      <c r="E39" s="165">
        <f>'15'!I37+'18'!I39+'32'!I33+'37'!I33</f>
        <v>3752910</v>
      </c>
      <c r="F39" s="165">
        <f>'15'!M37+'18'!M39+'32'!M33+'37'!M33</f>
        <v>3533650</v>
      </c>
      <c r="G39" s="198">
        <f t="shared" si="0"/>
        <v>94.157600368780493</v>
      </c>
    </row>
    <row r="40" spans="2:7" ht="14.1" customHeight="1">
      <c r="B40" s="1194">
        <v>34</v>
      </c>
      <c r="C40" s="1198" t="s">
        <v>133</v>
      </c>
      <c r="D40" s="1199" t="s">
        <v>506</v>
      </c>
      <c r="E40" s="1196">
        <f>SUM(E41:E46)</f>
        <v>0</v>
      </c>
      <c r="F40" s="1196">
        <f>SUM(F41:F46)</f>
        <v>0</v>
      </c>
      <c r="G40" s="1200" t="str">
        <f t="shared" si="0"/>
        <v/>
      </c>
    </row>
    <row r="41" spans="2:7" ht="14.1" customHeight="1">
      <c r="B41" s="193">
        <v>35</v>
      </c>
      <c r="C41" s="196" t="s">
        <v>507</v>
      </c>
      <c r="D41" s="197" t="s">
        <v>508</v>
      </c>
      <c r="E41" s="165">
        <v>0</v>
      </c>
      <c r="F41" s="165">
        <v>0</v>
      </c>
      <c r="G41" s="198" t="str">
        <f t="shared" si="0"/>
        <v/>
      </c>
    </row>
    <row r="42" spans="2:7" ht="14.1" customHeight="1">
      <c r="B42" s="193">
        <v>36</v>
      </c>
      <c r="C42" s="196" t="s">
        <v>509</v>
      </c>
      <c r="D42" s="197" t="s">
        <v>510</v>
      </c>
      <c r="E42" s="165">
        <v>0</v>
      </c>
      <c r="F42" s="165">
        <v>0</v>
      </c>
      <c r="G42" s="198" t="str">
        <f t="shared" si="0"/>
        <v/>
      </c>
    </row>
    <row r="43" spans="2:7" ht="14.1" customHeight="1">
      <c r="B43" s="193">
        <v>37</v>
      </c>
      <c r="C43" s="196" t="s">
        <v>511</v>
      </c>
      <c r="D43" s="197" t="s">
        <v>512</v>
      </c>
      <c r="E43" s="165">
        <v>0</v>
      </c>
      <c r="F43" s="165">
        <v>0</v>
      </c>
      <c r="G43" s="198" t="str">
        <f t="shared" si="0"/>
        <v/>
      </c>
    </row>
    <row r="44" spans="2:7" ht="14.1" customHeight="1">
      <c r="B44" s="193">
        <v>38</v>
      </c>
      <c r="C44" s="196" t="s">
        <v>513</v>
      </c>
      <c r="D44" s="197" t="s">
        <v>68</v>
      </c>
      <c r="E44" s="165">
        <v>0</v>
      </c>
      <c r="F44" s="165">
        <v>0</v>
      </c>
      <c r="G44" s="198" t="str">
        <f t="shared" si="0"/>
        <v/>
      </c>
    </row>
    <row r="45" spans="2:7" ht="14.1" customHeight="1">
      <c r="B45" s="193">
        <v>39</v>
      </c>
      <c r="C45" s="196" t="s">
        <v>514</v>
      </c>
      <c r="D45" s="197" t="s">
        <v>56</v>
      </c>
      <c r="E45" s="165">
        <v>0</v>
      </c>
      <c r="F45" s="165">
        <v>0</v>
      </c>
      <c r="G45" s="198" t="str">
        <f t="shared" si="0"/>
        <v/>
      </c>
    </row>
    <row r="46" spans="2:7" ht="14.1" customHeight="1">
      <c r="B46" s="193">
        <v>40</v>
      </c>
      <c r="C46" s="196" t="s">
        <v>515</v>
      </c>
      <c r="D46" s="197" t="s">
        <v>516</v>
      </c>
      <c r="E46" s="165">
        <v>0</v>
      </c>
      <c r="F46" s="165">
        <v>0</v>
      </c>
      <c r="G46" s="198" t="str">
        <f t="shared" si="0"/>
        <v/>
      </c>
    </row>
    <row r="47" spans="2:7" ht="14.1" customHeight="1">
      <c r="B47" s="1194">
        <v>41</v>
      </c>
      <c r="C47" s="1198" t="s">
        <v>197</v>
      </c>
      <c r="D47" s="1199" t="s">
        <v>517</v>
      </c>
      <c r="E47" s="1196">
        <f>SUM(E48:E53)</f>
        <v>0</v>
      </c>
      <c r="F47" s="1196">
        <f>SUM(F48:F53)</f>
        <v>0</v>
      </c>
      <c r="G47" s="1200" t="str">
        <f t="shared" si="0"/>
        <v/>
      </c>
    </row>
    <row r="48" spans="2:7" ht="14.1" customHeight="1">
      <c r="B48" s="193">
        <v>42</v>
      </c>
      <c r="C48" s="196" t="s">
        <v>518</v>
      </c>
      <c r="D48" s="197" t="s">
        <v>519</v>
      </c>
      <c r="E48" s="165">
        <v>0</v>
      </c>
      <c r="F48" s="165">
        <v>0</v>
      </c>
      <c r="G48" s="198" t="str">
        <f t="shared" si="0"/>
        <v/>
      </c>
    </row>
    <row r="49" spans="2:7" ht="14.1" customHeight="1">
      <c r="B49" s="193">
        <v>43</v>
      </c>
      <c r="C49" s="196" t="s">
        <v>520</v>
      </c>
      <c r="D49" s="197" t="s">
        <v>521</v>
      </c>
      <c r="E49" s="165">
        <v>0</v>
      </c>
      <c r="F49" s="165">
        <v>0</v>
      </c>
      <c r="G49" s="198" t="str">
        <f t="shared" si="0"/>
        <v/>
      </c>
    </row>
    <row r="50" spans="2:7" ht="14.1" customHeight="1">
      <c r="B50" s="193">
        <v>44</v>
      </c>
      <c r="C50" s="196" t="s">
        <v>522</v>
      </c>
      <c r="D50" s="197" t="s">
        <v>69</v>
      </c>
      <c r="E50" s="165">
        <v>0</v>
      </c>
      <c r="F50" s="165">
        <v>0</v>
      </c>
      <c r="G50" s="198" t="str">
        <f t="shared" si="0"/>
        <v/>
      </c>
    </row>
    <row r="51" spans="2:7" ht="14.1" customHeight="1">
      <c r="B51" s="193">
        <v>45</v>
      </c>
      <c r="C51" s="196" t="s">
        <v>523</v>
      </c>
      <c r="D51" s="197" t="s">
        <v>524</v>
      </c>
      <c r="E51" s="165">
        <v>0</v>
      </c>
      <c r="F51" s="165">
        <v>0</v>
      </c>
      <c r="G51" s="198" t="str">
        <f t="shared" si="0"/>
        <v/>
      </c>
    </row>
    <row r="52" spans="2:7" ht="14.1" customHeight="1">
      <c r="B52" s="193">
        <v>46</v>
      </c>
      <c r="C52" s="196" t="s">
        <v>525</v>
      </c>
      <c r="D52" s="197" t="s">
        <v>526</v>
      </c>
      <c r="E52" s="165">
        <v>0</v>
      </c>
      <c r="F52" s="165">
        <v>0</v>
      </c>
      <c r="G52" s="198" t="str">
        <f t="shared" si="0"/>
        <v/>
      </c>
    </row>
    <row r="53" spans="2:7" ht="14.1" customHeight="1">
      <c r="B53" s="193">
        <v>47</v>
      </c>
      <c r="C53" s="196" t="s">
        <v>527</v>
      </c>
      <c r="D53" s="197" t="s">
        <v>528</v>
      </c>
      <c r="E53" s="165">
        <v>0</v>
      </c>
      <c r="F53" s="165">
        <v>0</v>
      </c>
      <c r="G53" s="198" t="str">
        <f t="shared" si="0"/>
        <v/>
      </c>
    </row>
    <row r="54" spans="2:7" ht="14.1" customHeight="1">
      <c r="B54" s="1194">
        <v>48</v>
      </c>
      <c r="C54" s="1198" t="s">
        <v>529</v>
      </c>
      <c r="D54" s="1199" t="s">
        <v>530</v>
      </c>
      <c r="E54" s="1196">
        <f>SUM(E55:E60)</f>
        <v>0</v>
      </c>
      <c r="F54" s="1196">
        <f>SUM(F55:F60)</f>
        <v>60000</v>
      </c>
      <c r="G54" s="1200" t="str">
        <f t="shared" si="0"/>
        <v/>
      </c>
    </row>
    <row r="55" spans="2:7" ht="14.1" customHeight="1">
      <c r="B55" s="193">
        <v>49</v>
      </c>
      <c r="C55" s="196" t="s">
        <v>531</v>
      </c>
      <c r="D55" s="197" t="s">
        <v>532</v>
      </c>
      <c r="E55" s="165">
        <v>0</v>
      </c>
      <c r="F55" s="165">
        <v>0</v>
      </c>
      <c r="G55" s="198" t="str">
        <f t="shared" si="0"/>
        <v/>
      </c>
    </row>
    <row r="56" spans="2:7" ht="14.1" customHeight="1">
      <c r="B56" s="193">
        <v>50</v>
      </c>
      <c r="C56" s="196" t="s">
        <v>533</v>
      </c>
      <c r="D56" s="197" t="s">
        <v>70</v>
      </c>
      <c r="E56" s="165">
        <v>0</v>
      </c>
      <c r="F56" s="165">
        <v>0</v>
      </c>
      <c r="G56" s="198" t="str">
        <f t="shared" si="0"/>
        <v/>
      </c>
    </row>
    <row r="57" spans="2:7" ht="14.1" customHeight="1">
      <c r="B57" s="193">
        <v>51</v>
      </c>
      <c r="C57" s="196" t="s">
        <v>0</v>
      </c>
      <c r="D57" s="197" t="s">
        <v>1</v>
      </c>
      <c r="E57" s="165">
        <v>0</v>
      </c>
      <c r="F57" s="165">
        <v>0</v>
      </c>
      <c r="G57" s="198" t="str">
        <f t="shared" si="0"/>
        <v/>
      </c>
    </row>
    <row r="58" spans="2:7" ht="14.1" customHeight="1">
      <c r="B58" s="193">
        <v>52</v>
      </c>
      <c r="C58" s="196" t="s">
        <v>2</v>
      </c>
      <c r="D58" s="197" t="s">
        <v>3</v>
      </c>
      <c r="E58" s="165">
        <v>0</v>
      </c>
      <c r="F58" s="165">
        <v>0</v>
      </c>
      <c r="G58" s="198" t="str">
        <f t="shared" si="0"/>
        <v/>
      </c>
    </row>
    <row r="59" spans="2:7" ht="14.1" customHeight="1">
      <c r="B59" s="193">
        <v>53</v>
      </c>
      <c r="C59" s="196" t="s">
        <v>4</v>
      </c>
      <c r="D59" s="197" t="s">
        <v>5</v>
      </c>
      <c r="E59" s="165">
        <v>0</v>
      </c>
      <c r="F59" s="165">
        <v>0</v>
      </c>
      <c r="G59" s="198" t="str">
        <f t="shared" si="0"/>
        <v/>
      </c>
    </row>
    <row r="60" spans="2:7" ht="14.1" customHeight="1">
      <c r="B60" s="193">
        <v>54</v>
      </c>
      <c r="C60" s="196" t="s">
        <v>6</v>
      </c>
      <c r="D60" s="197" t="s">
        <v>7</v>
      </c>
      <c r="E60" s="165">
        <v>0</v>
      </c>
      <c r="F60" s="165">
        <f>'17'!M31</f>
        <v>60000</v>
      </c>
      <c r="G60" s="198" t="str">
        <f t="shared" si="0"/>
        <v/>
      </c>
    </row>
    <row r="61" spans="2:7">
      <c r="B61" s="1194">
        <v>55</v>
      </c>
      <c r="C61" s="1198" t="s">
        <v>8</v>
      </c>
      <c r="D61" s="1199" t="s">
        <v>9</v>
      </c>
      <c r="E61" s="1196">
        <f>SUM(E62:E67)</f>
        <v>590000</v>
      </c>
      <c r="F61" s="1196">
        <f>SUM(F62:F67)</f>
        <v>530000</v>
      </c>
      <c r="G61" s="1200">
        <f t="shared" si="0"/>
        <v>89.830508474576277</v>
      </c>
    </row>
    <row r="62" spans="2:7">
      <c r="B62" s="193">
        <v>56</v>
      </c>
      <c r="C62" s="196" t="s">
        <v>10</v>
      </c>
      <c r="D62" s="197" t="s">
        <v>71</v>
      </c>
      <c r="E62" s="165">
        <v>290000</v>
      </c>
      <c r="F62" s="165">
        <f>'20'!M33</f>
        <v>280000</v>
      </c>
      <c r="G62" s="199">
        <f t="shared" si="0"/>
        <v>96.551724137931032</v>
      </c>
    </row>
    <row r="63" spans="2:7">
      <c r="B63" s="193">
        <v>57</v>
      </c>
      <c r="C63" s="196" t="s">
        <v>11</v>
      </c>
      <c r="D63" s="197" t="s">
        <v>12</v>
      </c>
      <c r="E63" s="165">
        <v>60000</v>
      </c>
      <c r="F63" s="165">
        <f>'20'!M34</f>
        <v>60000</v>
      </c>
      <c r="G63" s="199">
        <f t="shared" si="0"/>
        <v>100</v>
      </c>
    </row>
    <row r="64" spans="2:7">
      <c r="B64" s="193">
        <v>58</v>
      </c>
      <c r="C64" s="196" t="s">
        <v>13</v>
      </c>
      <c r="D64" s="197" t="s">
        <v>72</v>
      </c>
      <c r="E64" s="165">
        <f>'20'!I38</f>
        <v>40000</v>
      </c>
      <c r="F64" s="165">
        <f>'20'!M38</f>
        <v>40000</v>
      </c>
      <c r="G64" s="199">
        <f t="shared" si="0"/>
        <v>100</v>
      </c>
    </row>
    <row r="65" spans="2:7">
      <c r="B65" s="193">
        <v>59</v>
      </c>
      <c r="C65" s="196" t="s">
        <v>14</v>
      </c>
      <c r="D65" s="197" t="s">
        <v>57</v>
      </c>
      <c r="E65" s="165">
        <f>'20'!I39</f>
        <v>200000</v>
      </c>
      <c r="F65" s="165">
        <f>'20'!M39</f>
        <v>150000</v>
      </c>
      <c r="G65" s="199">
        <f t="shared" si="0"/>
        <v>75</v>
      </c>
    </row>
    <row r="66" spans="2:7">
      <c r="B66" s="193">
        <v>60</v>
      </c>
      <c r="C66" s="196" t="s">
        <v>15</v>
      </c>
      <c r="D66" s="197" t="s">
        <v>16</v>
      </c>
      <c r="E66" s="165">
        <v>0</v>
      </c>
      <c r="F66" s="165">
        <v>0</v>
      </c>
      <c r="G66" s="199" t="str">
        <f t="shared" si="0"/>
        <v/>
      </c>
    </row>
    <row r="67" spans="2:7">
      <c r="B67" s="193">
        <v>61</v>
      </c>
      <c r="C67" s="196" t="s">
        <v>17</v>
      </c>
      <c r="D67" s="197" t="s">
        <v>18</v>
      </c>
      <c r="E67" s="165">
        <v>0</v>
      </c>
      <c r="F67" s="165">
        <v>0</v>
      </c>
      <c r="G67" s="199" t="str">
        <f t="shared" si="0"/>
        <v/>
      </c>
    </row>
    <row r="68" spans="2:7">
      <c r="B68" s="1194">
        <v>62</v>
      </c>
      <c r="C68" s="1198" t="s">
        <v>19</v>
      </c>
      <c r="D68" s="1199" t="s">
        <v>20</v>
      </c>
      <c r="E68" s="1196">
        <f>SUM(E69:E76)</f>
        <v>12704550</v>
      </c>
      <c r="F68" s="1196">
        <f>SUM(F69:F76)</f>
        <v>12971280</v>
      </c>
      <c r="G68" s="1200">
        <f t="shared" si="0"/>
        <v>102.09948404311842</v>
      </c>
    </row>
    <row r="69" spans="2:7">
      <c r="B69" s="193">
        <v>63</v>
      </c>
      <c r="C69" s="196" t="s">
        <v>21</v>
      </c>
      <c r="D69" s="197" t="s">
        <v>22</v>
      </c>
      <c r="E69" s="165">
        <f>'24'!I33+'25'!I33+'26'!I33+'27'!I33+'28'!I33+'29'!I33+'30'!I33+10000</f>
        <v>7769160</v>
      </c>
      <c r="F69" s="165">
        <f>'24'!M33+'25'!M33+'26'!M33+'27'!M33+'28'!M33+'29'!M33+'30'!M33+10000</f>
        <v>7986890</v>
      </c>
      <c r="G69" s="199">
        <f t="shared" si="0"/>
        <v>102.8024908741743</v>
      </c>
    </row>
    <row r="70" spans="2:7">
      <c r="B70" s="193">
        <v>64</v>
      </c>
      <c r="C70" s="196" t="s">
        <v>23</v>
      </c>
      <c r="D70" s="197" t="s">
        <v>24</v>
      </c>
      <c r="E70" s="165">
        <f>'21'!I33+'22'!I33+'23'!I34+5000</f>
        <v>3828000</v>
      </c>
      <c r="F70" s="165">
        <f>'21'!M33+'22'!M33+'23'!M34+5000</f>
        <v>3852170</v>
      </c>
      <c r="G70" s="199">
        <f t="shared" si="0"/>
        <v>100.63140020898642</v>
      </c>
    </row>
    <row r="71" spans="2:7">
      <c r="B71" s="193">
        <v>65</v>
      </c>
      <c r="C71" s="196" t="s">
        <v>25</v>
      </c>
      <c r="D71" s="197" t="s">
        <v>26</v>
      </c>
      <c r="E71" s="165">
        <v>0</v>
      </c>
      <c r="F71" s="165">
        <v>0</v>
      </c>
      <c r="G71" s="199" t="str">
        <f t="shared" si="0"/>
        <v/>
      </c>
    </row>
    <row r="72" spans="2:7">
      <c r="B72" s="193">
        <v>66</v>
      </c>
      <c r="C72" s="196" t="s">
        <v>27</v>
      </c>
      <c r="D72" s="197" t="s">
        <v>28</v>
      </c>
      <c r="E72" s="165">
        <f>'20'!I31+'20'!I36</f>
        <v>277000</v>
      </c>
      <c r="F72" s="165">
        <f>'20'!M31+'20'!M36</f>
        <v>300000</v>
      </c>
      <c r="G72" s="199">
        <f t="shared" si="0"/>
        <v>108.30324909747293</v>
      </c>
    </row>
    <row r="73" spans="2:7">
      <c r="B73" s="193">
        <v>67</v>
      </c>
      <c r="C73" s="196" t="s">
        <v>29</v>
      </c>
      <c r="D73" s="197" t="s">
        <v>73</v>
      </c>
      <c r="E73" s="165">
        <v>0</v>
      </c>
      <c r="F73" s="165">
        <v>0</v>
      </c>
      <c r="G73" s="199" t="str">
        <f t="shared" si="0"/>
        <v/>
      </c>
    </row>
    <row r="74" spans="2:7">
      <c r="B74" s="193">
        <v>68</v>
      </c>
      <c r="C74" s="196" t="s">
        <v>30</v>
      </c>
      <c r="D74" s="197" t="s">
        <v>31</v>
      </c>
      <c r="E74" s="165">
        <v>0</v>
      </c>
      <c r="F74" s="165">
        <v>0</v>
      </c>
      <c r="G74" s="199" t="str">
        <f t="shared" ref="G74:G86" si="1">IF(E74=0,"",F74/E74*100)</f>
        <v/>
      </c>
    </row>
    <row r="75" spans="2:7">
      <c r="B75" s="193">
        <v>69</v>
      </c>
      <c r="C75" s="196" t="s">
        <v>32</v>
      </c>
      <c r="D75" s="197" t="s">
        <v>33</v>
      </c>
      <c r="E75" s="165">
        <v>0</v>
      </c>
      <c r="F75" s="165">
        <v>0</v>
      </c>
      <c r="G75" s="199" t="str">
        <f t="shared" si="1"/>
        <v/>
      </c>
    </row>
    <row r="76" spans="2:7">
      <c r="B76" s="193">
        <v>70</v>
      </c>
      <c r="C76" s="196" t="s">
        <v>34</v>
      </c>
      <c r="D76" s="197" t="s">
        <v>35</v>
      </c>
      <c r="E76" s="165">
        <f>'20'!I52-'20'!I31-'20'!I32-'20'!I36-'20'!I37-'20'!I38-'20'!I39</f>
        <v>830390</v>
      </c>
      <c r="F76" s="165">
        <f>'20'!M52-'20'!M31-'20'!M33-'20'!M34-'20'!K36-'20'!K37-'20'!K38-'20'!K39</f>
        <v>832220</v>
      </c>
      <c r="G76" s="199">
        <f t="shared" si="1"/>
        <v>100.22037837642554</v>
      </c>
    </row>
    <row r="77" spans="2:7">
      <c r="B77" s="1194">
        <v>71</v>
      </c>
      <c r="C77" s="1198" t="s">
        <v>36</v>
      </c>
      <c r="D77" s="1195" t="s">
        <v>37</v>
      </c>
      <c r="E77" s="1196">
        <f>SUM(E78:E86)</f>
        <v>5791090</v>
      </c>
      <c r="F77" s="1196">
        <f>SUM(F78:F86)</f>
        <v>5728760</v>
      </c>
      <c r="G77" s="1200">
        <f t="shared" si="1"/>
        <v>98.923691394884202</v>
      </c>
    </row>
    <row r="78" spans="2:7">
      <c r="B78" s="193">
        <v>72</v>
      </c>
      <c r="C78" s="196" t="s">
        <v>38</v>
      </c>
      <c r="D78" s="197" t="s">
        <v>39</v>
      </c>
      <c r="E78" s="165">
        <v>0</v>
      </c>
      <c r="F78" s="165">
        <v>0</v>
      </c>
      <c r="G78" s="199" t="str">
        <f t="shared" si="1"/>
        <v/>
      </c>
    </row>
    <row r="79" spans="2:7">
      <c r="B79" s="193">
        <v>73</v>
      </c>
      <c r="C79" s="196" t="s">
        <v>40</v>
      </c>
      <c r="D79" s="197" t="s">
        <v>41</v>
      </c>
      <c r="E79" s="165">
        <v>0</v>
      </c>
      <c r="F79" s="165">
        <v>0</v>
      </c>
      <c r="G79" s="199" t="str">
        <f t="shared" si="1"/>
        <v/>
      </c>
    </row>
    <row r="80" spans="2:7">
      <c r="B80" s="193">
        <v>74</v>
      </c>
      <c r="C80" s="196" t="s">
        <v>42</v>
      </c>
      <c r="D80" s="197" t="s">
        <v>43</v>
      </c>
      <c r="E80" s="165">
        <v>0</v>
      </c>
      <c r="F80" s="165">
        <v>0</v>
      </c>
      <c r="G80" s="199" t="str">
        <f t="shared" si="1"/>
        <v/>
      </c>
    </row>
    <row r="81" spans="2:7">
      <c r="B81" s="193">
        <v>75</v>
      </c>
      <c r="C81" s="196" t="s">
        <v>44</v>
      </c>
      <c r="D81" s="197" t="s">
        <v>74</v>
      </c>
      <c r="E81" s="165">
        <v>0</v>
      </c>
      <c r="F81" s="165">
        <v>0</v>
      </c>
      <c r="G81" s="199" t="str">
        <f t="shared" si="1"/>
        <v/>
      </c>
    </row>
    <row r="82" spans="2:7">
      <c r="B82" s="193">
        <v>76</v>
      </c>
      <c r="C82" s="196" t="s">
        <v>45</v>
      </c>
      <c r="D82" s="197" t="s">
        <v>75</v>
      </c>
      <c r="E82" s="165">
        <v>0</v>
      </c>
      <c r="F82" s="165">
        <v>0</v>
      </c>
      <c r="G82" s="199" t="str">
        <f t="shared" si="1"/>
        <v/>
      </c>
    </row>
    <row r="83" spans="2:7">
      <c r="B83" s="193">
        <v>77</v>
      </c>
      <c r="C83" s="196" t="s">
        <v>46</v>
      </c>
      <c r="D83" s="197" t="s">
        <v>47</v>
      </c>
      <c r="E83" s="165">
        <v>0</v>
      </c>
      <c r="F83" s="165">
        <v>0</v>
      </c>
      <c r="G83" s="199" t="str">
        <f t="shared" si="1"/>
        <v/>
      </c>
    </row>
    <row r="84" spans="2:7">
      <c r="B84" s="193">
        <v>78</v>
      </c>
      <c r="C84" s="196" t="s">
        <v>48</v>
      </c>
      <c r="D84" s="197" t="s">
        <v>49</v>
      </c>
      <c r="E84" s="165">
        <v>0</v>
      </c>
      <c r="F84" s="165">
        <v>0</v>
      </c>
      <c r="G84" s="199" t="str">
        <f t="shared" si="1"/>
        <v/>
      </c>
    </row>
    <row r="85" spans="2:7">
      <c r="B85" s="193">
        <v>79</v>
      </c>
      <c r="C85" s="196" t="s">
        <v>50</v>
      </c>
      <c r="D85" s="197" t="s">
        <v>51</v>
      </c>
      <c r="E85" s="165">
        <v>0</v>
      </c>
      <c r="F85" s="165">
        <v>0</v>
      </c>
      <c r="G85" s="199" t="str">
        <f t="shared" si="1"/>
        <v/>
      </c>
    </row>
    <row r="86" spans="2:7">
      <c r="B86" s="193">
        <v>80</v>
      </c>
      <c r="C86" s="196" t="s">
        <v>52</v>
      </c>
      <c r="D86" s="197" t="s">
        <v>53</v>
      </c>
      <c r="E86" s="165">
        <f>'17'!I39+'31'!I36</f>
        <v>5791090</v>
      </c>
      <c r="F86" s="165">
        <f>'17'!M41-'17'!M31+'31'!M36</f>
        <v>5728760</v>
      </c>
      <c r="G86" s="199">
        <f t="shared" si="1"/>
        <v>98.923691394884202</v>
      </c>
    </row>
    <row r="87" spans="2:7">
      <c r="B87" s="71"/>
      <c r="C87" s="71"/>
      <c r="D87" s="71"/>
      <c r="E87" s="71"/>
      <c r="F87" s="71"/>
      <c r="G87" s="71"/>
    </row>
    <row r="88" spans="2:7">
      <c r="B88" s="71"/>
      <c r="C88" s="71"/>
      <c r="D88" s="71"/>
      <c r="E88" s="71"/>
      <c r="F88" s="71"/>
      <c r="G88" s="71"/>
    </row>
    <row r="89" spans="2:7">
      <c r="B89" s="71"/>
      <c r="C89" s="71"/>
      <c r="D89" s="71"/>
      <c r="E89" s="71"/>
      <c r="F89" s="71"/>
      <c r="G89" s="71"/>
    </row>
    <row r="90" spans="2:7">
      <c r="B90" s="71"/>
      <c r="C90" s="71"/>
      <c r="D90" s="71"/>
      <c r="E90" s="71"/>
      <c r="F90" s="71"/>
      <c r="G90" s="71"/>
    </row>
    <row r="91" spans="2:7">
      <c r="B91" s="71"/>
      <c r="C91" s="71"/>
      <c r="D91" s="71"/>
      <c r="E91" s="71"/>
      <c r="F91" s="71"/>
      <c r="G91" s="71"/>
    </row>
    <row r="92" spans="2:7">
      <c r="B92" s="71"/>
      <c r="C92" s="71"/>
      <c r="D92" s="71"/>
      <c r="E92" s="71"/>
      <c r="F92" s="71"/>
      <c r="G92" s="71"/>
    </row>
    <row r="93" spans="2:7">
      <c r="B93" s="71"/>
      <c r="C93" s="71"/>
      <c r="D93" s="71"/>
      <c r="E93" s="71"/>
      <c r="F93" s="71"/>
      <c r="G93" s="71"/>
    </row>
    <row r="94" spans="2:7">
      <c r="B94" s="71"/>
      <c r="C94" s="71"/>
      <c r="D94" s="71"/>
      <c r="E94" s="71"/>
      <c r="F94" s="71"/>
      <c r="G94" s="71"/>
    </row>
    <row r="95" spans="2:7">
      <c r="B95" s="71"/>
      <c r="C95" s="71"/>
      <c r="D95" s="71"/>
      <c r="E95" s="71"/>
      <c r="F95" s="71"/>
      <c r="G95" s="71"/>
    </row>
    <row r="96" spans="2:7">
      <c r="B96" s="71"/>
      <c r="C96" s="71"/>
      <c r="D96" s="71"/>
      <c r="E96" s="71"/>
      <c r="F96" s="71"/>
      <c r="G96" s="71"/>
    </row>
    <row r="97" spans="2:7">
      <c r="B97" s="71"/>
      <c r="C97" s="71"/>
      <c r="D97" s="71"/>
      <c r="E97" s="71"/>
      <c r="F97" s="71"/>
      <c r="G97" s="71"/>
    </row>
    <row r="98" spans="2:7">
      <c r="B98" s="71"/>
      <c r="C98" s="71"/>
      <c r="D98" s="71"/>
      <c r="E98" s="71"/>
      <c r="F98" s="71"/>
      <c r="G98" s="71"/>
    </row>
    <row r="99" spans="2:7">
      <c r="B99" s="71"/>
      <c r="C99" s="71"/>
      <c r="D99" s="71"/>
      <c r="E99" s="71"/>
      <c r="F99" s="71"/>
      <c r="G99" s="71"/>
    </row>
    <row r="100" spans="2:7">
      <c r="B100" s="71"/>
      <c r="C100" s="71"/>
      <c r="D100" s="71"/>
      <c r="E100" s="71"/>
      <c r="F100" s="71"/>
      <c r="G100" s="71"/>
    </row>
    <row r="101" spans="2:7">
      <c r="B101" s="71"/>
      <c r="C101" s="71"/>
      <c r="D101" s="71"/>
      <c r="E101" s="71"/>
      <c r="F101" s="71"/>
      <c r="G101" s="71"/>
    </row>
    <row r="102" spans="2:7">
      <c r="B102" s="71"/>
      <c r="C102" s="71"/>
      <c r="D102" s="71"/>
      <c r="E102" s="71"/>
      <c r="F102" s="71"/>
      <c r="G102" s="71"/>
    </row>
    <row r="103" spans="2:7">
      <c r="B103" s="71"/>
      <c r="C103" s="71"/>
      <c r="D103" s="71"/>
      <c r="E103" s="71"/>
      <c r="F103" s="71"/>
      <c r="G103" s="71"/>
    </row>
    <row r="104" spans="2:7">
      <c r="B104" s="71"/>
      <c r="C104" s="71"/>
      <c r="D104" s="71"/>
      <c r="E104" s="71"/>
      <c r="F104" s="71"/>
      <c r="G104" s="71"/>
    </row>
    <row r="105" spans="2:7">
      <c r="B105" s="71"/>
      <c r="C105" s="71"/>
      <c r="D105" s="71"/>
      <c r="E105" s="71"/>
      <c r="F105" s="71"/>
      <c r="G105" s="71"/>
    </row>
    <row r="106" spans="2:7">
      <c r="B106" s="71"/>
      <c r="C106" s="71"/>
      <c r="D106" s="71"/>
      <c r="E106" s="71"/>
      <c r="F106" s="71"/>
      <c r="G106" s="71"/>
    </row>
    <row r="107" spans="2:7">
      <c r="B107" s="71"/>
      <c r="C107" s="71"/>
      <c r="D107" s="71"/>
      <c r="E107" s="71"/>
      <c r="F107" s="71"/>
      <c r="G107" s="71"/>
    </row>
    <row r="108" spans="2:7">
      <c r="B108" s="71"/>
      <c r="C108" s="71"/>
      <c r="D108" s="71"/>
      <c r="E108" s="71"/>
      <c r="F108" s="71"/>
      <c r="G108" s="71"/>
    </row>
    <row r="109" spans="2:7">
      <c r="B109" s="71"/>
      <c r="C109" s="71"/>
      <c r="D109" s="71"/>
      <c r="E109" s="71"/>
      <c r="F109" s="71"/>
      <c r="G109" s="71"/>
    </row>
    <row r="110" spans="2:7">
      <c r="B110" s="71"/>
      <c r="C110" s="71"/>
      <c r="D110" s="71"/>
      <c r="E110" s="71"/>
      <c r="F110" s="71"/>
      <c r="G110" s="71"/>
    </row>
    <row r="111" spans="2:7">
      <c r="B111" s="71"/>
      <c r="C111" s="71"/>
      <c r="D111" s="71"/>
      <c r="E111" s="71"/>
      <c r="F111" s="71"/>
      <c r="G111" s="71"/>
    </row>
    <row r="112" spans="2:7">
      <c r="B112" s="71"/>
      <c r="C112" s="71"/>
      <c r="D112" s="71"/>
      <c r="E112" s="71"/>
      <c r="F112" s="71"/>
      <c r="G112" s="71"/>
    </row>
    <row r="113" spans="2:7">
      <c r="B113" s="71"/>
      <c r="C113" s="71"/>
      <c r="D113" s="71"/>
      <c r="E113" s="71"/>
      <c r="F113" s="71"/>
      <c r="G113" s="71"/>
    </row>
    <row r="114" spans="2:7">
      <c r="B114" s="71"/>
      <c r="C114" s="71"/>
      <c r="D114" s="71"/>
      <c r="E114" s="71"/>
      <c r="F114" s="71"/>
      <c r="G114" s="71"/>
    </row>
    <row r="115" spans="2:7">
      <c r="B115" s="71"/>
      <c r="C115" s="71"/>
      <c r="D115" s="71"/>
      <c r="E115" s="71"/>
      <c r="F115" s="71"/>
      <c r="G115" s="71"/>
    </row>
    <row r="116" spans="2:7">
      <c r="B116" s="71"/>
      <c r="C116" s="71"/>
      <c r="D116" s="71"/>
      <c r="E116" s="71"/>
      <c r="F116" s="71"/>
      <c r="G116" s="71"/>
    </row>
    <row r="117" spans="2:7">
      <c r="B117" s="71"/>
      <c r="C117" s="71"/>
      <c r="D117" s="71"/>
      <c r="E117" s="71"/>
      <c r="F117" s="71"/>
      <c r="G117" s="71"/>
    </row>
    <row r="118" spans="2:7">
      <c r="B118" s="71"/>
      <c r="C118" s="71"/>
      <c r="D118" s="71"/>
      <c r="E118" s="71"/>
      <c r="F118" s="71"/>
      <c r="G118" s="71"/>
    </row>
    <row r="119" spans="2:7">
      <c r="B119" s="71"/>
      <c r="C119" s="71"/>
      <c r="D119" s="71"/>
      <c r="E119" s="71"/>
      <c r="F119" s="71"/>
      <c r="G119" s="71"/>
    </row>
  </sheetData>
  <mergeCells count="1">
    <mergeCell ref="B2:G2"/>
  </mergeCells>
  <phoneticPr fontId="0" type="noConversion"/>
  <pageMargins left="0.9055118110236221" right="0.31496062992125984" top="0.35433070866141736" bottom="0.51181102362204722" header="0.39370078740157483" footer="0.31496062992125984"/>
  <pageSetup paperSize="9" scale="88" firstPageNumber="46" orientation="landscape" r:id="rId1"/>
  <headerFooter alignWithMargins="0">
    <oddFooter>&amp;R&amp;P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2:F44"/>
  <sheetViews>
    <sheetView topLeftCell="B1" zoomScaleNormal="100" workbookViewId="0">
      <selection activeCell="I17" sqref="I17"/>
    </sheetView>
  </sheetViews>
  <sheetFormatPr defaultRowHeight="12.75"/>
  <cols>
    <col min="1" max="1" width="15.7109375" style="40" customWidth="1"/>
    <col min="2" max="2" width="82.28515625" customWidth="1"/>
    <col min="3" max="6" width="18.7109375" customWidth="1"/>
  </cols>
  <sheetData>
    <row r="2" spans="1:6" ht="15.75">
      <c r="A2" s="1235" t="s">
        <v>692</v>
      </c>
      <c r="B2" s="1287"/>
      <c r="C2" s="1287"/>
      <c r="D2" s="1287"/>
      <c r="E2" s="1287"/>
      <c r="F2" s="1287"/>
    </row>
    <row r="4" spans="1:6" s="46" customFormat="1">
      <c r="A4" s="1292" t="s">
        <v>409</v>
      </c>
      <c r="B4" s="1292" t="s">
        <v>427</v>
      </c>
      <c r="C4" s="1292" t="s">
        <v>691</v>
      </c>
      <c r="D4" s="1289" t="s">
        <v>434</v>
      </c>
      <c r="E4" s="1290"/>
      <c r="F4" s="1291"/>
    </row>
    <row r="5" spans="1:6" s="46" customFormat="1" ht="39" customHeight="1">
      <c r="A5" s="1293"/>
      <c r="B5" s="1293"/>
      <c r="C5" s="1293"/>
      <c r="D5" s="177" t="s">
        <v>433</v>
      </c>
      <c r="E5" s="177" t="s">
        <v>553</v>
      </c>
      <c r="F5" s="177" t="s">
        <v>554</v>
      </c>
    </row>
    <row r="6" spans="1:6" s="46" customFormat="1">
      <c r="A6" s="177">
        <v>1</v>
      </c>
      <c r="B6" s="178">
        <v>2</v>
      </c>
      <c r="C6" s="177" t="s">
        <v>435</v>
      </c>
      <c r="D6" s="177">
        <v>4</v>
      </c>
      <c r="E6" s="177">
        <v>5</v>
      </c>
      <c r="F6" s="177">
        <v>6</v>
      </c>
    </row>
    <row r="7" spans="1:6" ht="15.95" customHeight="1">
      <c r="A7" s="171">
        <v>10010001</v>
      </c>
      <c r="B7" s="23" t="s">
        <v>239</v>
      </c>
      <c r="C7" s="169">
        <f>D7+E7+F7</f>
        <v>10000</v>
      </c>
      <c r="D7" s="169">
        <f>'1'!M28-E7-F7</f>
        <v>10000</v>
      </c>
      <c r="E7" s="169">
        <v>0</v>
      </c>
      <c r="F7" s="169">
        <v>0</v>
      </c>
    </row>
    <row r="8" spans="1:6" ht="15.95" customHeight="1">
      <c r="A8" s="171">
        <v>11010001</v>
      </c>
      <c r="B8" s="23" t="s">
        <v>240</v>
      </c>
      <c r="C8" s="169">
        <f t="shared" ref="C8:C42" si="0">D8+E8+F8</f>
        <v>55000</v>
      </c>
      <c r="D8" s="169">
        <f>'3'!M50-E8-F8</f>
        <v>55000</v>
      </c>
      <c r="E8" s="169">
        <v>0</v>
      </c>
      <c r="F8" s="169">
        <v>0</v>
      </c>
    </row>
    <row r="9" spans="1:6" ht="15.95" customHeight="1">
      <c r="A9" s="171">
        <v>11010002</v>
      </c>
      <c r="B9" s="23" t="s">
        <v>241</v>
      </c>
      <c r="C9" s="169">
        <f t="shared" si="0"/>
        <v>1000</v>
      </c>
      <c r="D9" s="169">
        <f>'4'!M31-E9-F9</f>
        <v>1000</v>
      </c>
      <c r="E9" s="169">
        <v>0</v>
      </c>
      <c r="F9" s="169">
        <v>0</v>
      </c>
    </row>
    <row r="10" spans="1:6" ht="15.95" customHeight="1">
      <c r="A10" s="171">
        <v>11010003</v>
      </c>
      <c r="B10" s="23" t="s">
        <v>242</v>
      </c>
      <c r="C10" s="169">
        <f t="shared" si="0"/>
        <v>1500</v>
      </c>
      <c r="D10" s="169">
        <f>'5'!M28-E10-F10</f>
        <v>1500</v>
      </c>
      <c r="E10" s="169">
        <v>0</v>
      </c>
      <c r="F10" s="169">
        <v>0</v>
      </c>
    </row>
    <row r="11" spans="1:6" ht="15.95" customHeight="1">
      <c r="A11" s="171">
        <v>11010004</v>
      </c>
      <c r="B11" s="23" t="s">
        <v>243</v>
      </c>
      <c r="C11" s="169">
        <f t="shared" si="0"/>
        <v>1500</v>
      </c>
      <c r="D11" s="169">
        <f>'6'!M28-E11-F11</f>
        <v>1500</v>
      </c>
      <c r="E11" s="169">
        <v>0</v>
      </c>
      <c r="F11" s="169">
        <v>0</v>
      </c>
    </row>
    <row r="12" spans="1:6" ht="15.95" customHeight="1">
      <c r="A12" s="171">
        <v>11010005</v>
      </c>
      <c r="B12" s="288" t="s">
        <v>632</v>
      </c>
      <c r="C12" s="169">
        <f t="shared" si="0"/>
        <v>1000</v>
      </c>
      <c r="D12" s="169">
        <f>'7'!M28-E12-F12</f>
        <v>1000</v>
      </c>
      <c r="E12" s="169">
        <v>0</v>
      </c>
      <c r="F12" s="169">
        <v>0</v>
      </c>
    </row>
    <row r="13" spans="1:6" ht="15.95" customHeight="1">
      <c r="A13" s="171">
        <v>12010001</v>
      </c>
      <c r="B13" s="23" t="s">
        <v>244</v>
      </c>
      <c r="C13" s="169">
        <f t="shared" si="0"/>
        <v>80000</v>
      </c>
      <c r="D13" s="169">
        <f>'8'!M28-E13-F13</f>
        <v>80000</v>
      </c>
      <c r="E13" s="169">
        <v>0</v>
      </c>
      <c r="F13" s="169">
        <v>0</v>
      </c>
    </row>
    <row r="14" spans="1:6" ht="15.95" customHeight="1">
      <c r="A14" s="171">
        <v>13010001</v>
      </c>
      <c r="B14" s="23" t="s">
        <v>408</v>
      </c>
      <c r="C14" s="169">
        <f t="shared" si="0"/>
        <v>40000</v>
      </c>
      <c r="D14" s="169">
        <f>'9'!M28-E14-F14</f>
        <v>40000</v>
      </c>
      <c r="E14" s="169">
        <v>0</v>
      </c>
      <c r="F14" s="169">
        <v>0</v>
      </c>
    </row>
    <row r="15" spans="1:6" ht="15.95" customHeight="1">
      <c r="A15" s="171">
        <v>14010001</v>
      </c>
      <c r="B15" s="23" t="s">
        <v>246</v>
      </c>
      <c r="C15" s="169">
        <f t="shared" si="0"/>
        <v>0</v>
      </c>
      <c r="D15" s="169">
        <f>'10'!M28-E15-F15</f>
        <v>0</v>
      </c>
      <c r="E15" s="169">
        <v>0</v>
      </c>
      <c r="F15" s="169">
        <v>0</v>
      </c>
    </row>
    <row r="16" spans="1:6" ht="15.95" customHeight="1">
      <c r="A16" s="171">
        <v>14020003</v>
      </c>
      <c r="B16" s="23" t="s">
        <v>247</v>
      </c>
      <c r="C16" s="169">
        <f t="shared" si="0"/>
        <v>25000</v>
      </c>
      <c r="D16" s="169">
        <f>'11'!M29-E16-F16</f>
        <v>25000</v>
      </c>
      <c r="E16" s="169">
        <v>0</v>
      </c>
      <c r="F16" s="169">
        <v>0</v>
      </c>
    </row>
    <row r="17" spans="1:6" ht="15.95" customHeight="1">
      <c r="A17" s="171">
        <v>14050001</v>
      </c>
      <c r="B17" s="23" t="s">
        <v>248</v>
      </c>
      <c r="C17" s="169">
        <f t="shared" si="0"/>
        <v>3000</v>
      </c>
      <c r="D17" s="169">
        <f>'12'!M28-E17-F17</f>
        <v>3000</v>
      </c>
      <c r="E17" s="169">
        <v>0</v>
      </c>
      <c r="F17" s="169">
        <v>0</v>
      </c>
    </row>
    <row r="18" spans="1:6" ht="15.95" customHeight="1">
      <c r="A18" s="171">
        <v>14050002</v>
      </c>
      <c r="B18" s="23" t="s">
        <v>249</v>
      </c>
      <c r="C18" s="169">
        <f t="shared" si="0"/>
        <v>1000</v>
      </c>
      <c r="D18" s="169">
        <f>'13'!M28-E18-F18</f>
        <v>1000</v>
      </c>
      <c r="E18" s="169">
        <v>0</v>
      </c>
      <c r="F18" s="169">
        <v>0</v>
      </c>
    </row>
    <row r="19" spans="1:6" ht="15.95" customHeight="1">
      <c r="A19" s="171">
        <v>14060001</v>
      </c>
      <c r="B19" s="23" t="s">
        <v>250</v>
      </c>
      <c r="C19" s="169">
        <f t="shared" si="0"/>
        <v>500</v>
      </c>
      <c r="D19" s="169">
        <f>'14'!M28-E19-F19</f>
        <v>500</v>
      </c>
      <c r="E19" s="169">
        <v>0</v>
      </c>
      <c r="F19" s="169">
        <v>0</v>
      </c>
    </row>
    <row r="20" spans="1:6" ht="15.95" customHeight="1">
      <c r="A20" s="171">
        <v>15010001</v>
      </c>
      <c r="B20" s="23" t="s">
        <v>251</v>
      </c>
      <c r="C20" s="169">
        <f t="shared" si="0"/>
        <v>1000</v>
      </c>
      <c r="D20" s="169">
        <f>'15'!M32-E20-F20</f>
        <v>1000</v>
      </c>
      <c r="E20" s="169">
        <v>0</v>
      </c>
      <c r="F20" s="169">
        <v>0</v>
      </c>
    </row>
    <row r="21" spans="1:6" ht="15.95" customHeight="1">
      <c r="A21" s="171">
        <v>16010001</v>
      </c>
      <c r="B21" s="23" t="s">
        <v>252</v>
      </c>
      <c r="C21" s="169">
        <f t="shared" si="0"/>
        <v>1500</v>
      </c>
      <c r="D21" s="169">
        <f>'16'!M41-E21-F21</f>
        <v>1500</v>
      </c>
      <c r="E21" s="169">
        <v>0</v>
      </c>
      <c r="F21" s="169">
        <v>0</v>
      </c>
    </row>
    <row r="22" spans="1:6" ht="15.95" customHeight="1">
      <c r="A22" s="171">
        <v>17010001</v>
      </c>
      <c r="B22" s="23" t="s">
        <v>253</v>
      </c>
      <c r="C22" s="169">
        <f t="shared" si="0"/>
        <v>1500</v>
      </c>
      <c r="D22" s="169">
        <f>'17'!M34-E22-F22</f>
        <v>1500</v>
      </c>
      <c r="E22" s="169">
        <v>0</v>
      </c>
      <c r="F22" s="169">
        <v>0</v>
      </c>
    </row>
    <row r="23" spans="1:6" ht="15.95" customHeight="1">
      <c r="A23" s="171">
        <v>18010001</v>
      </c>
      <c r="B23" s="23" t="s">
        <v>254</v>
      </c>
      <c r="C23" s="169">
        <f t="shared" si="0"/>
        <v>894000</v>
      </c>
      <c r="D23" s="169">
        <f>'18'!M33-E23-F23</f>
        <v>2000</v>
      </c>
      <c r="E23" s="169">
        <v>892000</v>
      </c>
      <c r="F23" s="169">
        <v>0</v>
      </c>
    </row>
    <row r="24" spans="1:6" ht="15.95" customHeight="1">
      <c r="A24" s="171">
        <v>19010001</v>
      </c>
      <c r="B24" s="23" t="s">
        <v>255</v>
      </c>
      <c r="C24" s="169">
        <f t="shared" si="0"/>
        <v>40000</v>
      </c>
      <c r="D24" s="169">
        <f>'19'!M34-E24-F24</f>
        <v>10000</v>
      </c>
      <c r="E24" s="169">
        <v>30000</v>
      </c>
      <c r="F24" s="169">
        <v>0</v>
      </c>
    </row>
    <row r="25" spans="1:6" ht="15.95" customHeight="1">
      <c r="A25" s="171">
        <v>20010001</v>
      </c>
      <c r="B25" s="23" t="s">
        <v>256</v>
      </c>
      <c r="C25" s="169">
        <f t="shared" si="0"/>
        <v>2500</v>
      </c>
      <c r="D25" s="169">
        <f>'20'!M44-E25-F25</f>
        <v>2500</v>
      </c>
      <c r="E25" s="169">
        <v>0</v>
      </c>
      <c r="F25" s="169">
        <v>0</v>
      </c>
    </row>
    <row r="26" spans="1:6" ht="15.95" customHeight="1">
      <c r="A26" s="171">
        <v>20020002</v>
      </c>
      <c r="B26" s="23" t="s">
        <v>410</v>
      </c>
      <c r="C26" s="169">
        <f t="shared" si="0"/>
        <v>10000</v>
      </c>
      <c r="D26" s="169">
        <f>'21'!M28-E26-F26</f>
        <v>10000</v>
      </c>
      <c r="E26" s="169">
        <v>0</v>
      </c>
      <c r="F26" s="169">
        <v>0</v>
      </c>
    </row>
    <row r="27" spans="1:6" ht="15.95" customHeight="1">
      <c r="A27" s="171">
        <v>20020003</v>
      </c>
      <c r="B27" s="23" t="s">
        <v>411</v>
      </c>
      <c r="C27" s="169">
        <f t="shared" si="0"/>
        <v>10000</v>
      </c>
      <c r="D27" s="169">
        <f>'22'!M28-E27-F27</f>
        <v>10000</v>
      </c>
      <c r="E27" s="169">
        <v>0</v>
      </c>
      <c r="F27" s="169">
        <v>0</v>
      </c>
    </row>
    <row r="28" spans="1:6" ht="15.95" customHeight="1">
      <c r="A28" s="171">
        <v>20020004</v>
      </c>
      <c r="B28" s="23" t="s">
        <v>412</v>
      </c>
      <c r="C28" s="169">
        <f t="shared" si="0"/>
        <v>27090</v>
      </c>
      <c r="D28" s="169">
        <f>'23'!M29-E28-F28</f>
        <v>10000</v>
      </c>
      <c r="E28" s="169">
        <v>0</v>
      </c>
      <c r="F28" s="321">
        <v>17090</v>
      </c>
    </row>
    <row r="29" spans="1:6" ht="15.95" customHeight="1">
      <c r="A29" s="171">
        <v>20030001</v>
      </c>
      <c r="B29" s="237" t="s">
        <v>413</v>
      </c>
      <c r="C29" s="169">
        <f t="shared" si="0"/>
        <v>10000</v>
      </c>
      <c r="D29" s="169">
        <f>'24'!M28-E29-F29</f>
        <v>10000</v>
      </c>
      <c r="E29" s="169">
        <v>0</v>
      </c>
      <c r="F29" s="169">
        <v>0</v>
      </c>
    </row>
    <row r="30" spans="1:6" ht="15.95" customHeight="1">
      <c r="A30" s="171">
        <v>20030002</v>
      </c>
      <c r="B30" s="23" t="s">
        <v>414</v>
      </c>
      <c r="C30" s="169">
        <f t="shared" si="0"/>
        <v>21660</v>
      </c>
      <c r="D30" s="169">
        <f>'25'!M28-E30-F30</f>
        <v>17000</v>
      </c>
      <c r="E30" s="169">
        <v>0</v>
      </c>
      <c r="F30" s="169">
        <v>4660</v>
      </c>
    </row>
    <row r="31" spans="1:6" ht="15.95" customHeight="1">
      <c r="A31" s="171">
        <v>20030003</v>
      </c>
      <c r="B31" s="23" t="s">
        <v>415</v>
      </c>
      <c r="C31" s="169">
        <f t="shared" si="0"/>
        <v>20000</v>
      </c>
      <c r="D31" s="169">
        <f>'26'!M28-E31-F31</f>
        <v>20000</v>
      </c>
      <c r="E31" s="169">
        <v>0</v>
      </c>
      <c r="F31" s="169">
        <v>0</v>
      </c>
    </row>
    <row r="32" spans="1:6" ht="15.95" customHeight="1">
      <c r="A32" s="171">
        <v>20030004</v>
      </c>
      <c r="B32" s="237" t="s">
        <v>546</v>
      </c>
      <c r="C32" s="169">
        <f t="shared" si="0"/>
        <v>10000</v>
      </c>
      <c r="D32" s="169">
        <f>'27'!M28-E32-F32</f>
        <v>5100</v>
      </c>
      <c r="E32" s="169">
        <v>0</v>
      </c>
      <c r="F32" s="169">
        <v>4900</v>
      </c>
    </row>
    <row r="33" spans="1:6" ht="15.95" customHeight="1">
      <c r="A33" s="171">
        <v>20030005</v>
      </c>
      <c r="B33" s="23" t="s">
        <v>555</v>
      </c>
      <c r="C33" s="169">
        <f t="shared" si="0"/>
        <v>16000</v>
      </c>
      <c r="D33" s="169">
        <f>'28'!M28-E33-F33</f>
        <v>16000</v>
      </c>
      <c r="E33" s="169">
        <v>0</v>
      </c>
      <c r="F33" s="169">
        <v>0</v>
      </c>
    </row>
    <row r="34" spans="1:6" ht="15.95" customHeight="1">
      <c r="A34" s="171">
        <v>20030006</v>
      </c>
      <c r="B34" s="23" t="s">
        <v>556</v>
      </c>
      <c r="C34" s="169">
        <f t="shared" si="0"/>
        <v>3000</v>
      </c>
      <c r="D34" s="169">
        <f>'29'!M28-E34-F34</f>
        <v>3000</v>
      </c>
      <c r="E34" s="169">
        <v>0</v>
      </c>
      <c r="F34" s="169">
        <v>0</v>
      </c>
    </row>
    <row r="35" spans="1:6" ht="15.95" customHeight="1">
      <c r="A35" s="171">
        <v>20030007</v>
      </c>
      <c r="B35" s="23" t="s">
        <v>557</v>
      </c>
      <c r="C35" s="169">
        <f t="shared" si="0"/>
        <v>3000</v>
      </c>
      <c r="D35" s="169">
        <f>'30'!M28-E35-F35</f>
        <v>3000</v>
      </c>
      <c r="E35" s="169">
        <v>0</v>
      </c>
      <c r="F35" s="169">
        <v>0</v>
      </c>
    </row>
    <row r="36" spans="1:6" ht="15.95" customHeight="1">
      <c r="A36" s="171">
        <v>21010001</v>
      </c>
      <c r="B36" s="23" t="s">
        <v>266</v>
      </c>
      <c r="C36" s="169">
        <f t="shared" si="0"/>
        <v>3000</v>
      </c>
      <c r="D36" s="169">
        <f>'31'!M31-E36-F36</f>
        <v>3000</v>
      </c>
      <c r="E36" s="169">
        <v>0</v>
      </c>
      <c r="F36" s="169">
        <v>0</v>
      </c>
    </row>
    <row r="37" spans="1:6" ht="15.95" customHeight="1">
      <c r="A37" s="171">
        <v>22010001</v>
      </c>
      <c r="B37" s="23" t="s">
        <v>267</v>
      </c>
      <c r="C37" s="169">
        <f t="shared" si="0"/>
        <v>0</v>
      </c>
      <c r="D37" s="169">
        <f>'32'!M28-E37-F37</f>
        <v>0</v>
      </c>
      <c r="E37" s="169">
        <v>0</v>
      </c>
      <c r="F37" s="169">
        <v>0</v>
      </c>
    </row>
    <row r="38" spans="1:6" ht="15.95" customHeight="1">
      <c r="A38" s="171">
        <v>23010001</v>
      </c>
      <c r="B38" s="23" t="s">
        <v>268</v>
      </c>
      <c r="C38" s="169">
        <f t="shared" si="0"/>
        <v>38500</v>
      </c>
      <c r="D38" s="169">
        <f>'33'!M32-E38-F38</f>
        <v>7840</v>
      </c>
      <c r="E38" s="169">
        <v>30660</v>
      </c>
      <c r="F38" s="169">
        <v>0</v>
      </c>
    </row>
    <row r="39" spans="1:6" ht="15.95" customHeight="1">
      <c r="A39" s="171">
        <v>24010001</v>
      </c>
      <c r="B39" s="23" t="s">
        <v>269</v>
      </c>
      <c r="C39" s="169">
        <f t="shared" si="0"/>
        <v>10000</v>
      </c>
      <c r="D39" s="169">
        <f>'34'!M28-E39-F39</f>
        <v>10000</v>
      </c>
      <c r="E39" s="169">
        <v>0</v>
      </c>
      <c r="F39" s="169">
        <v>0</v>
      </c>
    </row>
    <row r="40" spans="1:6" ht="15.95" customHeight="1">
      <c r="A40" s="171">
        <v>26010001</v>
      </c>
      <c r="B40" s="23" t="s">
        <v>270</v>
      </c>
      <c r="C40" s="169">
        <f t="shared" si="0"/>
        <v>1000</v>
      </c>
      <c r="D40" s="169">
        <f>'35'!M28-E40-F40</f>
        <v>1000</v>
      </c>
      <c r="E40" s="169">
        <v>0</v>
      </c>
      <c r="F40" s="169">
        <v>0</v>
      </c>
    </row>
    <row r="41" spans="1:6" ht="15.95" customHeight="1">
      <c r="A41" s="171">
        <v>27010001</v>
      </c>
      <c r="B41" s="23" t="s">
        <v>271</v>
      </c>
      <c r="C41" s="169">
        <f t="shared" si="0"/>
        <v>3000</v>
      </c>
      <c r="D41" s="169">
        <f>'36'!M28-E41-F41</f>
        <v>3000</v>
      </c>
      <c r="E41" s="169">
        <v>0</v>
      </c>
      <c r="F41" s="169">
        <v>0</v>
      </c>
    </row>
    <row r="42" spans="1:6" ht="15.95" customHeight="1">
      <c r="A42" s="171">
        <v>28010001</v>
      </c>
      <c r="B42" s="23" t="s">
        <v>272</v>
      </c>
      <c r="C42" s="169">
        <f t="shared" si="0"/>
        <v>2000</v>
      </c>
      <c r="D42" s="169">
        <f>'37'!M28-E42-F42</f>
        <v>2000</v>
      </c>
      <c r="E42" s="169">
        <v>0</v>
      </c>
      <c r="F42" s="169">
        <v>0</v>
      </c>
    </row>
    <row r="43" spans="1:6" s="46" customFormat="1" ht="15.95" customHeight="1">
      <c r="A43" s="91"/>
      <c r="B43" s="175" t="s">
        <v>431</v>
      </c>
      <c r="C43" s="176">
        <f>SUM(C7:C42)</f>
        <v>1348250</v>
      </c>
      <c r="D43" s="176">
        <f>SUM(D7:D42)</f>
        <v>368940</v>
      </c>
      <c r="E43" s="176">
        <f>SUM(E7:E42)</f>
        <v>952660</v>
      </c>
      <c r="F43" s="176">
        <f>SUM(F7:F42)</f>
        <v>26650</v>
      </c>
    </row>
    <row r="44" spans="1:6" ht="18" customHeight="1"/>
  </sheetData>
  <mergeCells count="5">
    <mergeCell ref="A2:F2"/>
    <mergeCell ref="D4:F4"/>
    <mergeCell ref="A4:A5"/>
    <mergeCell ref="B4:B5"/>
    <mergeCell ref="C4:C5"/>
  </mergeCells>
  <phoneticPr fontId="0" type="noConversion"/>
  <pageMargins left="0.9055118110236221" right="0.31496062992125984" top="0.35433070866141736" bottom="0.51181102362204722" header="0.39370078740157483" footer="0.31496062992125984"/>
  <pageSetup paperSize="9" scale="78" orientation="landscape" r:id="rId1"/>
  <headerFooter alignWithMargins="0">
    <oddFooter>&amp;R&amp;P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7"/>
  <dimension ref="A1:H38"/>
  <sheetViews>
    <sheetView zoomScaleNormal="100" workbookViewId="0">
      <selection activeCell="D19" sqref="D19"/>
    </sheetView>
  </sheetViews>
  <sheetFormatPr defaultRowHeight="15" customHeight="1"/>
  <cols>
    <col min="2" max="2" width="46.7109375" customWidth="1"/>
    <col min="3" max="3" width="18" customWidth="1"/>
    <col min="4" max="4" width="12.42578125" customWidth="1"/>
    <col min="7" max="7" width="15.7109375" customWidth="1"/>
    <col min="8" max="8" width="9.28515625" customWidth="1"/>
    <col min="9" max="9" width="8.7109375" customWidth="1"/>
  </cols>
  <sheetData>
    <row r="1" spans="1:8" ht="15" customHeight="1">
      <c r="A1" s="39" t="s">
        <v>285</v>
      </c>
      <c r="C1" s="39"/>
    </row>
    <row r="2" spans="1:8" ht="15" customHeight="1">
      <c r="A2" s="39"/>
      <c r="C2" s="233">
        <f>Rashodi!K9/(Prihodi!G214-Prihodi!G48-Prihodi!G50-Prihodi!G54-Prihodi!G55-Prihodi!G61-Prihodi!G64-Prihodi!G79-Prihodi!G82-Prihodi!G85-Prihodi!G96-Prihodi!G107-Prihodi!G112-Prihodi!G114-Prihodi!G121-Prihodi!G151-Prihodi!G162-Prihodi!G163-Prihodi!G164-Prihodi!G166-Prihodi!G168-Prihodi!G169-Prihodi!G172-Prihodi!G177-Prihodi!G203)*100</f>
        <v>1.200369922696177</v>
      </c>
    </row>
    <row r="3" spans="1:8" ht="15.75" customHeight="1">
      <c r="A3" s="1237" t="str">
        <f>CONCATENATE("     U tekuću pričuvu Vlade izdvojit će se ",TEXT(C2,"#.##0,00"),"% prihoda bez namjenskih prihoda, vlastitih prihoda i primitaka Proračuna.")</f>
        <v xml:space="preserve">     U tekuću pričuvu Vlade izdvojit će se 1,20% prihoda bez namjenskih prihoda, vlastitih prihoda i primitaka Proračuna.</v>
      </c>
      <c r="B3" s="1298"/>
      <c r="C3" s="1298"/>
      <c r="D3" s="1207"/>
      <c r="E3" s="1207"/>
      <c r="F3" s="1207"/>
      <c r="G3" s="1207"/>
    </row>
    <row r="4" spans="1:8" s="1122" customFormat="1" ht="27" customHeight="1">
      <c r="A4" s="1085"/>
      <c r="B4" s="1086"/>
      <c r="C4" s="1086"/>
      <c r="D4" s="1082"/>
      <c r="E4" s="1082"/>
      <c r="F4" s="1082"/>
      <c r="G4" s="1082"/>
    </row>
    <row r="5" spans="1:8" ht="15" customHeight="1">
      <c r="G5" s="46"/>
      <c r="H5" s="46"/>
    </row>
    <row r="6" spans="1:8" ht="15" customHeight="1">
      <c r="A6" s="39" t="s">
        <v>286</v>
      </c>
      <c r="C6" s="39"/>
    </row>
    <row r="7" spans="1:8" ht="15" customHeight="1">
      <c r="A7" s="39"/>
      <c r="C7" s="39"/>
      <c r="E7" s="232"/>
    </row>
    <row r="8" spans="1:8" ht="15" customHeight="1">
      <c r="A8" s="1233" t="s">
        <v>693</v>
      </c>
      <c r="B8" s="1299"/>
      <c r="C8" s="1299"/>
      <c r="D8" s="1298"/>
      <c r="E8" s="1298"/>
      <c r="F8" s="1298"/>
      <c r="G8" s="1298"/>
      <c r="H8" s="1207"/>
    </row>
    <row r="9" spans="1:8" ht="12" customHeight="1">
      <c r="A9" s="1299"/>
      <c r="B9" s="1299"/>
      <c r="C9" s="1299"/>
      <c r="D9" s="1298"/>
      <c r="E9" s="1298"/>
      <c r="F9" s="1298"/>
      <c r="G9" s="1298"/>
      <c r="H9" s="1207"/>
    </row>
    <row r="14" spans="1:8" ht="15" customHeight="1">
      <c r="A14" t="s">
        <v>200</v>
      </c>
    </row>
    <row r="15" spans="1:8" ht="15" customHeight="1">
      <c r="A15" t="s">
        <v>201</v>
      </c>
    </row>
    <row r="16" spans="1:8" ht="15" customHeight="1">
      <c r="A16" t="s">
        <v>202</v>
      </c>
    </row>
    <row r="17" spans="1:8" ht="15" customHeight="1">
      <c r="A17" t="s">
        <v>203</v>
      </c>
    </row>
    <row r="18" spans="1:8" ht="15" customHeight="1">
      <c r="A18" s="1206" t="s">
        <v>865</v>
      </c>
    </row>
    <row r="19" spans="1:8" ht="15" customHeight="1">
      <c r="A19" s="1206" t="s">
        <v>863</v>
      </c>
    </row>
    <row r="21" spans="1:8" ht="15" customHeight="1">
      <c r="G21" s="1294" t="s">
        <v>287</v>
      </c>
      <c r="H21" s="1207"/>
    </row>
    <row r="22" spans="1:8" ht="15" customHeight="1">
      <c r="G22" s="1295"/>
      <c r="H22" s="1296"/>
    </row>
    <row r="23" spans="1:8" ht="15" customHeight="1">
      <c r="G23" s="1297" t="s">
        <v>794</v>
      </c>
      <c r="H23" s="1207"/>
    </row>
    <row r="25" spans="1:8" ht="15" customHeight="1">
      <c r="C25" s="40"/>
    </row>
    <row r="28" spans="1:8" ht="15" customHeight="1">
      <c r="C28" s="40"/>
    </row>
    <row r="38" ht="12.75"/>
  </sheetData>
  <mergeCells count="5">
    <mergeCell ref="G21:H21"/>
    <mergeCell ref="G22:H22"/>
    <mergeCell ref="G23:H23"/>
    <mergeCell ref="A3:G3"/>
    <mergeCell ref="A8:H9"/>
  </mergeCells>
  <phoneticPr fontId="0" type="noConversion"/>
  <pageMargins left="0.9055118110236221" right="0.31496062992125984" top="0.35433070866141736" bottom="0.51181102362204722" header="0.39370078740157483" footer="0.31496062992125984"/>
  <pageSetup paperSize="9" scale="88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4"/>
  <dimension ref="A2:L217"/>
  <sheetViews>
    <sheetView topLeftCell="B66" zoomScaleNormal="100" workbookViewId="0">
      <selection activeCell="F159" sqref="F159"/>
    </sheetView>
  </sheetViews>
  <sheetFormatPr defaultRowHeight="14.25"/>
  <cols>
    <col min="1" max="1" width="0.42578125" hidden="1" customWidth="1"/>
    <col min="2" max="2" width="13.28515625" style="40" customWidth="1"/>
    <col min="3" max="3" width="63.140625" customWidth="1"/>
    <col min="4" max="6" width="15.7109375" customWidth="1"/>
    <col min="7" max="7" width="19" style="1120" customWidth="1"/>
    <col min="8" max="8" width="9" customWidth="1"/>
    <col min="9" max="9" width="11" style="202" customWidth="1"/>
    <col min="10" max="10" width="15.28515625" style="202" customWidth="1"/>
    <col min="11" max="12" width="9.140625" style="202"/>
  </cols>
  <sheetData>
    <row r="2" spans="2:12" ht="18.75" thickBot="1">
      <c r="B2" s="1238" t="s">
        <v>76</v>
      </c>
      <c r="C2" s="1238"/>
      <c r="D2" s="1238"/>
      <c r="E2" s="1238"/>
      <c r="F2" s="1238"/>
      <c r="G2" s="1239"/>
      <c r="H2" s="1239"/>
    </row>
    <row r="3" spans="2:12" ht="76.5" customHeight="1">
      <c r="B3" s="58" t="s">
        <v>184</v>
      </c>
      <c r="C3" s="59" t="s">
        <v>80</v>
      </c>
      <c r="D3" s="97" t="s">
        <v>614</v>
      </c>
      <c r="E3" s="97" t="s">
        <v>749</v>
      </c>
      <c r="F3" s="97" t="s">
        <v>667</v>
      </c>
      <c r="G3" s="1107" t="s">
        <v>763</v>
      </c>
      <c r="H3" s="238" t="s">
        <v>644</v>
      </c>
      <c r="I3" s="309"/>
    </row>
    <row r="4" spans="2:12" ht="12.75" customHeight="1">
      <c r="B4" s="166">
        <v>1</v>
      </c>
      <c r="C4" s="167">
        <v>2</v>
      </c>
      <c r="D4" s="167">
        <v>3</v>
      </c>
      <c r="E4" s="167">
        <v>4</v>
      </c>
      <c r="F4" s="308">
        <v>5</v>
      </c>
      <c r="G4" s="1121">
        <v>6</v>
      </c>
      <c r="H4" s="201">
        <v>7</v>
      </c>
    </row>
    <row r="5" spans="2:12" s="37" customFormat="1" ht="17.25" customHeight="1">
      <c r="B5" s="239">
        <v>710000</v>
      </c>
      <c r="C5" s="240" t="s">
        <v>183</v>
      </c>
      <c r="D5" s="241">
        <f>D6+D15+D19+D27+D37+D46+D51</f>
        <v>37013190</v>
      </c>
      <c r="E5" s="241">
        <f>E6+E15+E19+E27+E37+E46+E51</f>
        <v>35071260</v>
      </c>
      <c r="F5" s="241">
        <f>F6+F15+F19+F27+F37+F46+F51</f>
        <v>27313693</v>
      </c>
      <c r="G5" s="1108">
        <f>G6+G15+G19+G27+G37+G46+G51</f>
        <v>37198120</v>
      </c>
      <c r="H5" s="223">
        <f t="shared" ref="H5:H10" si="0">IF(E5=0,"",G5/E5*100)</f>
        <v>106.06439574740114</v>
      </c>
      <c r="I5" s="310"/>
      <c r="J5" s="203"/>
      <c r="K5" s="203"/>
      <c r="L5" s="203"/>
    </row>
    <row r="6" spans="2:12" s="138" customFormat="1" ht="17.100000000000001" customHeight="1">
      <c r="B6" s="242">
        <v>711000</v>
      </c>
      <c r="C6" s="243" t="s">
        <v>188</v>
      </c>
      <c r="D6" s="244">
        <f>D7+D12</f>
        <v>3892300</v>
      </c>
      <c r="E6" s="244">
        <f>E7+E12</f>
        <v>3015210</v>
      </c>
      <c r="F6" s="244">
        <f>F7+F12</f>
        <v>2544354</v>
      </c>
      <c r="G6" s="1109">
        <f>G7+G12</f>
        <v>3122830</v>
      </c>
      <c r="H6" s="224">
        <f t="shared" si="0"/>
        <v>103.5692373002212</v>
      </c>
      <c r="I6" s="311"/>
      <c r="J6" s="204"/>
      <c r="K6" s="205"/>
      <c r="L6" s="205"/>
    </row>
    <row r="7" spans="2:12" s="138" customFormat="1" ht="15" customHeight="1">
      <c r="B7" s="139">
        <v>711100</v>
      </c>
      <c r="C7" s="140" t="s">
        <v>288</v>
      </c>
      <c r="D7" s="136">
        <f>SUM(D8:D11)</f>
        <v>4010</v>
      </c>
      <c r="E7" s="986">
        <v>2600</v>
      </c>
      <c r="F7" s="136">
        <f>SUM(F8:F11)</f>
        <v>2020</v>
      </c>
      <c r="G7" s="1110">
        <f>SUM(G8:G11)</f>
        <v>2760</v>
      </c>
      <c r="H7" s="150">
        <f t="shared" si="0"/>
        <v>106.15384615384616</v>
      </c>
      <c r="I7" s="311"/>
      <c r="J7" s="205"/>
      <c r="K7" s="205"/>
      <c r="L7" s="205"/>
    </row>
    <row r="8" spans="2:12" ht="15" customHeight="1">
      <c r="B8" s="135">
        <v>711111</v>
      </c>
      <c r="C8" s="206" t="s">
        <v>289</v>
      </c>
      <c r="D8" s="67">
        <v>3840</v>
      </c>
      <c r="E8" s="985">
        <v>2200</v>
      </c>
      <c r="F8" s="67">
        <v>1697</v>
      </c>
      <c r="G8" s="1111">
        <v>2340</v>
      </c>
      <c r="H8" s="142">
        <f t="shared" si="0"/>
        <v>106.36363636363637</v>
      </c>
      <c r="I8" s="311"/>
    </row>
    <row r="9" spans="2:12" ht="15" customHeight="1">
      <c r="B9" s="135">
        <v>711113</v>
      </c>
      <c r="C9" s="206" t="s">
        <v>668</v>
      </c>
      <c r="D9" s="67">
        <v>0</v>
      </c>
      <c r="E9" s="985">
        <v>60</v>
      </c>
      <c r="F9" s="67">
        <v>53</v>
      </c>
      <c r="G9" s="1111">
        <v>70</v>
      </c>
      <c r="H9" s="142">
        <f t="shared" si="0"/>
        <v>116.66666666666667</v>
      </c>
      <c r="I9" s="311"/>
    </row>
    <row r="10" spans="2:12" ht="15" customHeight="1">
      <c r="B10" s="135">
        <v>711114</v>
      </c>
      <c r="C10" s="206" t="s">
        <v>535</v>
      </c>
      <c r="D10" s="67">
        <v>50</v>
      </c>
      <c r="E10" s="985">
        <v>300</v>
      </c>
      <c r="F10" s="67">
        <v>240</v>
      </c>
      <c r="G10" s="1111">
        <v>300</v>
      </c>
      <c r="H10" s="142">
        <f t="shared" si="0"/>
        <v>100</v>
      </c>
      <c r="I10" s="311"/>
    </row>
    <row r="11" spans="2:12" ht="15" customHeight="1">
      <c r="B11" s="135">
        <v>711115</v>
      </c>
      <c r="C11" s="206" t="s">
        <v>290</v>
      </c>
      <c r="D11" s="168">
        <v>120</v>
      </c>
      <c r="E11" s="987">
        <v>40</v>
      </c>
      <c r="F11" s="168">
        <v>30</v>
      </c>
      <c r="G11" s="1112">
        <v>50</v>
      </c>
      <c r="H11" s="142">
        <f t="shared" ref="H11:H75" si="1">IF(E11=0,"",G11/E11*100)</f>
        <v>125</v>
      </c>
      <c r="I11" s="311"/>
    </row>
    <row r="12" spans="2:12" s="138" customFormat="1" ht="15" customHeight="1">
      <c r="B12" s="139">
        <v>711200</v>
      </c>
      <c r="C12" s="140" t="s">
        <v>293</v>
      </c>
      <c r="D12" s="136">
        <f>SUM(D13:D14)</f>
        <v>3888290</v>
      </c>
      <c r="E12" s="986">
        <v>3012610</v>
      </c>
      <c r="F12" s="136">
        <f>SUM(F13:F14)</f>
        <v>2542334</v>
      </c>
      <c r="G12" s="1110">
        <f>SUM(G13:G14)</f>
        <v>3120070</v>
      </c>
      <c r="H12" s="150">
        <f t="shared" si="1"/>
        <v>103.5670066819137</v>
      </c>
      <c r="I12" s="311"/>
      <c r="J12" s="205"/>
      <c r="K12" s="205"/>
      <c r="L12" s="205"/>
    </row>
    <row r="13" spans="2:12" ht="15" customHeight="1">
      <c r="B13" s="135">
        <v>711211</v>
      </c>
      <c r="C13" s="206" t="s">
        <v>291</v>
      </c>
      <c r="D13" s="168">
        <v>3833180</v>
      </c>
      <c r="E13" s="987">
        <v>2866900</v>
      </c>
      <c r="F13" s="168">
        <v>2419370</v>
      </c>
      <c r="G13" s="1112">
        <v>2969160</v>
      </c>
      <c r="H13" s="142">
        <f t="shared" si="1"/>
        <v>103.5669189717116</v>
      </c>
      <c r="I13" s="311"/>
    </row>
    <row r="14" spans="2:12" ht="15" customHeight="1">
      <c r="B14" s="135">
        <v>711212</v>
      </c>
      <c r="C14" s="206" t="s">
        <v>292</v>
      </c>
      <c r="D14" s="168">
        <v>55110</v>
      </c>
      <c r="E14" s="987">
        <v>145710</v>
      </c>
      <c r="F14" s="168">
        <v>122964</v>
      </c>
      <c r="G14" s="1112">
        <v>150910</v>
      </c>
      <c r="H14" s="142">
        <f t="shared" si="1"/>
        <v>103.56873241369844</v>
      </c>
      <c r="I14" s="311"/>
    </row>
    <row r="15" spans="2:12" s="138" customFormat="1" ht="17.100000000000001" customHeight="1">
      <c r="B15" s="242">
        <v>713000</v>
      </c>
      <c r="C15" s="245" t="s">
        <v>294</v>
      </c>
      <c r="D15" s="244">
        <f>D16</f>
        <v>1550</v>
      </c>
      <c r="E15" s="990">
        <v>6540</v>
      </c>
      <c r="F15" s="244">
        <f>F16</f>
        <v>5822</v>
      </c>
      <c r="G15" s="1109">
        <f>G16</f>
        <v>6530</v>
      </c>
      <c r="H15" s="224">
        <f t="shared" si="1"/>
        <v>99.84709480122325</v>
      </c>
      <c r="I15" s="311"/>
      <c r="J15" s="205"/>
      <c r="K15" s="205"/>
      <c r="L15" s="205"/>
    </row>
    <row r="16" spans="2:12" s="138" customFormat="1" ht="15" customHeight="1">
      <c r="B16" s="139">
        <v>713100</v>
      </c>
      <c r="C16" s="152" t="s">
        <v>394</v>
      </c>
      <c r="D16" s="153">
        <f>SUM(D17:D18)</f>
        <v>1550</v>
      </c>
      <c r="E16" s="989">
        <v>6540</v>
      </c>
      <c r="F16" s="153">
        <f>SUM(F17:F18)</f>
        <v>5822</v>
      </c>
      <c r="G16" s="1113">
        <f>SUM(G17:G18)</f>
        <v>6530</v>
      </c>
      <c r="H16" s="150">
        <f t="shared" si="1"/>
        <v>99.84709480122325</v>
      </c>
      <c r="I16" s="311"/>
      <c r="J16" s="205"/>
      <c r="K16" s="205"/>
      <c r="L16" s="205"/>
    </row>
    <row r="17" spans="2:12" ht="15" customHeight="1">
      <c r="B17" s="135">
        <v>713111</v>
      </c>
      <c r="C17" s="206" t="s">
        <v>295</v>
      </c>
      <c r="D17" s="67">
        <v>1500</v>
      </c>
      <c r="E17" s="988">
        <v>6500</v>
      </c>
      <c r="F17" s="67">
        <v>5822</v>
      </c>
      <c r="G17" s="1111">
        <f>6200+140/10*20</f>
        <v>6480</v>
      </c>
      <c r="H17" s="142">
        <f t="shared" si="1"/>
        <v>99.692307692307693</v>
      </c>
      <c r="I17" s="263"/>
    </row>
    <row r="18" spans="2:12" ht="15" customHeight="1">
      <c r="B18" s="135">
        <v>713113</v>
      </c>
      <c r="C18" s="206" t="s">
        <v>296</v>
      </c>
      <c r="D18" s="67">
        <v>50</v>
      </c>
      <c r="E18" s="988">
        <v>40</v>
      </c>
      <c r="F18" s="67">
        <v>0</v>
      </c>
      <c r="G18" s="1111">
        <v>50</v>
      </c>
      <c r="H18" s="142">
        <f t="shared" si="1"/>
        <v>125</v>
      </c>
      <c r="I18" s="263"/>
    </row>
    <row r="19" spans="2:12" s="138" customFormat="1" ht="17.100000000000001" customHeight="1">
      <c r="B19" s="242">
        <v>714000</v>
      </c>
      <c r="C19" s="245" t="s">
        <v>189</v>
      </c>
      <c r="D19" s="244">
        <f>D20</f>
        <v>402150</v>
      </c>
      <c r="E19" s="990">
        <v>274600</v>
      </c>
      <c r="F19" s="244">
        <f>F20</f>
        <v>186743</v>
      </c>
      <c r="G19" s="1109">
        <f>G20</f>
        <v>286650</v>
      </c>
      <c r="H19" s="224">
        <f t="shared" si="1"/>
        <v>104.38820101966498</v>
      </c>
      <c r="I19" s="311"/>
      <c r="J19" s="205"/>
      <c r="K19" s="205"/>
      <c r="L19" s="205"/>
    </row>
    <row r="20" spans="2:12" s="138" customFormat="1" ht="15" customHeight="1">
      <c r="B20" s="139">
        <v>714100</v>
      </c>
      <c r="C20" s="152" t="s">
        <v>393</v>
      </c>
      <c r="D20" s="153">
        <f>SUM(D21:D26)</f>
        <v>402150</v>
      </c>
      <c r="E20" s="989">
        <v>274600</v>
      </c>
      <c r="F20" s="153">
        <f>SUM(F21:F26)</f>
        <v>186743</v>
      </c>
      <c r="G20" s="1113">
        <f>SUM(G21:G26)</f>
        <v>286650</v>
      </c>
      <c r="H20" s="150">
        <f t="shared" si="1"/>
        <v>104.38820101966498</v>
      </c>
      <c r="I20" s="311"/>
      <c r="J20" s="205"/>
      <c r="K20" s="205"/>
      <c r="L20" s="205"/>
    </row>
    <row r="21" spans="2:12" ht="15" customHeight="1">
      <c r="B21" s="135">
        <v>714111</v>
      </c>
      <c r="C21" s="206" t="s">
        <v>297</v>
      </c>
      <c r="D21" s="67">
        <v>42100</v>
      </c>
      <c r="E21" s="988">
        <v>41920</v>
      </c>
      <c r="F21" s="67">
        <v>31438</v>
      </c>
      <c r="G21" s="1111">
        <v>38220</v>
      </c>
      <c r="H21" s="142">
        <f t="shared" si="1"/>
        <v>91.17366412213741</v>
      </c>
      <c r="I21" s="263"/>
    </row>
    <row r="22" spans="2:12" ht="15" customHeight="1">
      <c r="B22" s="135">
        <v>714112</v>
      </c>
      <c r="C22" s="206" t="s">
        <v>298</v>
      </c>
      <c r="D22" s="168">
        <v>5800</v>
      </c>
      <c r="E22" s="988">
        <v>10190</v>
      </c>
      <c r="F22" s="168">
        <v>8393</v>
      </c>
      <c r="G22" s="1112">
        <v>9240</v>
      </c>
      <c r="H22" s="142">
        <f t="shared" si="1"/>
        <v>90.677134445534833</v>
      </c>
      <c r="I22" s="263"/>
    </row>
    <row r="23" spans="2:12" ht="15" customHeight="1">
      <c r="B23" s="135">
        <v>714113</v>
      </c>
      <c r="C23" s="206" t="s">
        <v>299</v>
      </c>
      <c r="D23" s="67">
        <v>50</v>
      </c>
      <c r="E23" s="988">
        <v>350</v>
      </c>
      <c r="F23" s="67">
        <v>178</v>
      </c>
      <c r="G23" s="1111">
        <v>300</v>
      </c>
      <c r="H23" s="142">
        <f t="shared" si="1"/>
        <v>85.714285714285708</v>
      </c>
      <c r="I23" s="263"/>
    </row>
    <row r="24" spans="2:12" ht="15" customHeight="1">
      <c r="B24" s="135">
        <v>714121</v>
      </c>
      <c r="C24" s="206" t="s">
        <v>300</v>
      </c>
      <c r="D24" s="168">
        <v>12500</v>
      </c>
      <c r="E24" s="988">
        <v>9100</v>
      </c>
      <c r="F24" s="168">
        <v>6449</v>
      </c>
      <c r="G24" s="1112">
        <v>10460</v>
      </c>
      <c r="H24" s="142">
        <f t="shared" si="1"/>
        <v>114.94505494505493</v>
      </c>
      <c r="I24" s="263"/>
    </row>
    <row r="25" spans="2:12" ht="15" customHeight="1">
      <c r="B25" s="135">
        <v>714131</v>
      </c>
      <c r="C25" s="206" t="s">
        <v>301</v>
      </c>
      <c r="D25" s="168">
        <v>245800</v>
      </c>
      <c r="E25" s="988">
        <v>161040</v>
      </c>
      <c r="F25" s="168">
        <v>101299</v>
      </c>
      <c r="G25" s="1112">
        <v>179450</v>
      </c>
      <c r="H25" s="142">
        <f t="shared" si="1"/>
        <v>111.43194237456532</v>
      </c>
      <c r="I25" s="263"/>
    </row>
    <row r="26" spans="2:12" ht="15" customHeight="1">
      <c r="B26" s="135">
        <v>714132</v>
      </c>
      <c r="C26" s="206" t="s">
        <v>302</v>
      </c>
      <c r="D26" s="67">
        <v>95900</v>
      </c>
      <c r="E26" s="988">
        <v>52000</v>
      </c>
      <c r="F26" s="67">
        <v>38986</v>
      </c>
      <c r="G26" s="1111">
        <v>48980</v>
      </c>
      <c r="H26" s="142">
        <f t="shared" si="1"/>
        <v>94.192307692307693</v>
      </c>
      <c r="I26" s="263"/>
    </row>
    <row r="27" spans="2:12" s="138" customFormat="1" ht="25.5" customHeight="1">
      <c r="B27" s="242">
        <v>715000</v>
      </c>
      <c r="C27" s="243" t="s">
        <v>303</v>
      </c>
      <c r="D27" s="244">
        <f>D28+D33+D35</f>
        <v>2200</v>
      </c>
      <c r="E27" s="994">
        <v>3930</v>
      </c>
      <c r="F27" s="244">
        <f>F28+F33+F35</f>
        <v>2927</v>
      </c>
      <c r="G27" s="1109">
        <f>G28+G33+G35</f>
        <v>3940</v>
      </c>
      <c r="H27" s="224">
        <f t="shared" si="1"/>
        <v>100.25445292620864</v>
      </c>
      <c r="I27" s="311"/>
      <c r="J27" s="205"/>
      <c r="K27" s="205"/>
      <c r="L27" s="205"/>
    </row>
    <row r="28" spans="2:12" s="138" customFormat="1" ht="26.25" customHeight="1">
      <c r="B28" s="139">
        <v>715100</v>
      </c>
      <c r="C28" s="207" t="s">
        <v>307</v>
      </c>
      <c r="D28" s="136">
        <f>SUM(D29:D32)</f>
        <v>500</v>
      </c>
      <c r="E28" s="992">
        <v>630</v>
      </c>
      <c r="F28" s="136">
        <f>SUM(F29:F32)</f>
        <v>386</v>
      </c>
      <c r="G28" s="1110">
        <f>SUM(G29:G32)</f>
        <v>740</v>
      </c>
      <c r="H28" s="150">
        <f t="shared" si="1"/>
        <v>117.46031746031747</v>
      </c>
      <c r="I28" s="311"/>
      <c r="J28" s="205"/>
      <c r="K28" s="205"/>
      <c r="L28" s="205"/>
    </row>
    <row r="29" spans="2:12" ht="15" customHeight="1">
      <c r="B29" s="135">
        <v>715131</v>
      </c>
      <c r="C29" s="206" t="s">
        <v>304</v>
      </c>
      <c r="D29" s="67">
        <v>100</v>
      </c>
      <c r="E29" s="991">
        <v>150</v>
      </c>
      <c r="F29" s="67">
        <v>115</v>
      </c>
      <c r="G29" s="1111">
        <v>150</v>
      </c>
      <c r="H29" s="142">
        <f t="shared" si="1"/>
        <v>100</v>
      </c>
      <c r="I29" s="263"/>
    </row>
    <row r="30" spans="2:12" ht="15" customHeight="1">
      <c r="B30" s="135">
        <v>715132</v>
      </c>
      <c r="C30" s="206" t="s">
        <v>536</v>
      </c>
      <c r="D30" s="67">
        <v>50</v>
      </c>
      <c r="E30" s="991">
        <v>20</v>
      </c>
      <c r="F30" s="67">
        <v>0</v>
      </c>
      <c r="G30" s="1111">
        <v>40</v>
      </c>
      <c r="H30" s="142">
        <f t="shared" si="1"/>
        <v>200</v>
      </c>
      <c r="I30" s="263"/>
    </row>
    <row r="31" spans="2:12" ht="15" customHeight="1">
      <c r="B31" s="135">
        <v>715137</v>
      </c>
      <c r="C31" s="206" t="s">
        <v>305</v>
      </c>
      <c r="D31" s="67">
        <v>50</v>
      </c>
      <c r="E31" s="991">
        <v>20</v>
      </c>
      <c r="F31" s="67">
        <v>0</v>
      </c>
      <c r="G31" s="1111">
        <v>50</v>
      </c>
      <c r="H31" s="142">
        <f t="shared" si="1"/>
        <v>250</v>
      </c>
      <c r="I31" s="263"/>
    </row>
    <row r="32" spans="2:12" ht="15" customHeight="1">
      <c r="B32" s="135">
        <v>715141</v>
      </c>
      <c r="C32" s="206" t="s">
        <v>306</v>
      </c>
      <c r="D32" s="67">
        <v>300</v>
      </c>
      <c r="E32" s="991">
        <v>440</v>
      </c>
      <c r="F32" s="67">
        <v>271</v>
      </c>
      <c r="G32" s="1111">
        <v>500</v>
      </c>
      <c r="H32" s="142">
        <f t="shared" si="1"/>
        <v>113.63636363636364</v>
      </c>
      <c r="I32" s="263"/>
    </row>
    <row r="33" spans="2:12" s="138" customFormat="1" ht="15" customHeight="1">
      <c r="B33" s="139">
        <v>715200</v>
      </c>
      <c r="C33" s="208" t="s">
        <v>308</v>
      </c>
      <c r="D33" s="136">
        <f>D34</f>
        <v>1500</v>
      </c>
      <c r="E33" s="992">
        <v>3100</v>
      </c>
      <c r="F33" s="136">
        <f>F34</f>
        <v>2392</v>
      </c>
      <c r="G33" s="1110">
        <f>G34</f>
        <v>3000</v>
      </c>
      <c r="H33" s="150">
        <f t="shared" si="1"/>
        <v>96.774193548387103</v>
      </c>
      <c r="I33" s="311"/>
      <c r="J33" s="205"/>
      <c r="K33" s="205"/>
      <c r="L33" s="205"/>
    </row>
    <row r="34" spans="2:12" ht="15" customHeight="1">
      <c r="B34" s="135">
        <v>715211</v>
      </c>
      <c r="C34" s="206" t="s">
        <v>309</v>
      </c>
      <c r="D34" s="67">
        <v>1500</v>
      </c>
      <c r="E34" s="991">
        <v>3100</v>
      </c>
      <c r="F34" s="67">
        <v>2392</v>
      </c>
      <c r="G34" s="1111">
        <f>2870+130</f>
        <v>3000</v>
      </c>
      <c r="H34" s="142">
        <f t="shared" si="1"/>
        <v>96.774193548387103</v>
      </c>
      <c r="I34" s="263"/>
    </row>
    <row r="35" spans="2:12" s="138" customFormat="1" ht="15" customHeight="1">
      <c r="B35" s="139">
        <v>715900</v>
      </c>
      <c r="C35" s="208" t="s">
        <v>310</v>
      </c>
      <c r="D35" s="136">
        <f>D36</f>
        <v>200</v>
      </c>
      <c r="E35" s="992">
        <v>200</v>
      </c>
      <c r="F35" s="136">
        <f>F36</f>
        <v>149</v>
      </c>
      <c r="G35" s="1110">
        <f>G36</f>
        <v>200</v>
      </c>
      <c r="H35" s="150">
        <f t="shared" si="1"/>
        <v>100</v>
      </c>
      <c r="I35" s="311"/>
      <c r="J35" s="205"/>
      <c r="K35" s="205"/>
      <c r="L35" s="205"/>
    </row>
    <row r="36" spans="2:12" ht="27" customHeight="1">
      <c r="B36" s="135">
        <v>715914</v>
      </c>
      <c r="C36" s="209" t="s">
        <v>311</v>
      </c>
      <c r="D36" s="168">
        <v>200</v>
      </c>
      <c r="E36" s="993">
        <v>200</v>
      </c>
      <c r="F36" s="168">
        <v>149</v>
      </c>
      <c r="G36" s="1112">
        <v>200</v>
      </c>
      <c r="H36" s="142">
        <f t="shared" si="1"/>
        <v>100</v>
      </c>
      <c r="I36" s="263"/>
    </row>
    <row r="37" spans="2:12" s="138" customFormat="1" ht="17.100000000000001" customHeight="1">
      <c r="B37" s="242">
        <v>716000</v>
      </c>
      <c r="C37" s="245" t="s">
        <v>190</v>
      </c>
      <c r="D37" s="244">
        <f>D38</f>
        <v>2827910</v>
      </c>
      <c r="E37" s="997">
        <v>2817450</v>
      </c>
      <c r="F37" s="244">
        <f>F38</f>
        <v>2109217</v>
      </c>
      <c r="G37" s="1109">
        <f>G38</f>
        <v>2921770</v>
      </c>
      <c r="H37" s="224">
        <f t="shared" si="1"/>
        <v>103.70263891107207</v>
      </c>
      <c r="I37" s="311"/>
      <c r="J37" s="211"/>
      <c r="K37" s="311"/>
      <c r="L37" s="205"/>
    </row>
    <row r="38" spans="2:12" s="138" customFormat="1" ht="15" customHeight="1">
      <c r="B38" s="139">
        <v>716100</v>
      </c>
      <c r="C38" s="208" t="s">
        <v>312</v>
      </c>
      <c r="D38" s="136">
        <f>SUM(D39:D45)</f>
        <v>2827910</v>
      </c>
      <c r="E38" s="995">
        <v>2817450</v>
      </c>
      <c r="F38" s="136">
        <f>SUM(F39:F45)</f>
        <v>2109217</v>
      </c>
      <c r="G38" s="1110">
        <f>SUM(G39:G45)</f>
        <v>2921770</v>
      </c>
      <c r="H38" s="150">
        <f t="shared" si="1"/>
        <v>103.70263891107207</v>
      </c>
      <c r="I38" s="312"/>
      <c r="J38" s="210"/>
      <c r="K38" s="205"/>
      <c r="L38" s="205"/>
    </row>
    <row r="39" spans="2:12" ht="15" customHeight="1">
      <c r="B39" s="135">
        <v>716111</v>
      </c>
      <c r="C39" s="206" t="s">
        <v>314</v>
      </c>
      <c r="D39" s="168">
        <v>1970860</v>
      </c>
      <c r="E39" s="996">
        <v>1987190</v>
      </c>
      <c r="F39" s="168">
        <v>1468344</v>
      </c>
      <c r="G39" s="1112">
        <v>2060770</v>
      </c>
      <c r="H39" s="142">
        <f t="shared" si="1"/>
        <v>103.70271589530947</v>
      </c>
      <c r="I39" s="311"/>
      <c r="J39" s="210"/>
      <c r="K39" s="205"/>
    </row>
    <row r="40" spans="2:12" ht="15" customHeight="1">
      <c r="B40" s="135">
        <v>716112</v>
      </c>
      <c r="C40" s="206" t="s">
        <v>315</v>
      </c>
      <c r="D40" s="168">
        <v>112600</v>
      </c>
      <c r="E40" s="996">
        <v>124450</v>
      </c>
      <c r="F40" s="168">
        <v>93163</v>
      </c>
      <c r="G40" s="1112">
        <v>129060</v>
      </c>
      <c r="H40" s="142">
        <f t="shared" si="1"/>
        <v>103.70429891522699</v>
      </c>
      <c r="I40" s="311"/>
      <c r="J40" s="210"/>
      <c r="K40" s="205"/>
    </row>
    <row r="41" spans="2:12" ht="15" customHeight="1">
      <c r="B41" s="135">
        <v>716113</v>
      </c>
      <c r="C41" s="206" t="s">
        <v>316</v>
      </c>
      <c r="D41" s="168">
        <v>27900</v>
      </c>
      <c r="E41" s="996">
        <v>27020</v>
      </c>
      <c r="F41" s="168">
        <v>20225</v>
      </c>
      <c r="G41" s="1112">
        <v>28020</v>
      </c>
      <c r="H41" s="142">
        <f t="shared" si="1"/>
        <v>103.70096225018506</v>
      </c>
      <c r="I41" s="311"/>
      <c r="J41" s="210"/>
      <c r="K41" s="205"/>
    </row>
    <row r="42" spans="2:12" ht="15" customHeight="1">
      <c r="B42" s="135">
        <v>716114</v>
      </c>
      <c r="C42" s="206" t="s">
        <v>317</v>
      </c>
      <c r="D42" s="168">
        <v>200</v>
      </c>
      <c r="E42" s="996">
        <v>100</v>
      </c>
      <c r="F42" s="168">
        <v>41</v>
      </c>
      <c r="G42" s="1112">
        <v>110</v>
      </c>
      <c r="H42" s="142">
        <f t="shared" si="1"/>
        <v>110.00000000000001</v>
      </c>
      <c r="I42" s="311"/>
      <c r="J42" s="210"/>
      <c r="K42" s="205"/>
    </row>
    <row r="43" spans="2:12" ht="25.5" customHeight="1">
      <c r="B43" s="135">
        <v>716115</v>
      </c>
      <c r="C43" s="209" t="s">
        <v>318</v>
      </c>
      <c r="D43" s="168">
        <v>296600</v>
      </c>
      <c r="E43" s="996">
        <v>284590</v>
      </c>
      <c r="F43" s="168">
        <v>213050</v>
      </c>
      <c r="G43" s="1112">
        <v>295120</v>
      </c>
      <c r="H43" s="142">
        <f t="shared" si="1"/>
        <v>103.70005973505745</v>
      </c>
      <c r="I43" s="311"/>
      <c r="J43" s="210"/>
      <c r="K43" s="205"/>
    </row>
    <row r="44" spans="2:12" ht="15" customHeight="1">
      <c r="B44" s="135">
        <v>716116</v>
      </c>
      <c r="C44" s="206" t="s">
        <v>319</v>
      </c>
      <c r="D44" s="168">
        <v>292450</v>
      </c>
      <c r="E44" s="996">
        <v>245400</v>
      </c>
      <c r="F44" s="168">
        <v>180897</v>
      </c>
      <c r="G44" s="1112">
        <v>254490</v>
      </c>
      <c r="H44" s="142">
        <f t="shared" si="1"/>
        <v>103.7041564792176</v>
      </c>
      <c r="I44" s="311"/>
      <c r="J44" s="210"/>
      <c r="K44" s="205"/>
    </row>
    <row r="45" spans="2:12" ht="15" customHeight="1">
      <c r="B45" s="135">
        <v>716117</v>
      </c>
      <c r="C45" s="206" t="s">
        <v>313</v>
      </c>
      <c r="D45" s="168">
        <v>127300</v>
      </c>
      <c r="E45" s="996">
        <v>148700</v>
      </c>
      <c r="F45" s="168">
        <v>133497</v>
      </c>
      <c r="G45" s="1112">
        <v>154200</v>
      </c>
      <c r="H45" s="142">
        <f t="shared" si="1"/>
        <v>103.69872225958305</v>
      </c>
      <c r="I45" s="311"/>
      <c r="J45" s="210"/>
      <c r="K45" s="205"/>
    </row>
    <row r="46" spans="2:12" s="138" customFormat="1" ht="17.100000000000001" customHeight="1">
      <c r="B46" s="242">
        <v>717000</v>
      </c>
      <c r="C46" s="245" t="s">
        <v>191</v>
      </c>
      <c r="D46" s="244">
        <f>D47</f>
        <v>29886860</v>
      </c>
      <c r="E46" s="1000">
        <v>28953220</v>
      </c>
      <c r="F46" s="244">
        <f>F47</f>
        <v>22464451</v>
      </c>
      <c r="G46" s="1109">
        <f>G47</f>
        <v>30856100</v>
      </c>
      <c r="H46" s="224">
        <f t="shared" si="1"/>
        <v>106.57225690268648</v>
      </c>
      <c r="I46" s="311"/>
      <c r="J46" s="205"/>
      <c r="K46" s="205"/>
      <c r="L46" s="205"/>
    </row>
    <row r="47" spans="2:12" s="138" customFormat="1" ht="15" customHeight="1">
      <c r="B47" s="139">
        <v>717100</v>
      </c>
      <c r="C47" s="208" t="s">
        <v>320</v>
      </c>
      <c r="D47" s="136">
        <f>SUM(D48:D50)</f>
        <v>29886860</v>
      </c>
      <c r="E47" s="998">
        <v>28953220</v>
      </c>
      <c r="F47" s="136">
        <f t="shared" ref="F47:G47" si="2">SUM(F48:F50)</f>
        <v>22464451</v>
      </c>
      <c r="G47" s="1110">
        <f t="shared" si="2"/>
        <v>30856100</v>
      </c>
      <c r="H47" s="150">
        <f t="shared" si="1"/>
        <v>106.57225690268648</v>
      </c>
      <c r="I47" s="311"/>
      <c r="J47" s="205"/>
      <c r="K47" s="205"/>
      <c r="L47" s="205"/>
    </row>
    <row r="48" spans="2:12" ht="15" customHeight="1">
      <c r="B48" s="135">
        <v>717114</v>
      </c>
      <c r="C48" s="206" t="s">
        <v>669</v>
      </c>
      <c r="D48" s="168">
        <v>0</v>
      </c>
      <c r="E48" s="999">
        <v>516020</v>
      </c>
      <c r="F48" s="168">
        <v>313088</v>
      </c>
      <c r="G48" s="1112">
        <v>544250</v>
      </c>
      <c r="H48" s="142">
        <f t="shared" ref="H48" si="3">IF(E48=0,"",G48/E48*100)</f>
        <v>105.47071818921748</v>
      </c>
      <c r="I48" s="263"/>
    </row>
    <row r="49" spans="1:12" ht="15" customHeight="1">
      <c r="B49" s="135">
        <v>717121</v>
      </c>
      <c r="C49" s="206" t="s">
        <v>321</v>
      </c>
      <c r="D49" s="168">
        <v>29135980</v>
      </c>
      <c r="E49" s="999">
        <v>27702600</v>
      </c>
      <c r="F49" s="168">
        <v>21579140</v>
      </c>
      <c r="G49" s="1112">
        <v>29528820</v>
      </c>
      <c r="H49" s="142">
        <f t="shared" si="1"/>
        <v>106.59223321998657</v>
      </c>
      <c r="I49" s="263"/>
    </row>
    <row r="50" spans="1:12" ht="15" customHeight="1">
      <c r="B50" s="135">
        <v>717131</v>
      </c>
      <c r="C50" s="206" t="s">
        <v>322</v>
      </c>
      <c r="D50" s="168">
        <v>750880</v>
      </c>
      <c r="E50" s="999">
        <v>734600</v>
      </c>
      <c r="F50" s="168">
        <v>572223</v>
      </c>
      <c r="G50" s="1112">
        <v>783030</v>
      </c>
      <c r="H50" s="142">
        <f t="shared" si="1"/>
        <v>106.59270351211543</v>
      </c>
      <c r="I50" s="263"/>
      <c r="J50" s="263"/>
    </row>
    <row r="51" spans="1:12" s="138" customFormat="1" ht="17.100000000000001" customHeight="1">
      <c r="B51" s="242">
        <v>719000</v>
      </c>
      <c r="C51" s="245" t="s">
        <v>192</v>
      </c>
      <c r="D51" s="244">
        <f>D52</f>
        <v>220</v>
      </c>
      <c r="E51" s="1004">
        <v>310</v>
      </c>
      <c r="F51" s="244">
        <f>F52</f>
        <v>179</v>
      </c>
      <c r="G51" s="1109">
        <f>G52</f>
        <v>300</v>
      </c>
      <c r="H51" s="224">
        <f t="shared" si="1"/>
        <v>96.774193548387103</v>
      </c>
      <c r="I51" s="311"/>
      <c r="J51" s="262"/>
      <c r="K51" s="205"/>
      <c r="L51" s="205"/>
    </row>
    <row r="52" spans="1:12" s="138" customFormat="1" ht="15" customHeight="1">
      <c r="B52" s="139">
        <v>719100</v>
      </c>
      <c r="C52" s="208" t="s">
        <v>323</v>
      </c>
      <c r="D52" s="136">
        <f>SUM(D53:D55)</f>
        <v>220</v>
      </c>
      <c r="E52" s="1002">
        <v>310</v>
      </c>
      <c r="F52" s="136">
        <f>SUM(F53:F55)</f>
        <v>179</v>
      </c>
      <c r="G52" s="1110">
        <f>SUM(G53:G55)</f>
        <v>300</v>
      </c>
      <c r="H52" s="150">
        <f t="shared" si="1"/>
        <v>96.774193548387103</v>
      </c>
      <c r="I52" s="311"/>
      <c r="J52" s="205"/>
      <c r="K52" s="205"/>
      <c r="L52" s="205"/>
    </row>
    <row r="53" spans="1:12" ht="15" customHeight="1" thickBot="1">
      <c r="A53" s="181"/>
      <c r="B53" s="135">
        <v>719111</v>
      </c>
      <c r="C53" s="206" t="s">
        <v>323</v>
      </c>
      <c r="D53" s="67">
        <v>100</v>
      </c>
      <c r="E53" s="1001">
        <v>100</v>
      </c>
      <c r="F53" s="67">
        <v>60</v>
      </c>
      <c r="G53" s="1111">
        <v>100</v>
      </c>
      <c r="H53" s="142">
        <f t="shared" si="1"/>
        <v>100</v>
      </c>
      <c r="I53" s="263"/>
    </row>
    <row r="54" spans="1:12" ht="15" customHeight="1">
      <c r="B54" s="216">
        <v>719114</v>
      </c>
      <c r="C54" s="217" t="s">
        <v>324</v>
      </c>
      <c r="D54" s="271">
        <v>50</v>
      </c>
      <c r="E54" s="1005">
        <v>150</v>
      </c>
      <c r="F54" s="271">
        <v>78</v>
      </c>
      <c r="G54" s="1114">
        <v>150</v>
      </c>
      <c r="H54" s="225">
        <f t="shared" si="1"/>
        <v>100</v>
      </c>
    </row>
    <row r="55" spans="1:12" ht="25.5">
      <c r="B55" s="135">
        <v>719115</v>
      </c>
      <c r="C55" s="209" t="s">
        <v>325</v>
      </c>
      <c r="D55" s="168">
        <v>70</v>
      </c>
      <c r="E55" s="1003">
        <v>60</v>
      </c>
      <c r="F55" s="168">
        <v>41</v>
      </c>
      <c r="G55" s="1112">
        <v>50</v>
      </c>
      <c r="H55" s="145">
        <f t="shared" si="1"/>
        <v>83.333333333333343</v>
      </c>
      <c r="I55" s="313"/>
    </row>
    <row r="56" spans="1:12">
      <c r="B56" s="135"/>
      <c r="C56" s="23"/>
      <c r="D56" s="67"/>
      <c r="E56" s="67"/>
      <c r="F56" s="67"/>
      <c r="G56" s="1111"/>
      <c r="H56" s="145" t="str">
        <f t="shared" si="1"/>
        <v/>
      </c>
      <c r="I56" s="313"/>
    </row>
    <row r="57" spans="1:12" ht="17.100000000000001" customHeight="1">
      <c r="B57" s="239">
        <v>720000</v>
      </c>
      <c r="C57" s="240" t="s">
        <v>187</v>
      </c>
      <c r="D57" s="241">
        <f>D58+D70+D140</f>
        <v>2391380</v>
      </c>
      <c r="E57" s="241">
        <f>E58+E70+E140</f>
        <v>2886330</v>
      </c>
      <c r="F57" s="241">
        <f>F58+F70+F140</f>
        <v>1968852</v>
      </c>
      <c r="G57" s="1108">
        <f>G58+G70+G140</f>
        <v>2624140</v>
      </c>
      <c r="H57" s="223">
        <f t="shared" si="1"/>
        <v>90.91614610941923</v>
      </c>
      <c r="I57" s="314"/>
      <c r="J57" s="263"/>
    </row>
    <row r="58" spans="1:12" ht="26.25">
      <c r="B58" s="242">
        <v>721000</v>
      </c>
      <c r="C58" s="246" t="s">
        <v>215</v>
      </c>
      <c r="D58" s="244">
        <f>D59+D62+D66+D68</f>
        <v>83380</v>
      </c>
      <c r="E58" s="1012">
        <v>119710</v>
      </c>
      <c r="F58" s="244">
        <f>F59+F62+F66+F68</f>
        <v>41607</v>
      </c>
      <c r="G58" s="1109">
        <f>G59+G62+G66+G68</f>
        <v>122040</v>
      </c>
      <c r="H58" s="224">
        <f t="shared" si="1"/>
        <v>101.94637039512153</v>
      </c>
    </row>
    <row r="59" spans="1:12" ht="15" customHeight="1">
      <c r="B59" s="139">
        <v>721100</v>
      </c>
      <c r="C59" s="208" t="s">
        <v>326</v>
      </c>
      <c r="D59" s="136">
        <f>SUM(D60:D61)</f>
        <v>73300</v>
      </c>
      <c r="E59" s="1008">
        <v>108510</v>
      </c>
      <c r="F59" s="136">
        <f>SUM(F60:F61)</f>
        <v>31326</v>
      </c>
      <c r="G59" s="1110">
        <f>SUM(G60:G61)</f>
        <v>111200</v>
      </c>
      <c r="H59" s="265">
        <f t="shared" si="1"/>
        <v>102.47903419039719</v>
      </c>
      <c r="J59" s="263"/>
    </row>
    <row r="60" spans="1:12" ht="15" customHeight="1">
      <c r="B60" s="135">
        <v>721112</v>
      </c>
      <c r="C60" s="206" t="s">
        <v>327</v>
      </c>
      <c r="D60" s="168">
        <v>300</v>
      </c>
      <c r="E60" s="1011">
        <v>190</v>
      </c>
      <c r="F60" s="168">
        <v>152</v>
      </c>
      <c r="G60" s="1112">
        <v>200</v>
      </c>
      <c r="H60" s="145">
        <f t="shared" si="1"/>
        <v>105.26315789473684</v>
      </c>
      <c r="I60" s="315"/>
    </row>
    <row r="61" spans="1:12" ht="15" customHeight="1">
      <c r="B61" s="135">
        <v>721121</v>
      </c>
      <c r="C61" s="206" t="s">
        <v>853</v>
      </c>
      <c r="D61" s="168">
        <v>73000</v>
      </c>
      <c r="E61" s="1011">
        <v>108320</v>
      </c>
      <c r="F61" s="168">
        <v>31174</v>
      </c>
      <c r="G61" s="1112">
        <v>111000</v>
      </c>
      <c r="H61" s="235">
        <f t="shared" si="1"/>
        <v>102.47415066469718</v>
      </c>
      <c r="I61" s="315"/>
      <c r="J61" s="263"/>
    </row>
    <row r="62" spans="1:12" ht="15" customHeight="1">
      <c r="B62" s="147">
        <v>721200</v>
      </c>
      <c r="C62" s="208" t="s">
        <v>328</v>
      </c>
      <c r="D62" s="66">
        <f>SUM(D63:D65)</f>
        <v>10000</v>
      </c>
      <c r="E62" s="1006">
        <v>10880</v>
      </c>
      <c r="F62" s="66">
        <f>SUM(F63:F65)</f>
        <v>10230</v>
      </c>
      <c r="G62" s="1110">
        <f>SUM(G63:G65)</f>
        <v>10540</v>
      </c>
      <c r="H62" s="137">
        <f t="shared" si="1"/>
        <v>96.875</v>
      </c>
    </row>
    <row r="63" spans="1:12" ht="15" customHeight="1">
      <c r="B63" s="148">
        <v>721211</v>
      </c>
      <c r="C63" s="206" t="s">
        <v>329</v>
      </c>
      <c r="D63" s="146">
        <v>1500</v>
      </c>
      <c r="E63" s="1010">
        <v>380</v>
      </c>
      <c r="F63" s="146">
        <v>263</v>
      </c>
      <c r="G63" s="1111">
        <v>440</v>
      </c>
      <c r="H63" s="145">
        <f t="shared" si="1"/>
        <v>115.78947368421053</v>
      </c>
      <c r="J63" s="263"/>
    </row>
    <row r="64" spans="1:12" ht="15" customHeight="1">
      <c r="B64" s="148">
        <v>721225</v>
      </c>
      <c r="C64" s="206" t="s">
        <v>638</v>
      </c>
      <c r="D64" s="141">
        <v>8500</v>
      </c>
      <c r="E64" s="1009">
        <v>8500</v>
      </c>
      <c r="F64" s="141">
        <v>8006</v>
      </c>
      <c r="G64" s="1112">
        <v>8100</v>
      </c>
      <c r="H64" s="145">
        <f t="shared" si="1"/>
        <v>95.294117647058812</v>
      </c>
    </row>
    <row r="65" spans="2:12" ht="15" customHeight="1">
      <c r="B65" s="148">
        <v>721227</v>
      </c>
      <c r="C65" s="206" t="s">
        <v>670</v>
      </c>
      <c r="D65" s="141">
        <v>0</v>
      </c>
      <c r="E65" s="1009">
        <v>2000</v>
      </c>
      <c r="F65" s="141">
        <v>1961</v>
      </c>
      <c r="G65" s="1112">
        <v>2000</v>
      </c>
      <c r="H65" s="145">
        <f t="shared" ref="H65" si="4">IF(E65=0,"",G65/E65*100)</f>
        <v>100</v>
      </c>
    </row>
    <row r="66" spans="2:12" ht="15" customHeight="1">
      <c r="B66" s="147">
        <v>721300</v>
      </c>
      <c r="C66" s="208" t="s">
        <v>330</v>
      </c>
      <c r="D66" s="66">
        <f>SUM(D67:D67)</f>
        <v>30</v>
      </c>
      <c r="E66" s="1006">
        <v>0</v>
      </c>
      <c r="F66" s="66">
        <f>SUM(F67:F67)</f>
        <v>0</v>
      </c>
      <c r="G66" s="1110">
        <f>SUM(G67:G67)</f>
        <v>0</v>
      </c>
      <c r="H66" s="137" t="str">
        <f t="shared" si="1"/>
        <v/>
      </c>
      <c r="J66" s="263"/>
    </row>
    <row r="67" spans="2:12" ht="15" customHeight="1">
      <c r="B67" s="148">
        <v>721312</v>
      </c>
      <c r="C67" s="206" t="s">
        <v>331</v>
      </c>
      <c r="D67" s="67">
        <v>30</v>
      </c>
      <c r="E67" s="1007">
        <v>0</v>
      </c>
      <c r="F67" s="67">
        <v>0</v>
      </c>
      <c r="G67" s="1111">
        <v>0</v>
      </c>
      <c r="H67" s="145" t="str">
        <f t="shared" si="1"/>
        <v/>
      </c>
      <c r="J67" s="263"/>
    </row>
    <row r="68" spans="2:12" ht="15" customHeight="1">
      <c r="B68" s="147">
        <v>721500</v>
      </c>
      <c r="C68" s="208" t="s">
        <v>332</v>
      </c>
      <c r="D68" s="66">
        <f>D69</f>
        <v>50</v>
      </c>
      <c r="E68" s="1006">
        <v>320</v>
      </c>
      <c r="F68" s="66">
        <f>F69</f>
        <v>51</v>
      </c>
      <c r="G68" s="1110">
        <f>G69</f>
        <v>300</v>
      </c>
      <c r="H68" s="137">
        <f t="shared" si="1"/>
        <v>93.75</v>
      </c>
    </row>
    <row r="69" spans="2:12" ht="15" customHeight="1">
      <c r="B69" s="148">
        <v>721511</v>
      </c>
      <c r="C69" s="206" t="s">
        <v>332</v>
      </c>
      <c r="D69" s="67">
        <v>50</v>
      </c>
      <c r="E69" s="1007">
        <v>320</v>
      </c>
      <c r="F69" s="67">
        <v>51</v>
      </c>
      <c r="G69" s="1111">
        <v>300</v>
      </c>
      <c r="H69" s="145">
        <f t="shared" si="1"/>
        <v>93.75</v>
      </c>
      <c r="J69" s="263"/>
    </row>
    <row r="70" spans="2:12" ht="15">
      <c r="B70" s="242">
        <v>722000</v>
      </c>
      <c r="C70" s="243" t="s">
        <v>395</v>
      </c>
      <c r="D70" s="247">
        <f>D71+D73+D75+D90+D128+D135</f>
        <v>1823930</v>
      </c>
      <c r="E70" s="1016">
        <v>2314370</v>
      </c>
      <c r="F70" s="247">
        <f>F71+F73+F75+F90+F128+F135</f>
        <v>1618151</v>
      </c>
      <c r="G70" s="1108">
        <f>G71+G73+G75+G90+G128+G135</f>
        <v>2062200</v>
      </c>
      <c r="H70" s="224">
        <f t="shared" si="1"/>
        <v>89.104162255819077</v>
      </c>
    </row>
    <row r="71" spans="2:12" ht="15" customHeight="1">
      <c r="B71" s="139">
        <v>722100</v>
      </c>
      <c r="C71" s="155" t="s">
        <v>333</v>
      </c>
      <c r="D71" s="153">
        <f>D72</f>
        <v>118500</v>
      </c>
      <c r="E71" s="1015">
        <v>122500</v>
      </c>
      <c r="F71" s="153">
        <f>F72</f>
        <v>88954</v>
      </c>
      <c r="G71" s="1113">
        <f>G72</f>
        <v>128910</v>
      </c>
      <c r="H71" s="137">
        <f t="shared" si="1"/>
        <v>105.2326530612245</v>
      </c>
      <c r="J71" s="263"/>
    </row>
    <row r="72" spans="2:12" ht="15" customHeight="1">
      <c r="B72" s="143">
        <v>722121</v>
      </c>
      <c r="C72" s="212" t="s">
        <v>334</v>
      </c>
      <c r="D72" s="141">
        <v>118500</v>
      </c>
      <c r="E72" s="1013">
        <v>122500</v>
      </c>
      <c r="F72" s="141">
        <v>88954</v>
      </c>
      <c r="G72" s="1112">
        <v>128910</v>
      </c>
      <c r="H72" s="145">
        <f t="shared" si="1"/>
        <v>105.2326530612245</v>
      </c>
    </row>
    <row r="73" spans="2:12" ht="15" customHeight="1">
      <c r="B73" s="139">
        <v>722200</v>
      </c>
      <c r="C73" s="155" t="s">
        <v>335</v>
      </c>
      <c r="D73" s="153">
        <f>D74</f>
        <v>365300</v>
      </c>
      <c r="E73" s="1015">
        <v>391400</v>
      </c>
      <c r="F73" s="153">
        <f>F74</f>
        <v>271284</v>
      </c>
      <c r="G73" s="1113">
        <f>G74</f>
        <v>381800</v>
      </c>
      <c r="H73" s="137">
        <f t="shared" si="1"/>
        <v>97.54726622381196</v>
      </c>
      <c r="J73" s="263"/>
      <c r="L73" s="316"/>
    </row>
    <row r="74" spans="2:12" ht="15" customHeight="1">
      <c r="B74" s="143">
        <v>722221</v>
      </c>
      <c r="C74" s="212" t="s">
        <v>336</v>
      </c>
      <c r="D74" s="141">
        <v>365300</v>
      </c>
      <c r="E74" s="1013">
        <v>391400</v>
      </c>
      <c r="F74" s="141">
        <v>271284</v>
      </c>
      <c r="G74" s="1112">
        <v>381800</v>
      </c>
      <c r="H74" s="145">
        <f t="shared" si="1"/>
        <v>97.54726622381196</v>
      </c>
    </row>
    <row r="75" spans="2:12" ht="15" customHeight="1">
      <c r="B75" s="139">
        <v>722400</v>
      </c>
      <c r="C75" s="155" t="s">
        <v>337</v>
      </c>
      <c r="D75" s="153">
        <f>D76+D82+D85</f>
        <v>174340</v>
      </c>
      <c r="E75" s="1015">
        <v>449540</v>
      </c>
      <c r="F75" s="153">
        <f>F76+F82+F85</f>
        <v>179130</v>
      </c>
      <c r="G75" s="1113">
        <f>G76+G82+G85</f>
        <v>221530</v>
      </c>
      <c r="H75" s="137">
        <f t="shared" si="1"/>
        <v>49.279263246874585</v>
      </c>
    </row>
    <row r="76" spans="2:12" ht="15" customHeight="1">
      <c r="B76" s="156">
        <v>722420</v>
      </c>
      <c r="C76" s="213" t="s">
        <v>338</v>
      </c>
      <c r="D76" s="144">
        <f>D77+D78+D80+D81</f>
        <v>25540</v>
      </c>
      <c r="E76" s="1014">
        <v>299740</v>
      </c>
      <c r="F76" s="144">
        <f>F77+F78+F80+F81</f>
        <v>52307</v>
      </c>
      <c r="G76" s="1115">
        <f>G77+G78+G80+G81</f>
        <v>41730</v>
      </c>
      <c r="H76" s="137">
        <f t="shared" ref="H76:H144" si="5">IF(E76=0,"",G76/E76*100)</f>
        <v>13.922065790351636</v>
      </c>
    </row>
    <row r="77" spans="2:12" ht="15" customHeight="1">
      <c r="B77" s="143">
        <v>722421</v>
      </c>
      <c r="C77" s="212" t="s">
        <v>338</v>
      </c>
      <c r="D77" s="141">
        <v>20</v>
      </c>
      <c r="E77" s="1013">
        <v>20</v>
      </c>
      <c r="F77" s="141">
        <v>0</v>
      </c>
      <c r="G77" s="1112">
        <v>20</v>
      </c>
      <c r="H77" s="145">
        <f>IF(E77=0,"",G77/E77*100)</f>
        <v>100</v>
      </c>
    </row>
    <row r="78" spans="2:12" ht="15" customHeight="1">
      <c r="B78" s="143">
        <v>722422</v>
      </c>
      <c r="C78" s="212" t="s">
        <v>403</v>
      </c>
      <c r="D78" s="141">
        <f>D79</f>
        <v>20500</v>
      </c>
      <c r="E78" s="1013">
        <v>291680</v>
      </c>
      <c r="F78" s="141">
        <f>F79</f>
        <v>46226</v>
      </c>
      <c r="G78" s="1112">
        <f>G79</f>
        <v>34060</v>
      </c>
      <c r="H78" s="145">
        <f t="shared" si="5"/>
        <v>11.677180471749862</v>
      </c>
    </row>
    <row r="79" spans="2:12" ht="15" customHeight="1">
      <c r="B79" s="143"/>
      <c r="C79" s="214" t="s">
        <v>652</v>
      </c>
      <c r="D79" s="141">
        <v>20500</v>
      </c>
      <c r="E79" s="1013">
        <v>291680</v>
      </c>
      <c r="F79" s="141">
        <v>46226</v>
      </c>
      <c r="G79" s="1112">
        <v>34060</v>
      </c>
      <c r="H79" s="145">
        <f t="shared" si="5"/>
        <v>11.677180471749862</v>
      </c>
      <c r="I79" s="315"/>
    </row>
    <row r="80" spans="2:12" ht="15" customHeight="1">
      <c r="B80" s="143">
        <v>722424</v>
      </c>
      <c r="C80" s="212" t="s">
        <v>341</v>
      </c>
      <c r="D80" s="141">
        <v>5000</v>
      </c>
      <c r="E80" s="1013">
        <v>5440</v>
      </c>
      <c r="F80" s="141">
        <v>4081</v>
      </c>
      <c r="G80" s="1112">
        <v>5180</v>
      </c>
      <c r="H80" s="145">
        <f t="shared" si="5"/>
        <v>95.220588235294116</v>
      </c>
      <c r="J80" s="263"/>
    </row>
    <row r="81" spans="2:11" ht="15" customHeight="1">
      <c r="B81" s="143">
        <v>722429</v>
      </c>
      <c r="C81" s="212" t="s">
        <v>339</v>
      </c>
      <c r="D81" s="141">
        <v>20</v>
      </c>
      <c r="E81" s="1013">
        <v>2600</v>
      </c>
      <c r="F81" s="141">
        <v>2000</v>
      </c>
      <c r="G81" s="1112">
        <v>2470</v>
      </c>
      <c r="H81" s="145">
        <f t="shared" si="5"/>
        <v>95</v>
      </c>
      <c r="K81" s="263"/>
    </row>
    <row r="82" spans="2:11" ht="15" customHeight="1">
      <c r="B82" s="154">
        <v>722450</v>
      </c>
      <c r="C82" s="213" t="s">
        <v>340</v>
      </c>
      <c r="D82" s="151">
        <f>SUM(D83:D84)</f>
        <v>7100</v>
      </c>
      <c r="E82" s="1018">
        <v>8990</v>
      </c>
      <c r="F82" s="151">
        <f>SUM(F83:F84)</f>
        <v>8234</v>
      </c>
      <c r="G82" s="1115">
        <f>SUM(G83:G84)</f>
        <v>8780</v>
      </c>
      <c r="H82" s="137">
        <f t="shared" si="5"/>
        <v>97.664071190211345</v>
      </c>
    </row>
    <row r="83" spans="2:11" ht="15" customHeight="1">
      <c r="B83" s="143">
        <v>722451</v>
      </c>
      <c r="C83" s="212" t="s">
        <v>342</v>
      </c>
      <c r="D83" s="141">
        <v>5200</v>
      </c>
      <c r="E83" s="1017">
        <v>6900</v>
      </c>
      <c r="F83" s="141">
        <v>6667</v>
      </c>
      <c r="G83" s="1112">
        <v>6960</v>
      </c>
      <c r="H83" s="145">
        <f t="shared" si="5"/>
        <v>100.8695652173913</v>
      </c>
    </row>
    <row r="84" spans="2:11" ht="15" customHeight="1">
      <c r="B84" s="143">
        <v>722454</v>
      </c>
      <c r="C84" s="212" t="s">
        <v>343</v>
      </c>
      <c r="D84" s="141">
        <v>1900</v>
      </c>
      <c r="E84" s="1017">
        <v>2090</v>
      </c>
      <c r="F84" s="141">
        <v>1567</v>
      </c>
      <c r="G84" s="1112">
        <v>1820</v>
      </c>
      <c r="H84" s="145">
        <f t="shared" si="5"/>
        <v>87.081339712918663</v>
      </c>
    </row>
    <row r="85" spans="2:11" ht="25.5">
      <c r="B85" s="154">
        <v>722470</v>
      </c>
      <c r="C85" s="215" t="s">
        <v>396</v>
      </c>
      <c r="D85" s="151">
        <f>D86+D88+D89</f>
        <v>141700</v>
      </c>
      <c r="E85" s="1018">
        <v>140810</v>
      </c>
      <c r="F85" s="151">
        <f>F86+F88+F89</f>
        <v>118589</v>
      </c>
      <c r="G85" s="1115">
        <f>G86+G88+G89</f>
        <v>171020</v>
      </c>
      <c r="H85" s="137">
        <f t="shared" si="5"/>
        <v>121.45444215609686</v>
      </c>
      <c r="J85" s="263"/>
    </row>
    <row r="86" spans="2:11" ht="15" customHeight="1">
      <c r="B86" s="143">
        <v>722471</v>
      </c>
      <c r="C86" s="212" t="s">
        <v>344</v>
      </c>
      <c r="D86" s="141">
        <f>D87</f>
        <v>121500</v>
      </c>
      <c r="E86" s="1017">
        <v>106310</v>
      </c>
      <c r="F86" s="141">
        <f>F87</f>
        <v>92659</v>
      </c>
      <c r="G86" s="1112">
        <f>G87</f>
        <v>137420</v>
      </c>
      <c r="H86" s="145">
        <f t="shared" si="5"/>
        <v>129.26347474367418</v>
      </c>
      <c r="J86" s="263"/>
    </row>
    <row r="87" spans="2:11" ht="15" customHeight="1">
      <c r="B87" s="143"/>
      <c r="C87" s="214" t="s">
        <v>845</v>
      </c>
      <c r="D87" s="141">
        <f>105500+16000</f>
        <v>121500</v>
      </c>
      <c r="E87" s="1017">
        <v>106310</v>
      </c>
      <c r="F87" s="141">
        <v>92659</v>
      </c>
      <c r="G87" s="1112">
        <f>115760-8720+380+30000</f>
        <v>137420</v>
      </c>
      <c r="H87" s="145">
        <f t="shared" si="5"/>
        <v>129.26347474367418</v>
      </c>
    </row>
    <row r="88" spans="2:11" ht="25.5">
      <c r="B88" s="143">
        <v>722472</v>
      </c>
      <c r="C88" s="214" t="s">
        <v>345</v>
      </c>
      <c r="D88" s="141">
        <v>17500</v>
      </c>
      <c r="E88" s="1017">
        <v>19400</v>
      </c>
      <c r="F88" s="141">
        <v>12690</v>
      </c>
      <c r="G88" s="1112">
        <v>19780</v>
      </c>
      <c r="H88" s="145">
        <f t="shared" si="5"/>
        <v>101.95876288659792</v>
      </c>
    </row>
    <row r="89" spans="2:11" ht="17.100000000000001" customHeight="1">
      <c r="B89" s="143">
        <v>722479</v>
      </c>
      <c r="C89" s="214" t="s">
        <v>639</v>
      </c>
      <c r="D89" s="141">
        <v>2700</v>
      </c>
      <c r="E89" s="1017">
        <v>15100</v>
      </c>
      <c r="F89" s="141">
        <v>13240</v>
      </c>
      <c r="G89" s="1112">
        <v>13820</v>
      </c>
      <c r="H89" s="145">
        <f t="shared" si="5"/>
        <v>91.523178807947019</v>
      </c>
    </row>
    <row r="90" spans="2:11" ht="17.100000000000001" customHeight="1">
      <c r="B90" s="139">
        <v>722500</v>
      </c>
      <c r="C90" s="51" t="s">
        <v>651</v>
      </c>
      <c r="D90" s="157">
        <f>D91+D96+D107+D112+D114+D121</f>
        <v>760000</v>
      </c>
      <c r="E90" s="1023">
        <v>861280</v>
      </c>
      <c r="F90" s="157">
        <f>F91+F96+F107+F112+F114+F121</f>
        <v>720012</v>
      </c>
      <c r="G90" s="1113">
        <f>G91+G96+G107+G112+G114+G121</f>
        <v>869050</v>
      </c>
      <c r="H90" s="137">
        <f t="shared" si="5"/>
        <v>100.9021456436931</v>
      </c>
    </row>
    <row r="91" spans="2:11" ht="27" customHeight="1">
      <c r="B91" s="154">
        <v>722510</v>
      </c>
      <c r="C91" s="158" t="s">
        <v>397</v>
      </c>
      <c r="D91" s="151">
        <f>SUM(D92:D95)</f>
        <v>9330</v>
      </c>
      <c r="E91" s="1022">
        <v>19350</v>
      </c>
      <c r="F91" s="151">
        <f t="shared" ref="F91:G91" si="6">SUM(F92:F95)</f>
        <v>15166</v>
      </c>
      <c r="G91" s="1115">
        <f t="shared" si="6"/>
        <v>17800</v>
      </c>
      <c r="H91" s="137">
        <f t="shared" si="5"/>
        <v>91.989664082687341</v>
      </c>
    </row>
    <row r="92" spans="2:11" ht="25.5">
      <c r="B92" s="135">
        <v>722511</v>
      </c>
      <c r="C92" s="85" t="s">
        <v>671</v>
      </c>
      <c r="D92" s="118">
        <v>0</v>
      </c>
      <c r="E92" s="1019">
        <v>20</v>
      </c>
      <c r="F92" s="118">
        <v>15</v>
      </c>
      <c r="G92" s="1112">
        <v>20</v>
      </c>
      <c r="H92" s="145">
        <f t="shared" ref="H92" si="7">IF(E92=0,"",G92/E92*100)</f>
        <v>100</v>
      </c>
    </row>
    <row r="93" spans="2:11" ht="25.5">
      <c r="B93" s="135">
        <v>722514</v>
      </c>
      <c r="C93" s="85" t="s">
        <v>360</v>
      </c>
      <c r="D93" s="118">
        <v>3000</v>
      </c>
      <c r="E93" s="1019">
        <v>2100</v>
      </c>
      <c r="F93" s="118">
        <v>1744</v>
      </c>
      <c r="G93" s="1112">
        <v>2040</v>
      </c>
      <c r="H93" s="145">
        <f t="shared" si="5"/>
        <v>97.142857142857139</v>
      </c>
    </row>
    <row r="94" spans="2:11" ht="15" customHeight="1">
      <c r="B94" s="135">
        <v>722515</v>
      </c>
      <c r="C94" s="86" t="s">
        <v>346</v>
      </c>
      <c r="D94" s="118">
        <v>6300</v>
      </c>
      <c r="E94" s="1019">
        <v>17210</v>
      </c>
      <c r="F94" s="118">
        <v>13407</v>
      </c>
      <c r="G94" s="1112">
        <v>15720</v>
      </c>
      <c r="H94" s="145">
        <f t="shared" si="5"/>
        <v>91.342242882045326</v>
      </c>
    </row>
    <row r="95" spans="2:11" ht="15" customHeight="1">
      <c r="B95" s="135">
        <v>722516</v>
      </c>
      <c r="C95" s="86" t="s">
        <v>347</v>
      </c>
      <c r="D95" s="118">
        <v>30</v>
      </c>
      <c r="E95" s="1019">
        <v>20</v>
      </c>
      <c r="F95" s="118">
        <v>0</v>
      </c>
      <c r="G95" s="1112">
        <v>20</v>
      </c>
      <c r="H95" s="145">
        <f t="shared" si="5"/>
        <v>100</v>
      </c>
    </row>
    <row r="96" spans="2:11" ht="15" customHeight="1">
      <c r="B96" s="154">
        <v>722520</v>
      </c>
      <c r="C96" s="159" t="s">
        <v>348</v>
      </c>
      <c r="D96" s="151">
        <f>D97+D99+D100+D101+D102+D103+D104+D105+D106</f>
        <v>207630</v>
      </c>
      <c r="E96" s="1022">
        <v>270630</v>
      </c>
      <c r="F96" s="151">
        <f>F97+F99+F100+F101+F102+F103+F104+F105+F106</f>
        <v>198668</v>
      </c>
      <c r="G96" s="1115">
        <f>G97+G99+G100+G101+G102+G103+G104+G105+G106</f>
        <v>260040</v>
      </c>
      <c r="H96" s="137">
        <f t="shared" si="5"/>
        <v>96.086908325019408</v>
      </c>
    </row>
    <row r="97" spans="2:8" ht="25.5">
      <c r="B97" s="135">
        <v>722521</v>
      </c>
      <c r="C97" s="85" t="s">
        <v>361</v>
      </c>
      <c r="D97" s="118">
        <f>D98</f>
        <v>92500</v>
      </c>
      <c r="E97" s="1019">
        <v>98910</v>
      </c>
      <c r="F97" s="118">
        <f>F98</f>
        <v>70476</v>
      </c>
      <c r="G97" s="1112">
        <f>G98</f>
        <v>92880</v>
      </c>
      <c r="H97" s="145">
        <f t="shared" si="5"/>
        <v>93.903548680618741</v>
      </c>
    </row>
    <row r="98" spans="2:8" ht="15" customHeight="1">
      <c r="B98" s="143"/>
      <c r="C98" s="214" t="s">
        <v>846</v>
      </c>
      <c r="D98" s="118">
        <v>92500</v>
      </c>
      <c r="E98" s="1019">
        <v>98910</v>
      </c>
      <c r="F98" s="118">
        <v>70476</v>
      </c>
      <c r="G98" s="1112">
        <v>92880</v>
      </c>
      <c r="H98" s="145">
        <f t="shared" si="5"/>
        <v>93.903548680618741</v>
      </c>
    </row>
    <row r="99" spans="2:8" ht="25.5" customHeight="1">
      <c r="B99" s="216">
        <v>722522</v>
      </c>
      <c r="C99" s="218" t="s">
        <v>362</v>
      </c>
      <c r="D99" s="219">
        <v>31100</v>
      </c>
      <c r="E99" s="1024">
        <v>27210</v>
      </c>
      <c r="F99" s="219">
        <v>19478</v>
      </c>
      <c r="G99" s="1114">
        <v>26680</v>
      </c>
      <c r="H99" s="226">
        <f t="shared" si="5"/>
        <v>98.052186696067622</v>
      </c>
    </row>
    <row r="100" spans="2:8" ht="25.5">
      <c r="B100" s="135">
        <v>722523</v>
      </c>
      <c r="C100" s="85" t="s">
        <v>363</v>
      </c>
      <c r="D100" s="118">
        <v>5800</v>
      </c>
      <c r="E100" s="1024">
        <v>4910</v>
      </c>
      <c r="F100" s="118">
        <v>3793</v>
      </c>
      <c r="G100" s="1112">
        <v>4950</v>
      </c>
      <c r="H100" s="142">
        <f t="shared" si="5"/>
        <v>100.81466395112015</v>
      </c>
    </row>
    <row r="101" spans="2:8" ht="27" customHeight="1">
      <c r="B101" s="135">
        <v>722524</v>
      </c>
      <c r="C101" s="319" t="s">
        <v>648</v>
      </c>
      <c r="D101" s="118">
        <v>500</v>
      </c>
      <c r="E101" s="1024">
        <v>420</v>
      </c>
      <c r="F101" s="118">
        <v>332</v>
      </c>
      <c r="G101" s="1112">
        <v>410</v>
      </c>
      <c r="H101" s="142">
        <f t="shared" si="5"/>
        <v>97.61904761904762</v>
      </c>
    </row>
    <row r="102" spans="2:8" ht="25.5">
      <c r="B102" s="135">
        <v>722525</v>
      </c>
      <c r="C102" s="319" t="s">
        <v>647</v>
      </c>
      <c r="D102" s="118">
        <v>100</v>
      </c>
      <c r="E102" s="1024">
        <v>180</v>
      </c>
      <c r="F102" s="118">
        <v>135</v>
      </c>
      <c r="G102" s="1112">
        <v>160</v>
      </c>
      <c r="H102" s="142">
        <f t="shared" si="5"/>
        <v>88.888888888888886</v>
      </c>
    </row>
    <row r="103" spans="2:8" ht="25.5">
      <c r="B103" s="135">
        <v>722526</v>
      </c>
      <c r="C103" s="85" t="s">
        <v>650</v>
      </c>
      <c r="D103" s="118">
        <v>30</v>
      </c>
      <c r="E103" s="1024">
        <v>20</v>
      </c>
      <c r="F103" s="118">
        <v>0</v>
      </c>
      <c r="G103" s="1112">
        <v>20</v>
      </c>
      <c r="H103" s="142">
        <f t="shared" si="5"/>
        <v>100</v>
      </c>
    </row>
    <row r="104" spans="2:8" ht="15" customHeight="1">
      <c r="B104" s="135">
        <v>722527</v>
      </c>
      <c r="C104" s="86" t="s">
        <v>538</v>
      </c>
      <c r="D104" s="118">
        <v>5200</v>
      </c>
      <c r="E104" s="1024">
        <v>53220</v>
      </c>
      <c r="F104" s="118">
        <v>42169</v>
      </c>
      <c r="G104" s="1112">
        <v>49450</v>
      </c>
      <c r="H104" s="236">
        <f t="shared" si="5"/>
        <v>92.916196918451703</v>
      </c>
    </row>
    <row r="105" spans="2:8" ht="15" customHeight="1">
      <c r="B105" s="135">
        <v>722528</v>
      </c>
      <c r="C105" s="86" t="s">
        <v>349</v>
      </c>
      <c r="D105" s="118">
        <v>1000</v>
      </c>
      <c r="E105" s="1024">
        <v>1050</v>
      </c>
      <c r="F105" s="118">
        <v>790</v>
      </c>
      <c r="G105" s="1112">
        <v>1130</v>
      </c>
      <c r="H105" s="142">
        <f t="shared" si="5"/>
        <v>107.61904761904762</v>
      </c>
    </row>
    <row r="106" spans="2:8" ht="15" customHeight="1">
      <c r="B106" s="135">
        <v>722529</v>
      </c>
      <c r="C106" s="86" t="s">
        <v>350</v>
      </c>
      <c r="D106" s="118">
        <v>71400</v>
      </c>
      <c r="E106" s="1024">
        <v>84710</v>
      </c>
      <c r="F106" s="118">
        <v>61495</v>
      </c>
      <c r="G106" s="1112">
        <v>84360</v>
      </c>
      <c r="H106" s="142">
        <f t="shared" si="5"/>
        <v>99.586825640420258</v>
      </c>
    </row>
    <row r="107" spans="2:8" ht="15" customHeight="1">
      <c r="B107" s="154">
        <v>722530</v>
      </c>
      <c r="C107" s="159" t="s">
        <v>351</v>
      </c>
      <c r="D107" s="151">
        <f>SUM(D108:D111)</f>
        <v>331960</v>
      </c>
      <c r="E107" s="1022">
        <v>361310</v>
      </c>
      <c r="F107" s="151">
        <f>SUM(F108:F111)</f>
        <v>265153</v>
      </c>
      <c r="G107" s="1115">
        <f>SUM(G108:G111)</f>
        <v>340550</v>
      </c>
      <c r="H107" s="150">
        <f t="shared" si="5"/>
        <v>94.254241510060609</v>
      </c>
    </row>
    <row r="108" spans="2:8" ht="15" customHeight="1">
      <c r="B108" s="135">
        <v>722531</v>
      </c>
      <c r="C108" s="86" t="s">
        <v>352</v>
      </c>
      <c r="D108" s="118">
        <v>90500</v>
      </c>
      <c r="E108" s="1019">
        <v>106700</v>
      </c>
      <c r="F108" s="118">
        <v>78521</v>
      </c>
      <c r="G108" s="1112">
        <v>97960</v>
      </c>
      <c r="H108" s="142">
        <f t="shared" si="5"/>
        <v>91.808809746954083</v>
      </c>
    </row>
    <row r="109" spans="2:8" ht="15" customHeight="1">
      <c r="B109" s="135">
        <v>722532</v>
      </c>
      <c r="C109" s="86" t="s">
        <v>353</v>
      </c>
      <c r="D109" s="118">
        <v>241400</v>
      </c>
      <c r="E109" s="1019">
        <v>254580</v>
      </c>
      <c r="F109" s="118">
        <v>186628</v>
      </c>
      <c r="G109" s="1112">
        <v>242560</v>
      </c>
      <c r="H109" s="142">
        <f t="shared" si="5"/>
        <v>95.278497918139678</v>
      </c>
    </row>
    <row r="110" spans="2:8" ht="15" customHeight="1">
      <c r="B110" s="135">
        <v>722538</v>
      </c>
      <c r="C110" s="86" t="s">
        <v>354</v>
      </c>
      <c r="D110" s="118">
        <v>50</v>
      </c>
      <c r="E110" s="1019">
        <v>20</v>
      </c>
      <c r="F110" s="118">
        <v>0</v>
      </c>
      <c r="G110" s="1112">
        <v>20</v>
      </c>
      <c r="H110" s="142">
        <f t="shared" si="5"/>
        <v>100</v>
      </c>
    </row>
    <row r="111" spans="2:8" ht="15" customHeight="1">
      <c r="B111" s="135">
        <v>722539</v>
      </c>
      <c r="C111" s="86" t="s">
        <v>542</v>
      </c>
      <c r="D111" s="118">
        <v>10</v>
      </c>
      <c r="E111" s="1019">
        <v>10</v>
      </c>
      <c r="F111" s="118">
        <v>4</v>
      </c>
      <c r="G111" s="1112">
        <v>10</v>
      </c>
      <c r="H111" s="142">
        <f t="shared" si="5"/>
        <v>100</v>
      </c>
    </row>
    <row r="112" spans="2:8" ht="15" customHeight="1">
      <c r="B112" s="154">
        <v>722540</v>
      </c>
      <c r="C112" s="159" t="s">
        <v>355</v>
      </c>
      <c r="D112" s="151">
        <f>D113</f>
        <v>1200</v>
      </c>
      <c r="E112" s="1022">
        <v>200</v>
      </c>
      <c r="F112" s="151">
        <f>F113</f>
        <v>170</v>
      </c>
      <c r="G112" s="1115">
        <f>G113</f>
        <v>200</v>
      </c>
      <c r="H112" s="150">
        <f t="shared" si="5"/>
        <v>100</v>
      </c>
    </row>
    <row r="113" spans="2:10" ht="15" customHeight="1">
      <c r="B113" s="135">
        <v>722541</v>
      </c>
      <c r="C113" s="86" t="s">
        <v>356</v>
      </c>
      <c r="D113" s="118">
        <v>1200</v>
      </c>
      <c r="E113" s="1019">
        <v>200</v>
      </c>
      <c r="F113" s="118">
        <v>170</v>
      </c>
      <c r="G113" s="1112">
        <v>200</v>
      </c>
      <c r="H113" s="142">
        <f t="shared" si="5"/>
        <v>100</v>
      </c>
    </row>
    <row r="114" spans="2:10" ht="15" customHeight="1">
      <c r="B114" s="154">
        <v>722550</v>
      </c>
      <c r="C114" s="159" t="s">
        <v>357</v>
      </c>
      <c r="D114" s="151">
        <f>D115+D117+D119</f>
        <v>180000</v>
      </c>
      <c r="E114" s="1022">
        <v>180000</v>
      </c>
      <c r="F114" s="151">
        <f>F115+F117+F119</f>
        <v>188224</v>
      </c>
      <c r="G114" s="1115">
        <f>G115+G117+G119</f>
        <v>180000</v>
      </c>
      <c r="H114" s="150">
        <f t="shared" si="5"/>
        <v>100</v>
      </c>
      <c r="J114" s="262"/>
    </row>
    <row r="115" spans="2:10" ht="15" customHeight="1">
      <c r="B115" s="135">
        <v>722551</v>
      </c>
      <c r="C115" s="86" t="s">
        <v>358</v>
      </c>
      <c r="D115" s="118">
        <f>D116</f>
        <v>11000</v>
      </c>
      <c r="E115" s="1019">
        <v>48700</v>
      </c>
      <c r="F115" s="118">
        <f>F116</f>
        <v>48635</v>
      </c>
      <c r="G115" s="1112">
        <f>G116</f>
        <v>13760</v>
      </c>
      <c r="H115" s="142">
        <f t="shared" si="5"/>
        <v>28.254620123203285</v>
      </c>
    </row>
    <row r="116" spans="2:10" ht="15" customHeight="1">
      <c r="B116" s="143"/>
      <c r="C116" s="214" t="s">
        <v>846</v>
      </c>
      <c r="D116" s="118">
        <v>11000</v>
      </c>
      <c r="E116" s="1019">
        <v>48700</v>
      </c>
      <c r="F116" s="118">
        <v>48635</v>
      </c>
      <c r="G116" s="1112">
        <v>13760</v>
      </c>
      <c r="H116" s="142">
        <f t="shared" si="5"/>
        <v>28.254620123203285</v>
      </c>
    </row>
    <row r="117" spans="2:10" ht="25.5">
      <c r="B117" s="135">
        <v>722555</v>
      </c>
      <c r="C117" s="85" t="s">
        <v>364</v>
      </c>
      <c r="D117" s="118">
        <f>D118</f>
        <v>81450</v>
      </c>
      <c r="E117" s="1019">
        <v>84250</v>
      </c>
      <c r="F117" s="118">
        <f>F118</f>
        <v>47181</v>
      </c>
      <c r="G117" s="1112">
        <f>G118</f>
        <v>60890</v>
      </c>
      <c r="H117" s="142">
        <f t="shared" si="5"/>
        <v>72.272997032640944</v>
      </c>
    </row>
    <row r="118" spans="2:10" ht="17.100000000000001" customHeight="1">
      <c r="B118" s="143"/>
      <c r="C118" s="214" t="s">
        <v>846</v>
      </c>
      <c r="D118" s="118">
        <f>61000+20450</f>
        <v>81450</v>
      </c>
      <c r="E118" s="1019">
        <v>84250</v>
      </c>
      <c r="F118" s="118">
        <v>47181</v>
      </c>
      <c r="G118" s="1112">
        <f>60890</f>
        <v>60890</v>
      </c>
      <c r="H118" s="142">
        <f t="shared" si="5"/>
        <v>72.272997032640944</v>
      </c>
    </row>
    <row r="119" spans="2:10" ht="25.5">
      <c r="B119" s="135">
        <v>722556</v>
      </c>
      <c r="C119" s="85" t="s">
        <v>365</v>
      </c>
      <c r="D119" s="118">
        <f>D120</f>
        <v>87550</v>
      </c>
      <c r="E119" s="1019">
        <v>47050</v>
      </c>
      <c r="F119" s="118">
        <f>F120</f>
        <v>92408</v>
      </c>
      <c r="G119" s="1112">
        <f>G120</f>
        <v>105350</v>
      </c>
      <c r="H119" s="142">
        <f t="shared" si="5"/>
        <v>223.9107332624867</v>
      </c>
    </row>
    <row r="120" spans="2:10" ht="15" customHeight="1">
      <c r="B120" s="143"/>
      <c r="C120" s="214" t="s">
        <v>537</v>
      </c>
      <c r="D120" s="118">
        <f>180000-11000-81450</f>
        <v>87550</v>
      </c>
      <c r="E120" s="1019">
        <v>47050</v>
      </c>
      <c r="F120" s="118">
        <v>92408</v>
      </c>
      <c r="G120" s="1112">
        <f>119840-14490</f>
        <v>105350</v>
      </c>
      <c r="H120" s="142">
        <f t="shared" si="5"/>
        <v>223.9107332624867</v>
      </c>
    </row>
    <row r="121" spans="2:10" ht="15" customHeight="1">
      <c r="B121" s="154">
        <v>722580</v>
      </c>
      <c r="C121" s="159" t="s">
        <v>366</v>
      </c>
      <c r="D121" s="151">
        <f>D122+D124+D125+D126+D127</f>
        <v>29880</v>
      </c>
      <c r="E121" s="1022">
        <v>29790</v>
      </c>
      <c r="F121" s="151">
        <f>F122+F124+F125+F126+F127</f>
        <v>52631</v>
      </c>
      <c r="G121" s="1115">
        <f>G122+G124+G125+G126+G127</f>
        <v>70460</v>
      </c>
      <c r="H121" s="150">
        <f t="shared" si="5"/>
        <v>236.52232292715678</v>
      </c>
    </row>
    <row r="122" spans="2:10" ht="25.5">
      <c r="B122" s="135">
        <v>722581</v>
      </c>
      <c r="C122" s="85" t="s">
        <v>649</v>
      </c>
      <c r="D122" s="118">
        <f>D123</f>
        <v>22780</v>
      </c>
      <c r="E122" s="1019">
        <v>18690</v>
      </c>
      <c r="F122" s="118">
        <f>F123</f>
        <v>43481</v>
      </c>
      <c r="G122" s="1112">
        <f>G123</f>
        <v>57700</v>
      </c>
      <c r="H122" s="142">
        <f t="shared" si="5"/>
        <v>308.721241305511</v>
      </c>
    </row>
    <row r="123" spans="2:10" ht="15" customHeight="1">
      <c r="B123" s="143"/>
      <c r="C123" s="214" t="s">
        <v>844</v>
      </c>
      <c r="D123" s="118">
        <v>22780</v>
      </c>
      <c r="E123" s="1019">
        <v>18690</v>
      </c>
      <c r="F123" s="118">
        <v>43481</v>
      </c>
      <c r="G123" s="1112">
        <v>57700</v>
      </c>
      <c r="H123" s="142">
        <f t="shared" si="5"/>
        <v>308.721241305511</v>
      </c>
      <c r="J123" s="262"/>
    </row>
    <row r="124" spans="2:10" ht="37.5" customHeight="1">
      <c r="B124" s="135">
        <v>722582</v>
      </c>
      <c r="C124" s="319" t="s">
        <v>646</v>
      </c>
      <c r="D124" s="118">
        <v>3700</v>
      </c>
      <c r="E124" s="1019">
        <v>8900</v>
      </c>
      <c r="F124" s="118">
        <v>7298</v>
      </c>
      <c r="G124" s="1112">
        <v>10230</v>
      </c>
      <c r="H124" s="142">
        <f t="shared" si="5"/>
        <v>114.94382022471909</v>
      </c>
    </row>
    <row r="125" spans="2:10" ht="26.25" customHeight="1">
      <c r="B125" s="135">
        <v>722583</v>
      </c>
      <c r="C125" s="85" t="s">
        <v>367</v>
      </c>
      <c r="D125" s="118">
        <v>1700</v>
      </c>
      <c r="E125" s="1019">
        <v>1050</v>
      </c>
      <c r="F125" s="118">
        <v>894</v>
      </c>
      <c r="G125" s="1112">
        <v>1290</v>
      </c>
      <c r="H125" s="142">
        <f t="shared" si="5"/>
        <v>122.85714285714286</v>
      </c>
    </row>
    <row r="126" spans="2:10" ht="25.5">
      <c r="B126" s="135">
        <v>722584</v>
      </c>
      <c r="C126" s="85" t="s">
        <v>368</v>
      </c>
      <c r="D126" s="118">
        <v>1200</v>
      </c>
      <c r="E126" s="1019">
        <v>620</v>
      </c>
      <c r="F126" s="118">
        <v>508</v>
      </c>
      <c r="G126" s="1112">
        <v>770</v>
      </c>
      <c r="H126" s="142">
        <f t="shared" si="5"/>
        <v>124.19354838709677</v>
      </c>
    </row>
    <row r="127" spans="2:10" ht="25.5">
      <c r="B127" s="135">
        <v>722585</v>
      </c>
      <c r="C127" s="85" t="s">
        <v>369</v>
      </c>
      <c r="D127" s="118">
        <v>500</v>
      </c>
      <c r="E127" s="1019">
        <v>530</v>
      </c>
      <c r="F127" s="118">
        <v>450</v>
      </c>
      <c r="G127" s="1112">
        <v>470</v>
      </c>
      <c r="H127" s="142">
        <f t="shared" si="5"/>
        <v>88.679245283018872</v>
      </c>
    </row>
    <row r="128" spans="2:10" ht="15" customHeight="1">
      <c r="B128" s="139">
        <v>722600</v>
      </c>
      <c r="C128" s="51" t="s">
        <v>359</v>
      </c>
      <c r="D128" s="157">
        <f>SUM(D129:D134)</f>
        <v>404720</v>
      </c>
      <c r="E128" s="1023">
        <v>486480</v>
      </c>
      <c r="F128" s="157">
        <f>SUM(F129:F134)</f>
        <v>356273</v>
      </c>
      <c r="G128" s="1113">
        <f>SUM(G129:G134)</f>
        <v>460000</v>
      </c>
      <c r="H128" s="150">
        <f t="shared" si="5"/>
        <v>94.556816313106395</v>
      </c>
    </row>
    <row r="129" spans="2:8" ht="15" customHeight="1">
      <c r="B129" s="143">
        <v>722611</v>
      </c>
      <c r="C129" s="86" t="s">
        <v>370</v>
      </c>
      <c r="D129" s="118">
        <v>140500</v>
      </c>
      <c r="E129" s="1019">
        <v>143130</v>
      </c>
      <c r="F129" s="118">
        <v>103222</v>
      </c>
      <c r="G129" s="1112">
        <v>137240</v>
      </c>
      <c r="H129" s="142">
        <f t="shared" si="5"/>
        <v>95.884859917557463</v>
      </c>
    </row>
    <row r="130" spans="2:8" ht="15" customHeight="1">
      <c r="B130" s="143">
        <v>722612</v>
      </c>
      <c r="C130" s="86" t="s">
        <v>371</v>
      </c>
      <c r="D130" s="118">
        <v>49800</v>
      </c>
      <c r="E130" s="1019">
        <v>41430</v>
      </c>
      <c r="F130" s="118">
        <v>32570</v>
      </c>
      <c r="G130" s="1112">
        <v>38960</v>
      </c>
      <c r="H130" s="142">
        <f t="shared" si="5"/>
        <v>94.038136615978758</v>
      </c>
    </row>
    <row r="131" spans="2:8" ht="15" customHeight="1">
      <c r="B131" s="143">
        <v>722613</v>
      </c>
      <c r="C131" s="86" t="s">
        <v>372</v>
      </c>
      <c r="D131" s="118">
        <v>9500</v>
      </c>
      <c r="E131" s="1019">
        <v>9400</v>
      </c>
      <c r="F131" s="118">
        <v>6770</v>
      </c>
      <c r="G131" s="1112">
        <v>9620</v>
      </c>
      <c r="H131" s="142">
        <f t="shared" si="5"/>
        <v>102.34042553191489</v>
      </c>
    </row>
    <row r="132" spans="2:8" ht="15" customHeight="1">
      <c r="B132" s="143">
        <v>722621</v>
      </c>
      <c r="C132" s="86" t="s">
        <v>373</v>
      </c>
      <c r="D132" s="118">
        <v>149900</v>
      </c>
      <c r="E132" s="1019">
        <v>166100</v>
      </c>
      <c r="F132" s="118">
        <v>105522</v>
      </c>
      <c r="G132" s="1112">
        <v>149420</v>
      </c>
      <c r="H132" s="142">
        <f t="shared" si="5"/>
        <v>89.957856712823599</v>
      </c>
    </row>
    <row r="133" spans="2:8" ht="15" customHeight="1">
      <c r="B133" s="143">
        <v>722631</v>
      </c>
      <c r="C133" s="86" t="s">
        <v>374</v>
      </c>
      <c r="D133" s="118">
        <v>55000</v>
      </c>
      <c r="E133" s="1019">
        <v>126200</v>
      </c>
      <c r="F133" s="118">
        <v>108009</v>
      </c>
      <c r="G133" s="1112">
        <v>124570</v>
      </c>
      <c r="H133" s="142">
        <f t="shared" si="5"/>
        <v>98.708399366085573</v>
      </c>
    </row>
    <row r="134" spans="2:8" ht="15" customHeight="1">
      <c r="B134" s="143">
        <v>722632</v>
      </c>
      <c r="C134" s="86" t="s">
        <v>543</v>
      </c>
      <c r="D134" s="118">
        <v>20</v>
      </c>
      <c r="E134" s="1019">
        <v>220</v>
      </c>
      <c r="F134" s="118">
        <v>180</v>
      </c>
      <c r="G134" s="1112">
        <v>190</v>
      </c>
      <c r="H134" s="142">
        <f t="shared" si="5"/>
        <v>86.36363636363636</v>
      </c>
    </row>
    <row r="135" spans="2:8" ht="15" customHeight="1">
      <c r="B135" s="154">
        <v>722700</v>
      </c>
      <c r="C135" s="51" t="s">
        <v>375</v>
      </c>
      <c r="D135" s="157">
        <f>SUM(D136:D139)</f>
        <v>1070</v>
      </c>
      <c r="E135" s="1023">
        <v>3170</v>
      </c>
      <c r="F135" s="157">
        <f t="shared" ref="F135:G135" si="8">SUM(F136:F139)</f>
        <v>2498</v>
      </c>
      <c r="G135" s="1113">
        <f t="shared" si="8"/>
        <v>910</v>
      </c>
      <c r="H135" s="150">
        <f t="shared" si="5"/>
        <v>28.706624605678233</v>
      </c>
    </row>
    <row r="136" spans="2:8" ht="15" customHeight="1">
      <c r="B136" s="143">
        <v>722715</v>
      </c>
      <c r="C136" s="86" t="s">
        <v>672</v>
      </c>
      <c r="D136" s="118">
        <v>0</v>
      </c>
      <c r="E136" s="1019">
        <v>1700</v>
      </c>
      <c r="F136" s="118">
        <v>1677</v>
      </c>
      <c r="G136" s="1112">
        <v>0</v>
      </c>
      <c r="H136" s="142">
        <f t="shared" ref="H136" si="9">IF(E136=0,"",G136/E136*100)</f>
        <v>0</v>
      </c>
    </row>
    <row r="137" spans="2:8" ht="15" customHeight="1">
      <c r="B137" s="143">
        <v>722719</v>
      </c>
      <c r="C137" s="86" t="s">
        <v>539</v>
      </c>
      <c r="D137" s="118">
        <v>50</v>
      </c>
      <c r="E137" s="1019">
        <v>50</v>
      </c>
      <c r="F137" s="118">
        <v>0</v>
      </c>
      <c r="G137" s="1112">
        <v>50</v>
      </c>
      <c r="H137" s="142">
        <f t="shared" si="5"/>
        <v>100</v>
      </c>
    </row>
    <row r="138" spans="2:8" ht="15" customHeight="1">
      <c r="B138" s="143">
        <v>722732</v>
      </c>
      <c r="C138" s="86" t="s">
        <v>376</v>
      </c>
      <c r="D138" s="118">
        <v>20</v>
      </c>
      <c r="E138" s="1019">
        <v>420</v>
      </c>
      <c r="F138" s="118">
        <v>413</v>
      </c>
      <c r="G138" s="1112">
        <v>430</v>
      </c>
      <c r="H138" s="142">
        <f t="shared" si="5"/>
        <v>102.38095238095238</v>
      </c>
    </row>
    <row r="139" spans="2:8" ht="15" customHeight="1">
      <c r="B139" s="143">
        <v>722791</v>
      </c>
      <c r="C139" s="86" t="s">
        <v>377</v>
      </c>
      <c r="D139" s="118">
        <v>1000</v>
      </c>
      <c r="E139" s="1019">
        <v>1000</v>
      </c>
      <c r="F139" s="118">
        <v>408</v>
      </c>
      <c r="G139" s="1112">
        <v>430</v>
      </c>
      <c r="H139" s="142">
        <f t="shared" si="5"/>
        <v>43</v>
      </c>
    </row>
    <row r="140" spans="2:8" ht="17.100000000000001" customHeight="1">
      <c r="B140" s="242">
        <v>723000</v>
      </c>
      <c r="C140" s="243" t="s">
        <v>193</v>
      </c>
      <c r="D140" s="244">
        <f>D141</f>
        <v>484070</v>
      </c>
      <c r="E140" s="1026">
        <v>452250</v>
      </c>
      <c r="F140" s="244">
        <f>F141</f>
        <v>309094</v>
      </c>
      <c r="G140" s="1109">
        <f>G141</f>
        <v>439900</v>
      </c>
      <c r="H140" s="224">
        <f t="shared" si="5"/>
        <v>97.269209508015479</v>
      </c>
    </row>
    <row r="141" spans="2:8" ht="15" customHeight="1">
      <c r="B141" s="147">
        <v>723100</v>
      </c>
      <c r="C141" s="158" t="s">
        <v>378</v>
      </c>
      <c r="D141" s="151">
        <f>SUM(D142:D145)</f>
        <v>484070</v>
      </c>
      <c r="E141" s="1022">
        <v>452250</v>
      </c>
      <c r="F141" s="151">
        <f>SUM(F142:F145)</f>
        <v>309094</v>
      </c>
      <c r="G141" s="1115">
        <f>SUM(G142:G145)</f>
        <v>439900</v>
      </c>
      <c r="H141" s="142">
        <f t="shared" si="5"/>
        <v>97.269209508015479</v>
      </c>
    </row>
    <row r="142" spans="2:8" ht="15" customHeight="1">
      <c r="B142" s="143">
        <v>723121</v>
      </c>
      <c r="C142" s="23" t="s">
        <v>379</v>
      </c>
      <c r="D142" s="146">
        <v>50</v>
      </c>
      <c r="E142" s="1021">
        <v>150</v>
      </c>
      <c r="F142" s="146">
        <v>100</v>
      </c>
      <c r="G142" s="1111">
        <v>120</v>
      </c>
      <c r="H142" s="142">
        <f t="shared" si="5"/>
        <v>80</v>
      </c>
    </row>
    <row r="143" spans="2:8" ht="15" customHeight="1">
      <c r="B143" s="143">
        <v>723122</v>
      </c>
      <c r="C143" s="23" t="s">
        <v>380</v>
      </c>
      <c r="D143" s="141">
        <v>20</v>
      </c>
      <c r="E143" s="1020">
        <v>90</v>
      </c>
      <c r="F143" s="141">
        <v>70</v>
      </c>
      <c r="G143" s="1112">
        <v>150</v>
      </c>
      <c r="H143" s="142">
        <f t="shared" si="5"/>
        <v>166.66666666666669</v>
      </c>
    </row>
    <row r="144" spans="2:8" ht="25.5">
      <c r="B144" s="143">
        <v>723123</v>
      </c>
      <c r="C144" s="49" t="s">
        <v>382</v>
      </c>
      <c r="D144" s="146">
        <v>480000</v>
      </c>
      <c r="E144" s="1021">
        <v>443400</v>
      </c>
      <c r="F144" s="146">
        <v>303574</v>
      </c>
      <c r="G144" s="1111">
        <f>420600+11230</f>
        <v>431830</v>
      </c>
      <c r="H144" s="142">
        <f t="shared" si="5"/>
        <v>97.39061795218764</v>
      </c>
    </row>
    <row r="145" spans="2:10" ht="15" customHeight="1">
      <c r="B145" s="220">
        <v>723129</v>
      </c>
      <c r="C145" s="221" t="s">
        <v>381</v>
      </c>
      <c r="D145" s="222">
        <v>4000</v>
      </c>
      <c r="E145" s="1025">
        <v>8610</v>
      </c>
      <c r="F145" s="222">
        <v>5350</v>
      </c>
      <c r="G145" s="1116">
        <v>7800</v>
      </c>
      <c r="H145" s="225">
        <f t="shared" ref="H145:H205" si="10">IF(E145=0,"",G145/E145*100)</f>
        <v>90.592334494773525</v>
      </c>
    </row>
    <row r="146" spans="2:10">
      <c r="B146" s="143"/>
      <c r="C146" s="134"/>
      <c r="D146" s="146"/>
      <c r="E146" s="146"/>
      <c r="F146" s="146"/>
      <c r="G146" s="1111"/>
      <c r="H146" s="145" t="str">
        <f t="shared" si="10"/>
        <v/>
      </c>
    </row>
    <row r="147" spans="2:10" ht="17.100000000000001" customHeight="1">
      <c r="B147" s="1240" t="s">
        <v>401</v>
      </c>
      <c r="C147" s="1241"/>
      <c r="D147" s="162">
        <f>D5+D57</f>
        <v>39404570</v>
      </c>
      <c r="E147" s="162">
        <f>E5+E57</f>
        <v>37957590</v>
      </c>
      <c r="F147" s="162">
        <f>F5+F57</f>
        <v>29282545</v>
      </c>
      <c r="G147" s="1117">
        <f>G5+G57</f>
        <v>39822260</v>
      </c>
      <c r="H147" s="227">
        <f t="shared" si="10"/>
        <v>104.91250893431328</v>
      </c>
      <c r="J147" s="263"/>
    </row>
    <row r="148" spans="2:10">
      <c r="B148" s="52"/>
      <c r="C148" s="50"/>
      <c r="D148" s="67"/>
      <c r="E148" s="67"/>
      <c r="F148" s="67"/>
      <c r="G148" s="1111"/>
      <c r="H148" s="145" t="str">
        <f t="shared" si="10"/>
        <v/>
      </c>
    </row>
    <row r="149" spans="2:10" ht="17.100000000000001" customHeight="1">
      <c r="B149" s="239">
        <v>730000</v>
      </c>
      <c r="C149" s="248" t="s">
        <v>454</v>
      </c>
      <c r="D149" s="241">
        <f>D150+D157+D172</f>
        <v>2828310</v>
      </c>
      <c r="E149" s="241">
        <f>E150+E157+E172</f>
        <v>3112340</v>
      </c>
      <c r="F149" s="241">
        <f>F150+F157+F172</f>
        <v>1341099</v>
      </c>
      <c r="G149" s="1108">
        <f>G150+G157+G172</f>
        <v>1366000</v>
      </c>
      <c r="H149" s="223">
        <f t="shared" si="10"/>
        <v>43.889806383621327</v>
      </c>
    </row>
    <row r="150" spans="2:10" ht="26.25">
      <c r="B150" s="249">
        <v>731000</v>
      </c>
      <c r="C150" s="250" t="s">
        <v>436</v>
      </c>
      <c r="D150" s="251">
        <f>D151</f>
        <v>0</v>
      </c>
      <c r="E150" s="251">
        <f>E151</f>
        <v>139470</v>
      </c>
      <c r="F150" s="251">
        <f>F151</f>
        <v>88345</v>
      </c>
      <c r="G150" s="1109">
        <f>G151</f>
        <v>77800</v>
      </c>
      <c r="H150" s="224">
        <f t="shared" si="10"/>
        <v>55.782605578260558</v>
      </c>
    </row>
    <row r="151" spans="2:10" ht="15" customHeight="1">
      <c r="B151" s="154">
        <v>731100</v>
      </c>
      <c r="C151" s="213" t="s">
        <v>437</v>
      </c>
      <c r="D151" s="151">
        <f>D152+D153</f>
        <v>0</v>
      </c>
      <c r="E151" s="151">
        <f>E152+E153</f>
        <v>139470</v>
      </c>
      <c r="F151" s="151">
        <f>F152+F153</f>
        <v>88345</v>
      </c>
      <c r="G151" s="1115">
        <f>G152+G153</f>
        <v>77800</v>
      </c>
      <c r="H151" s="137">
        <f t="shared" si="10"/>
        <v>55.782605578260558</v>
      </c>
    </row>
    <row r="152" spans="2:10" ht="15" customHeight="1">
      <c r="B152" s="266">
        <v>731111</v>
      </c>
      <c r="C152" s="206" t="s">
        <v>558</v>
      </c>
      <c r="D152" s="267">
        <v>0</v>
      </c>
      <c r="E152" s="267">
        <v>0</v>
      </c>
      <c r="F152" s="267">
        <v>0</v>
      </c>
      <c r="G152" s="1111">
        <v>0</v>
      </c>
      <c r="H152" s="268" t="str">
        <f>IF(E152=0,"",G152/E152*100)</f>
        <v/>
      </c>
    </row>
    <row r="153" spans="2:10" ht="15" customHeight="1">
      <c r="B153" s="266">
        <v>731121</v>
      </c>
      <c r="C153" s="206" t="s">
        <v>438</v>
      </c>
      <c r="D153" s="267">
        <f>SUM(D154:D156)</f>
        <v>0</v>
      </c>
      <c r="E153" s="1029">
        <v>139470</v>
      </c>
      <c r="F153" s="267">
        <f t="shared" ref="F153:G153" si="11">SUM(F154:F156)</f>
        <v>88345</v>
      </c>
      <c r="G153" s="1111">
        <f t="shared" si="11"/>
        <v>77800</v>
      </c>
      <c r="H153" s="268">
        <f t="shared" si="10"/>
        <v>55.782605578260558</v>
      </c>
    </row>
    <row r="154" spans="2:10" ht="15" customHeight="1">
      <c r="B154" s="266"/>
      <c r="C154" s="1027" t="s">
        <v>751</v>
      </c>
      <c r="D154" s="269">
        <v>0</v>
      </c>
      <c r="E154" s="1028">
        <v>50000</v>
      </c>
      <c r="F154" s="269">
        <v>0</v>
      </c>
      <c r="G154" s="1112">
        <v>0</v>
      </c>
      <c r="H154" s="268">
        <f t="shared" ref="H154" si="12">IF(E154=0,"",G154/E154*100)</f>
        <v>0</v>
      </c>
    </row>
    <row r="155" spans="2:10" ht="15" customHeight="1">
      <c r="B155" s="266"/>
      <c r="C155" s="214" t="s">
        <v>640</v>
      </c>
      <c r="D155" s="269">
        <v>0</v>
      </c>
      <c r="E155" s="1028">
        <v>1120</v>
      </c>
      <c r="F155" s="269">
        <v>0</v>
      </c>
      <c r="G155" s="1112">
        <v>0</v>
      </c>
      <c r="H155" s="268">
        <f t="shared" si="10"/>
        <v>0</v>
      </c>
    </row>
    <row r="156" spans="2:10" ht="15" customHeight="1">
      <c r="B156" s="266"/>
      <c r="C156" s="214" t="s">
        <v>862</v>
      </c>
      <c r="D156" s="269">
        <v>0</v>
      </c>
      <c r="E156" s="1028">
        <v>88350</v>
      </c>
      <c r="F156" s="269">
        <v>88345</v>
      </c>
      <c r="G156" s="1112">
        <v>77800</v>
      </c>
      <c r="H156" s="268">
        <f t="shared" si="10"/>
        <v>88.058856819468019</v>
      </c>
    </row>
    <row r="157" spans="2:10" ht="17.100000000000001" customHeight="1">
      <c r="B157" s="252">
        <v>732000</v>
      </c>
      <c r="C157" s="250" t="s">
        <v>439</v>
      </c>
      <c r="D157" s="251">
        <f>D158</f>
        <v>2828310</v>
      </c>
      <c r="E157" s="251">
        <f>E158</f>
        <v>2972470</v>
      </c>
      <c r="F157" s="251">
        <f>F158</f>
        <v>1252354</v>
      </c>
      <c r="G157" s="1109">
        <f>G158</f>
        <v>1288200</v>
      </c>
      <c r="H157" s="224">
        <f t="shared" si="10"/>
        <v>43.337695586498768</v>
      </c>
    </row>
    <row r="158" spans="2:10" ht="15" customHeight="1">
      <c r="B158" s="154">
        <v>732100</v>
      </c>
      <c r="C158" s="213" t="s">
        <v>440</v>
      </c>
      <c r="D158" s="151">
        <f>D159+D167+D169</f>
        <v>2828310</v>
      </c>
      <c r="E158" s="151">
        <f>E159+E167+E169</f>
        <v>2972470</v>
      </c>
      <c r="F158" s="151">
        <f>F159+F167+F169</f>
        <v>1252354</v>
      </c>
      <c r="G158" s="1115">
        <f>G159+G167+G169</f>
        <v>1288200</v>
      </c>
      <c r="H158" s="137">
        <f t="shared" si="10"/>
        <v>43.337695586498768</v>
      </c>
    </row>
    <row r="159" spans="2:10" ht="15" customHeight="1">
      <c r="B159" s="139">
        <v>732110</v>
      </c>
      <c r="C159" s="149" t="s">
        <v>441</v>
      </c>
      <c r="D159" s="157">
        <f>D160+D166</f>
        <v>2782400</v>
      </c>
      <c r="E159" s="157">
        <f>E160+E166</f>
        <v>2931700</v>
      </c>
      <c r="F159" s="157">
        <f>F160+F166</f>
        <v>1214902</v>
      </c>
      <c r="G159" s="1113">
        <f>G160+G166</f>
        <v>1266000</v>
      </c>
      <c r="H159" s="137">
        <f t="shared" si="10"/>
        <v>43.183136064399498</v>
      </c>
    </row>
    <row r="160" spans="2:10" ht="15" customHeight="1">
      <c r="B160" s="266">
        <v>732112</v>
      </c>
      <c r="C160" s="206" t="s">
        <v>442</v>
      </c>
      <c r="D160" s="267">
        <f>SUM(D161:D165)</f>
        <v>2782400</v>
      </c>
      <c r="E160" s="1031">
        <v>2926700</v>
      </c>
      <c r="F160" s="267">
        <f>SUM(F161:F165)</f>
        <v>1209902</v>
      </c>
      <c r="G160" s="1111">
        <f>SUM(G161:G165)</f>
        <v>1266000</v>
      </c>
      <c r="H160" s="268">
        <f t="shared" si="10"/>
        <v>43.25691051354768</v>
      </c>
    </row>
    <row r="161" spans="2:10" ht="15" customHeight="1">
      <c r="B161" s="266"/>
      <c r="C161" s="214" t="s">
        <v>544</v>
      </c>
      <c r="D161" s="269">
        <v>9400</v>
      </c>
      <c r="E161" s="1030">
        <v>0</v>
      </c>
      <c r="F161" s="269">
        <v>0</v>
      </c>
      <c r="G161" s="1112">
        <v>0</v>
      </c>
      <c r="H161" s="268"/>
    </row>
    <row r="162" spans="2:10" ht="25.5">
      <c r="B162" s="266"/>
      <c r="C162" s="214" t="s">
        <v>399</v>
      </c>
      <c r="D162" s="269">
        <v>273000</v>
      </c>
      <c r="E162" s="1030">
        <v>266900</v>
      </c>
      <c r="F162" s="269">
        <v>200102</v>
      </c>
      <c r="G162" s="1112">
        <v>266000</v>
      </c>
      <c r="H162" s="268">
        <f t="shared" si="10"/>
        <v>99.662795054327475</v>
      </c>
    </row>
    <row r="163" spans="2:10" ht="25.5">
      <c r="B163" s="266"/>
      <c r="C163" s="214" t="s">
        <v>752</v>
      </c>
      <c r="D163" s="269">
        <v>0</v>
      </c>
      <c r="E163" s="1030">
        <v>150000</v>
      </c>
      <c r="F163" s="269">
        <v>0</v>
      </c>
      <c r="G163" s="1112">
        <v>0</v>
      </c>
      <c r="H163" s="268">
        <f t="shared" si="10"/>
        <v>0</v>
      </c>
    </row>
    <row r="164" spans="2:10" ht="25.5">
      <c r="B164" s="266"/>
      <c r="C164" s="214" t="s">
        <v>839</v>
      </c>
      <c r="D164" s="269">
        <v>0</v>
      </c>
      <c r="E164" s="1030">
        <v>9800</v>
      </c>
      <c r="F164" s="269">
        <v>9800</v>
      </c>
      <c r="G164" s="1112">
        <v>0</v>
      </c>
      <c r="H164" s="268">
        <f>IF(E164=0,"",G164/E164*100)</f>
        <v>0</v>
      </c>
    </row>
    <row r="165" spans="2:10" ht="17.100000000000001" customHeight="1">
      <c r="B165" s="266"/>
      <c r="C165" s="214" t="s">
        <v>400</v>
      </c>
      <c r="D165" s="269">
        <v>2500000</v>
      </c>
      <c r="E165" s="1030">
        <v>2500000</v>
      </c>
      <c r="F165" s="269">
        <v>1000000</v>
      </c>
      <c r="G165" s="1112">
        <v>1000000</v>
      </c>
      <c r="H165" s="268">
        <f t="shared" si="10"/>
        <v>40</v>
      </c>
    </row>
    <row r="166" spans="2:10" ht="15" customHeight="1">
      <c r="B166" s="266">
        <v>732115</v>
      </c>
      <c r="C166" s="206" t="s">
        <v>680</v>
      </c>
      <c r="D166" s="267">
        <v>0</v>
      </c>
      <c r="E166" s="267">
        <v>5000</v>
      </c>
      <c r="F166" s="267">
        <v>5000</v>
      </c>
      <c r="G166" s="1111">
        <v>0</v>
      </c>
      <c r="H166" s="268">
        <f t="shared" ref="H166" si="13">IF(E166=0,"",G166/E166*100)</f>
        <v>0</v>
      </c>
      <c r="J166" s="263"/>
    </row>
    <row r="167" spans="2:10" ht="15" customHeight="1">
      <c r="B167" s="139">
        <v>732120</v>
      </c>
      <c r="C167" s="149" t="s">
        <v>443</v>
      </c>
      <c r="D167" s="157">
        <f>SUM(D168:D168)</f>
        <v>20710</v>
      </c>
      <c r="E167" s="1033">
        <v>18160</v>
      </c>
      <c r="F167" s="157">
        <f>SUM(F168:F168)</f>
        <v>17842</v>
      </c>
      <c r="G167" s="1113">
        <f>SUM(G168:G168)</f>
        <v>0</v>
      </c>
      <c r="H167" s="137">
        <f t="shared" si="10"/>
        <v>0</v>
      </c>
    </row>
    <row r="168" spans="2:10" ht="15" customHeight="1">
      <c r="B168" s="148">
        <v>732125</v>
      </c>
      <c r="C168" s="212" t="s">
        <v>641</v>
      </c>
      <c r="D168" s="118">
        <v>20710</v>
      </c>
      <c r="E168" s="1032">
        <v>18160</v>
      </c>
      <c r="F168" s="118">
        <v>17842</v>
      </c>
      <c r="G168" s="1112">
        <v>0</v>
      </c>
      <c r="H168" s="268">
        <f t="shared" si="10"/>
        <v>0</v>
      </c>
      <c r="I168" s="320"/>
    </row>
    <row r="169" spans="2:10" ht="15" customHeight="1">
      <c r="B169" s="139">
        <v>732130</v>
      </c>
      <c r="C169" s="149" t="s">
        <v>629</v>
      </c>
      <c r="D169" s="157">
        <f>SUM(D170:D171)</f>
        <v>25200</v>
      </c>
      <c r="E169" s="1033">
        <v>22610</v>
      </c>
      <c r="F169" s="157">
        <f t="shared" ref="F169" si="14">SUM(F170:F171)</f>
        <v>19610</v>
      </c>
      <c r="G169" s="1113">
        <f>SUM(G170:G171)</f>
        <v>22200</v>
      </c>
      <c r="H169" s="137">
        <f t="shared" ref="H169:H170" si="15">IF(E169=0,"",G169/E169*100)</f>
        <v>98.186643078283936</v>
      </c>
    </row>
    <row r="170" spans="2:10" ht="15" customHeight="1">
      <c r="B170" s="148">
        <v>732131</v>
      </c>
      <c r="C170" s="212" t="s">
        <v>657</v>
      </c>
      <c r="D170" s="118">
        <v>18000</v>
      </c>
      <c r="E170" s="1034">
        <v>22610</v>
      </c>
      <c r="F170" s="118">
        <v>19610</v>
      </c>
      <c r="G170" s="1112">
        <v>15000</v>
      </c>
      <c r="H170" s="268">
        <f t="shared" si="15"/>
        <v>66.34232640424591</v>
      </c>
    </row>
    <row r="171" spans="2:10" ht="15" customHeight="1">
      <c r="B171" s="148">
        <v>732131</v>
      </c>
      <c r="C171" s="212" t="s">
        <v>658</v>
      </c>
      <c r="D171" s="118">
        <v>7200</v>
      </c>
      <c r="E171" s="1034">
        <v>0</v>
      </c>
      <c r="F171" s="118">
        <v>0</v>
      </c>
      <c r="G171" s="1112">
        <v>7200</v>
      </c>
      <c r="H171" s="268" t="str">
        <f t="shared" ref="H171" si="16">IF(E171=0,"",G171/E171*100)</f>
        <v/>
      </c>
    </row>
    <row r="172" spans="2:10" ht="17.100000000000001" customHeight="1">
      <c r="B172" s="252">
        <v>733000</v>
      </c>
      <c r="C172" s="250" t="s">
        <v>383</v>
      </c>
      <c r="D172" s="251">
        <f>D173</f>
        <v>0</v>
      </c>
      <c r="E172" s="251">
        <f>E173</f>
        <v>400</v>
      </c>
      <c r="F172" s="251">
        <f>F173</f>
        <v>400</v>
      </c>
      <c r="G172" s="1109">
        <f>G173</f>
        <v>0</v>
      </c>
      <c r="H172" s="224">
        <f t="shared" si="10"/>
        <v>0</v>
      </c>
    </row>
    <row r="173" spans="2:10" ht="15" customHeight="1">
      <c r="B173" s="154">
        <v>733100</v>
      </c>
      <c r="C173" s="213" t="s">
        <v>384</v>
      </c>
      <c r="D173" s="151">
        <f>D174+D175</f>
        <v>0</v>
      </c>
      <c r="E173" s="151">
        <f>E174+E175</f>
        <v>400</v>
      </c>
      <c r="F173" s="151">
        <f>F174+F175</f>
        <v>400</v>
      </c>
      <c r="G173" s="1115">
        <f>G174+G175</f>
        <v>0</v>
      </c>
      <c r="H173" s="137">
        <f t="shared" si="10"/>
        <v>0</v>
      </c>
    </row>
    <row r="174" spans="2:10" ht="15" customHeight="1">
      <c r="B174" s="139">
        <v>733110</v>
      </c>
      <c r="C174" s="149" t="s">
        <v>385</v>
      </c>
      <c r="D174" s="157">
        <v>0</v>
      </c>
      <c r="E174" s="157">
        <v>400</v>
      </c>
      <c r="F174" s="157">
        <v>400</v>
      </c>
      <c r="G174" s="1113">
        <v>0</v>
      </c>
      <c r="H174" s="137">
        <f t="shared" si="10"/>
        <v>0</v>
      </c>
    </row>
    <row r="175" spans="2:10" ht="15" customHeight="1">
      <c r="B175" s="139">
        <v>733120</v>
      </c>
      <c r="C175" s="149" t="s">
        <v>386</v>
      </c>
      <c r="D175" s="157">
        <v>0</v>
      </c>
      <c r="E175" s="157">
        <v>0</v>
      </c>
      <c r="F175" s="157">
        <v>0</v>
      </c>
      <c r="G175" s="1113">
        <v>0</v>
      </c>
      <c r="H175" s="137" t="str">
        <f t="shared" si="10"/>
        <v/>
      </c>
    </row>
    <row r="176" spans="2:10" ht="15">
      <c r="B176" s="36"/>
      <c r="C176" s="51"/>
      <c r="D176" s="66"/>
      <c r="E176" s="66"/>
      <c r="F176" s="66"/>
      <c r="G176" s="1110"/>
      <c r="H176" s="268" t="str">
        <f t="shared" si="10"/>
        <v/>
      </c>
    </row>
    <row r="177" spans="2:8" ht="17.100000000000001" customHeight="1">
      <c r="B177" s="239">
        <v>740000</v>
      </c>
      <c r="C177" s="248" t="s">
        <v>444</v>
      </c>
      <c r="D177" s="241">
        <f>D178+D186</f>
        <v>210200</v>
      </c>
      <c r="E177" s="241">
        <f>E178+E186</f>
        <v>1015200</v>
      </c>
      <c r="F177" s="241">
        <f>F178+F186</f>
        <v>55524</v>
      </c>
      <c r="G177" s="1108">
        <f>G178+G186</f>
        <v>26650</v>
      </c>
      <c r="H177" s="223">
        <f t="shared" si="10"/>
        <v>2.6250985027580773</v>
      </c>
    </row>
    <row r="178" spans="2:8" ht="26.25">
      <c r="B178" s="252">
        <v>741000</v>
      </c>
      <c r="C178" s="250" t="s">
        <v>445</v>
      </c>
      <c r="D178" s="251">
        <f t="shared" ref="D178:G179" si="17">D179</f>
        <v>100000</v>
      </c>
      <c r="E178" s="251">
        <f t="shared" si="17"/>
        <v>286180</v>
      </c>
      <c r="F178" s="251">
        <f t="shared" si="17"/>
        <v>36709</v>
      </c>
      <c r="G178" s="1109">
        <f t="shared" si="17"/>
        <v>5150</v>
      </c>
      <c r="H178" s="224">
        <f t="shared" si="10"/>
        <v>1.7995667062687821</v>
      </c>
    </row>
    <row r="179" spans="2:8" ht="25.5">
      <c r="B179" s="154">
        <v>741100</v>
      </c>
      <c r="C179" s="215" t="s">
        <v>446</v>
      </c>
      <c r="D179" s="151">
        <f t="shared" si="17"/>
        <v>100000</v>
      </c>
      <c r="E179" s="1037">
        <v>286180</v>
      </c>
      <c r="F179" s="151">
        <f t="shared" si="17"/>
        <v>36709</v>
      </c>
      <c r="G179" s="1115">
        <f t="shared" si="17"/>
        <v>5150</v>
      </c>
      <c r="H179" s="137">
        <f t="shared" si="10"/>
        <v>1.7995667062687821</v>
      </c>
    </row>
    <row r="180" spans="2:8" ht="15" customHeight="1">
      <c r="B180" s="148">
        <v>741111</v>
      </c>
      <c r="C180" s="206" t="s">
        <v>447</v>
      </c>
      <c r="D180" s="74">
        <f>SUM(D181:D185)</f>
        <v>100000</v>
      </c>
      <c r="E180" s="1035">
        <v>286180</v>
      </c>
      <c r="F180" s="74">
        <f>SUM(F181:F185)</f>
        <v>36709</v>
      </c>
      <c r="G180" s="1111">
        <f>SUM(G181:G185)</f>
        <v>5150</v>
      </c>
      <c r="H180" s="268">
        <f t="shared" si="10"/>
        <v>1.7995667062687821</v>
      </c>
    </row>
    <row r="181" spans="2:8" ht="15" customHeight="1">
      <c r="B181" s="266"/>
      <c r="C181" s="214" t="s">
        <v>545</v>
      </c>
      <c r="D181" s="269">
        <v>100000</v>
      </c>
      <c r="E181" s="1036">
        <v>249450</v>
      </c>
      <c r="F181" s="269">
        <v>0</v>
      </c>
      <c r="G181" s="1112">
        <v>0</v>
      </c>
      <c r="H181" s="268">
        <f t="shared" ref="H181:H185" si="18">IF(E181=0,"",G181/E181*100)</f>
        <v>0</v>
      </c>
    </row>
    <row r="182" spans="2:8" ht="15" customHeight="1">
      <c r="B182" s="266"/>
      <c r="C182" s="214" t="s">
        <v>642</v>
      </c>
      <c r="D182" s="269">
        <v>0</v>
      </c>
      <c r="E182" s="1036">
        <v>6440</v>
      </c>
      <c r="F182" s="269">
        <v>6434</v>
      </c>
      <c r="G182" s="1112">
        <v>0</v>
      </c>
      <c r="H182" s="268">
        <f t="shared" si="18"/>
        <v>0</v>
      </c>
    </row>
    <row r="183" spans="2:8" ht="15" customHeight="1">
      <c r="B183" s="266"/>
      <c r="C183" s="214" t="s">
        <v>861</v>
      </c>
      <c r="D183" s="269">
        <v>0</v>
      </c>
      <c r="E183" s="1036">
        <v>5150</v>
      </c>
      <c r="F183" s="269">
        <v>5143</v>
      </c>
      <c r="G183" s="1112">
        <v>5150</v>
      </c>
      <c r="H183" s="268">
        <f t="shared" si="18"/>
        <v>100</v>
      </c>
    </row>
    <row r="184" spans="2:8" ht="15" customHeight="1">
      <c r="B184" s="266"/>
      <c r="C184" s="214" t="s">
        <v>673</v>
      </c>
      <c r="D184" s="269">
        <v>0</v>
      </c>
      <c r="E184" s="1036">
        <v>5140</v>
      </c>
      <c r="F184" s="269">
        <v>5140</v>
      </c>
      <c r="G184" s="1112">
        <v>0</v>
      </c>
      <c r="H184" s="268">
        <f t="shared" si="18"/>
        <v>0</v>
      </c>
    </row>
    <row r="185" spans="2:8" ht="15" customHeight="1">
      <c r="B185" s="266"/>
      <c r="C185" s="214" t="s">
        <v>674</v>
      </c>
      <c r="D185" s="269">
        <v>0</v>
      </c>
      <c r="E185" s="1036">
        <v>20000</v>
      </c>
      <c r="F185" s="269">
        <v>19992</v>
      </c>
      <c r="G185" s="1112">
        <v>0</v>
      </c>
      <c r="H185" s="268">
        <f t="shared" si="18"/>
        <v>0</v>
      </c>
    </row>
    <row r="186" spans="2:8" ht="25.5" customHeight="1">
      <c r="B186" s="252">
        <v>742000</v>
      </c>
      <c r="C186" s="250" t="s">
        <v>448</v>
      </c>
      <c r="D186" s="251">
        <f>D187+D196</f>
        <v>110200</v>
      </c>
      <c r="E186" s="251">
        <f>E187+E196</f>
        <v>729020</v>
      </c>
      <c r="F186" s="251">
        <f>F187+F196</f>
        <v>18815</v>
      </c>
      <c r="G186" s="1109">
        <f>G187+G196</f>
        <v>21500</v>
      </c>
      <c r="H186" s="224">
        <f t="shared" si="10"/>
        <v>2.949164631971688</v>
      </c>
    </row>
    <row r="187" spans="2:8" ht="15" customHeight="1">
      <c r="B187" s="154">
        <v>742100</v>
      </c>
      <c r="C187" s="215" t="s">
        <v>449</v>
      </c>
      <c r="D187" s="151">
        <f>D188+D189</f>
        <v>110200</v>
      </c>
      <c r="E187" s="151">
        <f t="shared" ref="E187:F187" si="19">E188+E189</f>
        <v>715020</v>
      </c>
      <c r="F187" s="151">
        <f t="shared" si="19"/>
        <v>4815</v>
      </c>
      <c r="G187" s="1115">
        <f>G188+G189</f>
        <v>21500</v>
      </c>
      <c r="H187" s="137">
        <f t="shared" si="10"/>
        <v>3.0069088976532123</v>
      </c>
    </row>
    <row r="188" spans="2:8" ht="15" customHeight="1">
      <c r="B188" s="148">
        <v>742111</v>
      </c>
      <c r="C188" s="206" t="s">
        <v>559</v>
      </c>
      <c r="D188" s="74">
        <v>0</v>
      </c>
      <c r="E188" s="1038">
        <v>0</v>
      </c>
      <c r="F188" s="74">
        <v>0</v>
      </c>
      <c r="G188" s="1111"/>
      <c r="H188" s="268" t="str">
        <f>IF(E188=0,"",G188/E188*100)</f>
        <v/>
      </c>
    </row>
    <row r="189" spans="2:8" ht="15" customHeight="1">
      <c r="B189" s="148">
        <v>742112</v>
      </c>
      <c r="C189" s="206" t="s">
        <v>450</v>
      </c>
      <c r="D189" s="74">
        <f>SUM(D190:D193)</f>
        <v>110200</v>
      </c>
      <c r="E189" s="1038">
        <v>715020</v>
      </c>
      <c r="F189" s="74">
        <f>SUM(F190:F193)</f>
        <v>4815</v>
      </c>
      <c r="G189" s="1111">
        <f>SUM(G190:G195)</f>
        <v>21500</v>
      </c>
      <c r="H189" s="268">
        <f t="shared" si="10"/>
        <v>3.0069088976532123</v>
      </c>
    </row>
    <row r="190" spans="2:8" ht="15" customHeight="1">
      <c r="B190" s="139"/>
      <c r="C190" s="214" t="s">
        <v>625</v>
      </c>
      <c r="D190" s="118">
        <v>100000</v>
      </c>
      <c r="E190" s="1039">
        <v>200000</v>
      </c>
      <c r="F190" s="118">
        <v>0</v>
      </c>
      <c r="G190" s="1112">
        <v>0</v>
      </c>
      <c r="H190" s="268">
        <f t="shared" ref="H190" si="20">IF(E190=0,"",G190/E190*100)</f>
        <v>0</v>
      </c>
    </row>
    <row r="191" spans="2:8" ht="25.5">
      <c r="B191" s="139"/>
      <c r="C191" s="214" t="s">
        <v>540</v>
      </c>
      <c r="D191" s="118">
        <v>0</v>
      </c>
      <c r="E191" s="1040">
        <v>500000</v>
      </c>
      <c r="F191" s="118">
        <v>0</v>
      </c>
      <c r="G191" s="1112">
        <v>0</v>
      </c>
      <c r="H191" s="268">
        <f t="shared" si="10"/>
        <v>0</v>
      </c>
    </row>
    <row r="192" spans="2:8" ht="25.5">
      <c r="B192" s="266"/>
      <c r="C192" s="214" t="s">
        <v>675</v>
      </c>
      <c r="D192" s="269">
        <v>0</v>
      </c>
      <c r="E192" s="1040">
        <v>4820</v>
      </c>
      <c r="F192" s="269">
        <v>4815</v>
      </c>
      <c r="G192" s="1112">
        <v>0</v>
      </c>
      <c r="H192" s="268">
        <f>IF(E192=0,"",G192/E192*100)</f>
        <v>0</v>
      </c>
    </row>
    <row r="193" spans="2:12" ht="25.5">
      <c r="B193" s="266"/>
      <c r="C193" s="214" t="s">
        <v>643</v>
      </c>
      <c r="D193" s="269">
        <v>10200</v>
      </c>
      <c r="E193" s="1040">
        <v>10200</v>
      </c>
      <c r="F193" s="269">
        <v>0</v>
      </c>
      <c r="G193" s="1112">
        <v>11940</v>
      </c>
      <c r="H193" s="268">
        <f>IF(E193=0,"",G193/E193*100)</f>
        <v>117.05882352941177</v>
      </c>
    </row>
    <row r="194" spans="2:12" s="1205" customFormat="1" ht="25.5">
      <c r="B194" s="266"/>
      <c r="C194" s="214" t="s">
        <v>842</v>
      </c>
      <c r="D194" s="269">
        <v>0</v>
      </c>
      <c r="E194" s="1040">
        <v>0</v>
      </c>
      <c r="F194" s="269">
        <v>0</v>
      </c>
      <c r="G194" s="1112">
        <v>4660</v>
      </c>
      <c r="H194" s="268" t="str">
        <f>IF(E194=0,"",G194/E194*100)</f>
        <v/>
      </c>
      <c r="I194" s="202"/>
      <c r="J194" s="202"/>
      <c r="K194" s="202"/>
      <c r="L194" s="202"/>
    </row>
    <row r="195" spans="2:12" s="1205" customFormat="1" ht="25.5">
      <c r="B195" s="266"/>
      <c r="C195" s="214" t="s">
        <v>843</v>
      </c>
      <c r="D195" s="269">
        <v>0</v>
      </c>
      <c r="E195" s="1040">
        <v>0</v>
      </c>
      <c r="F195" s="269">
        <v>0</v>
      </c>
      <c r="G195" s="1112">
        <v>4900</v>
      </c>
      <c r="H195" s="268" t="str">
        <f>IF(E195=0,"",G195/E195*100)</f>
        <v/>
      </c>
      <c r="I195" s="202"/>
      <c r="J195" s="202"/>
      <c r="K195" s="202"/>
      <c r="L195" s="202"/>
    </row>
    <row r="196" spans="2:12" ht="15" customHeight="1">
      <c r="B196" s="154">
        <v>742200</v>
      </c>
      <c r="C196" s="215" t="s">
        <v>676</v>
      </c>
      <c r="D196" s="151">
        <f>D197</f>
        <v>0</v>
      </c>
      <c r="E196" s="151">
        <f t="shared" ref="E196:G196" si="21">E197</f>
        <v>14000</v>
      </c>
      <c r="F196" s="151">
        <f t="shared" si="21"/>
        <v>14000</v>
      </c>
      <c r="G196" s="1115">
        <f t="shared" si="21"/>
        <v>0</v>
      </c>
      <c r="H196" s="137">
        <f t="shared" ref="H196" si="22">IF(E196=0,"",G196/E196*100)</f>
        <v>0</v>
      </c>
    </row>
    <row r="197" spans="2:12" ht="15" customHeight="1">
      <c r="B197" s="148">
        <v>742212</v>
      </c>
      <c r="C197" s="206" t="s">
        <v>677</v>
      </c>
      <c r="D197" s="74">
        <f>SUM(D198:D199)</f>
        <v>0</v>
      </c>
      <c r="E197" s="74">
        <f t="shared" ref="E197:G197" si="23">SUM(E198:E199)</f>
        <v>14000</v>
      </c>
      <c r="F197" s="74">
        <f t="shared" si="23"/>
        <v>14000</v>
      </c>
      <c r="G197" s="1111">
        <f t="shared" si="23"/>
        <v>0</v>
      </c>
      <c r="H197" s="268">
        <f>IF(E197=0,"",G197/E197*100)</f>
        <v>0</v>
      </c>
    </row>
    <row r="198" spans="2:12" ht="15" customHeight="1">
      <c r="B198" s="139"/>
      <c r="C198" s="214" t="s">
        <v>678</v>
      </c>
      <c r="D198" s="118">
        <v>0</v>
      </c>
      <c r="E198" s="118">
        <v>9000</v>
      </c>
      <c r="F198" s="118">
        <v>9000</v>
      </c>
      <c r="G198" s="1112">
        <v>0</v>
      </c>
      <c r="H198" s="268">
        <f t="shared" ref="H198:H199" si="24">IF(E198=0,"",G198/E198*100)</f>
        <v>0</v>
      </c>
    </row>
    <row r="199" spans="2:12" ht="15" customHeight="1">
      <c r="B199" s="139"/>
      <c r="C199" s="214" t="s">
        <v>679</v>
      </c>
      <c r="D199" s="118">
        <v>0</v>
      </c>
      <c r="E199" s="118">
        <v>5000</v>
      </c>
      <c r="F199" s="118">
        <v>5000</v>
      </c>
      <c r="G199" s="1112">
        <v>0</v>
      </c>
      <c r="H199" s="268">
        <f t="shared" si="24"/>
        <v>0</v>
      </c>
    </row>
    <row r="200" spans="2:12">
      <c r="B200" s="139"/>
      <c r="C200" s="214"/>
      <c r="D200" s="118"/>
      <c r="E200" s="118"/>
      <c r="F200" s="118"/>
      <c r="G200" s="1112"/>
      <c r="H200" s="268" t="str">
        <f t="shared" si="10"/>
        <v/>
      </c>
    </row>
    <row r="201" spans="2:12" ht="17.100000000000001" customHeight="1">
      <c r="B201" s="239">
        <v>777000</v>
      </c>
      <c r="C201" s="240" t="s">
        <v>387</v>
      </c>
      <c r="D201" s="253">
        <f>SUM(D202:D203)</f>
        <v>920</v>
      </c>
      <c r="E201" s="253">
        <f>SUM(E202:E203)</f>
        <v>10960</v>
      </c>
      <c r="F201" s="253">
        <f>SUM(F202:F203)</f>
        <v>10929</v>
      </c>
      <c r="G201" s="1109">
        <f>SUM(G202:G203)</f>
        <v>11000</v>
      </c>
      <c r="H201" s="234">
        <f t="shared" si="10"/>
        <v>100.36496350364963</v>
      </c>
    </row>
    <row r="202" spans="2:12" ht="15" customHeight="1">
      <c r="B202" s="135">
        <v>777778</v>
      </c>
      <c r="C202" s="212" t="s">
        <v>388</v>
      </c>
      <c r="D202" s="67">
        <f>60*12</f>
        <v>720</v>
      </c>
      <c r="E202" s="1041">
        <v>10940</v>
      </c>
      <c r="F202" s="67">
        <v>10929</v>
      </c>
      <c r="G202" s="1111">
        <v>10950</v>
      </c>
      <c r="H202" s="268">
        <f t="shared" si="10"/>
        <v>100.09140767824498</v>
      </c>
    </row>
    <row r="203" spans="2:12" ht="15" customHeight="1">
      <c r="B203" s="135">
        <v>777779</v>
      </c>
      <c r="C203" s="206" t="s">
        <v>389</v>
      </c>
      <c r="D203" s="168">
        <v>200</v>
      </c>
      <c r="E203" s="1042">
        <v>20</v>
      </c>
      <c r="F203" s="67">
        <v>0</v>
      </c>
      <c r="G203" s="1112">
        <v>50</v>
      </c>
      <c r="H203" s="268">
        <f t="shared" si="10"/>
        <v>250</v>
      </c>
    </row>
    <row r="204" spans="2:12" ht="15" customHeight="1">
      <c r="B204" s="72"/>
      <c r="C204" s="73"/>
      <c r="D204" s="118"/>
      <c r="E204" s="118"/>
      <c r="F204" s="118"/>
      <c r="G204" s="1112"/>
      <c r="H204" s="268" t="str">
        <f t="shared" si="10"/>
        <v/>
      </c>
    </row>
    <row r="205" spans="2:12" ht="15" customHeight="1">
      <c r="B205" s="1240" t="s">
        <v>402</v>
      </c>
      <c r="C205" s="1241"/>
      <c r="D205" s="162">
        <f>D147+D149+D177+D201</f>
        <v>42444000</v>
      </c>
      <c r="E205" s="162">
        <f>E147+E149+E177+E201</f>
        <v>42096090</v>
      </c>
      <c r="F205" s="162">
        <f>F147+F149+F177+F201</f>
        <v>30690097</v>
      </c>
      <c r="G205" s="1117">
        <f>G147+G149+G177+G201</f>
        <v>41225910</v>
      </c>
      <c r="H205" s="227">
        <f t="shared" si="10"/>
        <v>97.932872150358861</v>
      </c>
    </row>
    <row r="206" spans="2:12" ht="15" customHeight="1">
      <c r="B206" s="160"/>
      <c r="C206" s="161"/>
      <c r="D206" s="162"/>
      <c r="E206" s="162"/>
      <c r="F206" s="162"/>
      <c r="G206" s="1117"/>
      <c r="H206" s="268" t="str">
        <f t="shared" ref="H206:H214" si="25">IF(E206=0,"",G206/E206*100)</f>
        <v/>
      </c>
    </row>
    <row r="207" spans="2:12" ht="17.100000000000001" customHeight="1">
      <c r="B207" s="239">
        <v>810000</v>
      </c>
      <c r="C207" s="240" t="s">
        <v>390</v>
      </c>
      <c r="D207" s="241">
        <f>D208</f>
        <v>0</v>
      </c>
      <c r="E207" s="241">
        <f>E208</f>
        <v>810</v>
      </c>
      <c r="F207" s="241">
        <f>F208</f>
        <v>801</v>
      </c>
      <c r="G207" s="1108">
        <f>G208</f>
        <v>0</v>
      </c>
      <c r="H207" s="224">
        <f t="shared" si="25"/>
        <v>0</v>
      </c>
    </row>
    <row r="208" spans="2:12" ht="17.100000000000001" customHeight="1">
      <c r="B208" s="249">
        <v>811000</v>
      </c>
      <c r="C208" s="250" t="s">
        <v>392</v>
      </c>
      <c r="D208" s="251">
        <f>SUM(D209:D209)</f>
        <v>0</v>
      </c>
      <c r="E208" s="251">
        <f>SUM(E209:E209)</f>
        <v>810</v>
      </c>
      <c r="F208" s="251">
        <f>SUM(F209:F209)</f>
        <v>801</v>
      </c>
      <c r="G208" s="1109">
        <f>SUM(G209:G209)</f>
        <v>0</v>
      </c>
      <c r="H208" s="224">
        <f t="shared" si="25"/>
        <v>0</v>
      </c>
    </row>
    <row r="209" spans="2:8" ht="15" customHeight="1">
      <c r="B209" s="154">
        <v>811100</v>
      </c>
      <c r="C209" s="159" t="s">
        <v>391</v>
      </c>
      <c r="D209" s="157">
        <f>D210+D211</f>
        <v>0</v>
      </c>
      <c r="E209" s="157">
        <f>E210+E211</f>
        <v>810</v>
      </c>
      <c r="F209" s="157">
        <f>F210+F211</f>
        <v>801</v>
      </c>
      <c r="G209" s="1113">
        <f>G210+G211</f>
        <v>0</v>
      </c>
      <c r="H209" s="137">
        <f t="shared" si="25"/>
        <v>0</v>
      </c>
    </row>
    <row r="210" spans="2:8" ht="15" customHeight="1">
      <c r="B210" s="135">
        <v>811111</v>
      </c>
      <c r="C210" s="212" t="s">
        <v>549</v>
      </c>
      <c r="D210" s="67">
        <v>0</v>
      </c>
      <c r="E210" s="67">
        <v>0</v>
      </c>
      <c r="F210" s="67">
        <v>0</v>
      </c>
      <c r="G210" s="1111">
        <v>0</v>
      </c>
      <c r="H210" s="268" t="str">
        <f t="shared" si="25"/>
        <v/>
      </c>
    </row>
    <row r="211" spans="2:8" ht="15" customHeight="1">
      <c r="B211" s="135">
        <v>811114</v>
      </c>
      <c r="C211" s="206" t="s">
        <v>550</v>
      </c>
      <c r="D211" s="67">
        <f>SUM(D212:D212)</f>
        <v>0</v>
      </c>
      <c r="E211" s="67">
        <f>SUM(E212:E212)</f>
        <v>810</v>
      </c>
      <c r="F211" s="67">
        <f>SUM(F212:F212)</f>
        <v>801</v>
      </c>
      <c r="G211" s="1111">
        <v>0</v>
      </c>
      <c r="H211" s="268">
        <f t="shared" si="25"/>
        <v>0</v>
      </c>
    </row>
    <row r="212" spans="2:8" ht="15" customHeight="1">
      <c r="B212" s="135"/>
      <c r="C212" s="214" t="s">
        <v>681</v>
      </c>
      <c r="D212" s="67">
        <v>0</v>
      </c>
      <c r="E212" s="67">
        <v>810</v>
      </c>
      <c r="F212" s="67">
        <v>801</v>
      </c>
      <c r="G212" s="1111">
        <v>0</v>
      </c>
      <c r="H212" s="268">
        <f>IF(E212=0,"",G212/E212*100)</f>
        <v>0</v>
      </c>
    </row>
    <row r="213" spans="2:8" ht="15" customHeight="1" thickBot="1">
      <c r="B213" s="182"/>
      <c r="C213" s="183"/>
      <c r="D213" s="183"/>
      <c r="E213" s="183"/>
      <c r="F213" s="183"/>
      <c r="G213" s="1118"/>
      <c r="H213" s="270" t="str">
        <f t="shared" si="25"/>
        <v/>
      </c>
    </row>
    <row r="214" spans="2:8" ht="17.100000000000001" customHeight="1" thickBot="1">
      <c r="B214" s="1242" t="s">
        <v>451</v>
      </c>
      <c r="C214" s="1243"/>
      <c r="D214" s="254">
        <f>D205+D207</f>
        <v>42444000</v>
      </c>
      <c r="E214" s="254">
        <f>E205+E207</f>
        <v>42096900</v>
      </c>
      <c r="F214" s="254">
        <f>F205+F207</f>
        <v>30690898</v>
      </c>
      <c r="G214" s="1119">
        <f>G205+G207</f>
        <v>41225910</v>
      </c>
      <c r="H214" s="228">
        <f t="shared" si="25"/>
        <v>97.930987792450281</v>
      </c>
    </row>
    <row r="217" spans="2:8">
      <c r="D217" s="75"/>
      <c r="E217" s="75"/>
      <c r="F217" s="75"/>
    </row>
  </sheetData>
  <mergeCells count="4">
    <mergeCell ref="B2:H2"/>
    <mergeCell ref="B147:C147"/>
    <mergeCell ref="B205:C205"/>
    <mergeCell ref="B214:C214"/>
  </mergeCells>
  <pageMargins left="0.91" right="0.31496062992125984" top="0.57999999999999996" bottom="0.51181102362204722" header="0.57999999999999996" footer="0.31496062992125984"/>
  <pageSetup paperSize="9" scale="88" firstPageNumber="2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P119"/>
  <sheetViews>
    <sheetView topLeftCell="C40" zoomScaleNormal="100" workbookViewId="0">
      <selection activeCell="E70" sqref="E70"/>
    </sheetView>
  </sheetViews>
  <sheetFormatPr defaultRowHeight="12" customHeight="1"/>
  <cols>
    <col min="1" max="1" width="0.5703125" style="9" hidden="1" customWidth="1"/>
    <col min="2" max="2" width="5.7109375" style="9" hidden="1" customWidth="1"/>
    <col min="3" max="3" width="9.7109375" style="18" customWidth="1"/>
    <col min="4" max="4" width="7.42578125" style="616" customWidth="1"/>
    <col min="5" max="5" width="54" style="9" customWidth="1"/>
    <col min="6" max="8" width="12.7109375" style="9" customWidth="1"/>
    <col min="9" max="10" width="12.7109375" style="611" customWidth="1"/>
    <col min="11" max="11" width="14.7109375" style="9" customWidth="1"/>
    <col min="12" max="12" width="7.85546875" style="98" customWidth="1"/>
    <col min="13" max="13" width="9.140625" style="9"/>
    <col min="14" max="14" width="13.140625" style="9" bestFit="1" customWidth="1"/>
    <col min="15" max="16" width="10.140625" style="9" bestFit="1" customWidth="1"/>
    <col min="17" max="16384" width="9.140625" style="9"/>
  </cols>
  <sheetData>
    <row r="2" spans="2:16" ht="2.25" customHeight="1"/>
    <row r="3" spans="2:16" s="1" customFormat="1" ht="30.75" customHeight="1" thickBot="1">
      <c r="C3" s="1246" t="s">
        <v>77</v>
      </c>
      <c r="D3" s="1246"/>
      <c r="E3" s="1246"/>
      <c r="F3" s="96"/>
      <c r="G3" s="96"/>
      <c r="H3" s="96"/>
      <c r="I3" s="1045"/>
      <c r="J3" s="1045"/>
      <c r="K3" s="1244"/>
      <c r="L3" s="1245"/>
    </row>
    <row r="4" spans="2:16" s="1" customFormat="1" ht="39.75" customHeight="1">
      <c r="B4" s="3" t="s">
        <v>78</v>
      </c>
      <c r="C4" s="1252" t="s">
        <v>615</v>
      </c>
      <c r="D4" s="1254" t="s">
        <v>695</v>
      </c>
      <c r="E4" s="1256" t="s">
        <v>80</v>
      </c>
      <c r="F4" s="1258" t="s">
        <v>759</v>
      </c>
      <c r="G4" s="1258" t="s">
        <v>758</v>
      </c>
      <c r="H4" s="1258" t="s">
        <v>757</v>
      </c>
      <c r="I4" s="1249" t="s">
        <v>682</v>
      </c>
      <c r="J4" s="1250"/>
      <c r="K4" s="1251"/>
      <c r="L4" s="1259" t="s">
        <v>761</v>
      </c>
    </row>
    <row r="5" spans="2:16" s="608" customFormat="1" ht="28.5" customHeight="1">
      <c r="B5" s="1049"/>
      <c r="C5" s="1253"/>
      <c r="D5" s="1255"/>
      <c r="E5" s="1257"/>
      <c r="F5" s="1257"/>
      <c r="G5" s="1257"/>
      <c r="H5" s="1257"/>
      <c r="I5" s="1087" t="s">
        <v>753</v>
      </c>
      <c r="J5" s="1087" t="s">
        <v>754</v>
      </c>
      <c r="K5" s="1059" t="s">
        <v>426</v>
      </c>
      <c r="L5" s="1260"/>
    </row>
    <row r="6" spans="2:16" s="2" customFormat="1" ht="14.1" customHeight="1">
      <c r="B6" s="4">
        <v>1</v>
      </c>
      <c r="C6" s="1181">
        <v>1</v>
      </c>
      <c r="D6" s="647"/>
      <c r="E6" s="661">
        <v>2</v>
      </c>
      <c r="F6" s="1182">
        <v>3</v>
      </c>
      <c r="G6" s="1182">
        <v>4</v>
      </c>
      <c r="H6" s="1182">
        <v>5</v>
      </c>
      <c r="I6" s="661">
        <v>6</v>
      </c>
      <c r="J6" s="661">
        <v>7</v>
      </c>
      <c r="K6" s="1184" t="s">
        <v>760</v>
      </c>
      <c r="L6" s="1183">
        <v>9</v>
      </c>
    </row>
    <row r="7" spans="2:16" s="2" customFormat="1" ht="15" customHeight="1">
      <c r="B7" s="4"/>
      <c r="C7" s="1092"/>
      <c r="D7" s="1093"/>
      <c r="E7" s="1094" t="s">
        <v>159</v>
      </c>
      <c r="F7" s="1095">
        <f t="shared" ref="F7:K7" si="0">F9+F15+F21+F24+F46+F91+F94+F99+F105</f>
        <v>42441870</v>
      </c>
      <c r="G7" s="1095">
        <f t="shared" si="0"/>
        <v>42094170</v>
      </c>
      <c r="H7" s="1095">
        <f t="shared" si="0"/>
        <v>27669338</v>
      </c>
      <c r="I7" s="1095">
        <f t="shared" si="0"/>
        <v>38977250</v>
      </c>
      <c r="J7" s="1095">
        <f t="shared" si="0"/>
        <v>2243090</v>
      </c>
      <c r="K7" s="1066">
        <f t="shared" si="0"/>
        <v>41220340</v>
      </c>
      <c r="L7" s="1096">
        <f>IF(G7=0,"",K7/G7*100)</f>
        <v>97.924106829995694</v>
      </c>
      <c r="N7" s="180"/>
    </row>
    <row r="8" spans="2:16" s="2" customFormat="1" ht="9" customHeight="1">
      <c r="B8" s="4"/>
      <c r="C8" s="4"/>
      <c r="D8" s="647"/>
      <c r="E8" s="21"/>
      <c r="F8" s="19"/>
      <c r="G8" s="19"/>
      <c r="H8" s="19"/>
      <c r="I8" s="556"/>
      <c r="J8" s="556"/>
      <c r="K8" s="1066"/>
      <c r="L8" s="115" t="str">
        <f>IF(F8=0,"",K8/F8*100)</f>
        <v/>
      </c>
      <c r="N8" s="95"/>
    </row>
    <row r="9" spans="2:16" s="2" customFormat="1" ht="15" customHeight="1">
      <c r="B9" s="4"/>
      <c r="C9" s="1097">
        <v>600000</v>
      </c>
      <c r="D9" s="1098"/>
      <c r="E9" s="1094" t="s">
        <v>120</v>
      </c>
      <c r="F9" s="1095">
        <f>F10+F11+F12+F13</f>
        <v>660000</v>
      </c>
      <c r="G9" s="1095">
        <f t="shared" ref="G9:H9" si="1">G10+G11+G12+G13</f>
        <v>660000</v>
      </c>
      <c r="H9" s="1095">
        <f t="shared" si="1"/>
        <v>476102</v>
      </c>
      <c r="I9" s="1095">
        <f>I10+I11+I12+I13</f>
        <v>460000</v>
      </c>
      <c r="J9" s="1095">
        <f>J10+J11+J12+J13</f>
        <v>0</v>
      </c>
      <c r="K9" s="1066">
        <f>K10+K11+K12+K13</f>
        <v>460000</v>
      </c>
      <c r="L9" s="1096">
        <f>IF(G9=0,"",K9/G9*100)</f>
        <v>69.696969696969703</v>
      </c>
      <c r="N9" s="180"/>
    </row>
    <row r="10" spans="2:16" s="2" customFormat="1" ht="15" customHeight="1">
      <c r="B10" s="4"/>
      <c r="C10" s="290">
        <v>600000</v>
      </c>
      <c r="D10" s="649"/>
      <c r="E10" s="41" t="s">
        <v>97</v>
      </c>
      <c r="F10" s="44">
        <f>'3'!H9</f>
        <v>600000</v>
      </c>
      <c r="G10" s="44">
        <f>'3'!I9</f>
        <v>600000</v>
      </c>
      <c r="H10" s="44">
        <f>'3'!J9</f>
        <v>429502</v>
      </c>
      <c r="I10" s="264">
        <f>'3'!K9</f>
        <v>400000</v>
      </c>
      <c r="J10" s="264">
        <f>'3'!L9</f>
        <v>0</v>
      </c>
      <c r="K10" s="1088">
        <f>'3'!M9</f>
        <v>400000</v>
      </c>
      <c r="L10" s="115">
        <f>IF(G10=0,"",K10/G10*100)</f>
        <v>66.666666666666657</v>
      </c>
      <c r="P10" s="95"/>
    </row>
    <row r="11" spans="2:16" s="2" customFormat="1" ht="15" customHeight="1">
      <c r="B11" s="4"/>
      <c r="C11" s="290">
        <v>600000</v>
      </c>
      <c r="D11" s="649"/>
      <c r="E11" s="41" t="s">
        <v>98</v>
      </c>
      <c r="F11" s="44">
        <f>'3'!H10</f>
        <v>30000</v>
      </c>
      <c r="G11" s="44">
        <f>'3'!I10</f>
        <v>30000</v>
      </c>
      <c r="H11" s="44">
        <f>'3'!J10</f>
        <v>25250</v>
      </c>
      <c r="I11" s="44">
        <f>'3'!K10</f>
        <v>30000</v>
      </c>
      <c r="J11" s="44">
        <f>'3'!L10</f>
        <v>0</v>
      </c>
      <c r="K11" s="1088">
        <f>'3'!M10</f>
        <v>30000</v>
      </c>
      <c r="L11" s="115">
        <f t="shared" ref="L11:L77" si="2">IF(G11=0,"",K11/G11*100)</f>
        <v>100</v>
      </c>
      <c r="O11" s="95"/>
    </row>
    <row r="12" spans="2:16" s="2" customFormat="1" ht="15" customHeight="1">
      <c r="B12" s="4"/>
      <c r="C12" s="290">
        <v>600000</v>
      </c>
      <c r="D12" s="649"/>
      <c r="E12" s="41" t="s">
        <v>121</v>
      </c>
      <c r="F12" s="44">
        <f>'3'!H11</f>
        <v>15000</v>
      </c>
      <c r="G12" s="44">
        <f>'3'!I11</f>
        <v>15000</v>
      </c>
      <c r="H12" s="44">
        <f>'3'!J11</f>
        <v>13150</v>
      </c>
      <c r="I12" s="44">
        <f>'3'!K11</f>
        <v>15000</v>
      </c>
      <c r="J12" s="44">
        <f>'3'!L11</f>
        <v>0</v>
      </c>
      <c r="K12" s="1088">
        <f>'3'!M11</f>
        <v>15000</v>
      </c>
      <c r="L12" s="115">
        <f t="shared" si="2"/>
        <v>100</v>
      </c>
      <c r="P12" s="95"/>
    </row>
    <row r="13" spans="2:16" s="2" customFormat="1" ht="15" customHeight="1">
      <c r="B13" s="4"/>
      <c r="C13" s="290">
        <v>600000</v>
      </c>
      <c r="D13" s="649"/>
      <c r="E13" s="41" t="s">
        <v>109</v>
      </c>
      <c r="F13" s="44">
        <f>'16'!H9</f>
        <v>15000</v>
      </c>
      <c r="G13" s="44">
        <f>'16'!I9</f>
        <v>15000</v>
      </c>
      <c r="H13" s="44">
        <f>'16'!J9</f>
        <v>8200</v>
      </c>
      <c r="I13" s="44">
        <f>'16'!K9</f>
        <v>15000</v>
      </c>
      <c r="J13" s="44">
        <f>'16'!L9</f>
        <v>0</v>
      </c>
      <c r="K13" s="1088">
        <f>'16'!M9</f>
        <v>15000</v>
      </c>
      <c r="L13" s="115">
        <f t="shared" si="2"/>
        <v>100</v>
      </c>
    </row>
    <row r="14" spans="2:16" s="2" customFormat="1" ht="10.5" customHeight="1">
      <c r="B14" s="4"/>
      <c r="C14" s="290"/>
      <c r="D14" s="649"/>
      <c r="E14" s="41"/>
      <c r="F14" s="92"/>
      <c r="G14" s="92"/>
      <c r="H14" s="92"/>
      <c r="I14" s="624"/>
      <c r="J14" s="624"/>
      <c r="K14" s="1066"/>
      <c r="L14" s="115" t="str">
        <f t="shared" si="2"/>
        <v/>
      </c>
    </row>
    <row r="15" spans="2:16" s="1" customFormat="1" ht="15" customHeight="1">
      <c r="B15" s="6"/>
      <c r="C15" s="1097">
        <v>611000</v>
      </c>
      <c r="D15" s="1098"/>
      <c r="E15" s="1099" t="s">
        <v>163</v>
      </c>
      <c r="F15" s="1100">
        <f>F16+F17</f>
        <v>20818240</v>
      </c>
      <c r="G15" s="1100">
        <f t="shared" ref="G15:H15" si="3">G16+G17</f>
        <v>20480610</v>
      </c>
      <c r="H15" s="1100">
        <f t="shared" si="3"/>
        <v>14877695</v>
      </c>
      <c r="I15" s="1100">
        <f>I16+I17</f>
        <v>21500940</v>
      </c>
      <c r="J15" s="1100">
        <f>J16+J17</f>
        <v>0</v>
      </c>
      <c r="K15" s="1064">
        <f>K16+K17</f>
        <v>21500940</v>
      </c>
      <c r="L15" s="1101">
        <f t="shared" si="2"/>
        <v>104.98193169051117</v>
      </c>
      <c r="N15" s="65"/>
      <c r="O15" s="65"/>
    </row>
    <row r="16" spans="2:16" ht="15" customHeight="1">
      <c r="B16" s="10"/>
      <c r="C16" s="291">
        <v>611100</v>
      </c>
      <c r="D16" s="649"/>
      <c r="E16" s="20" t="s">
        <v>204</v>
      </c>
      <c r="F16" s="31">
        <f>'1'!H9+'3'!H14+'4'!H9+'5'!H9+'6'!H9+'8'!H9+'9'!H9+'10'!H9+'11'!H9+'12'!H9+'13'!H9+'14'!H9+'15'!H9+'16'!H12+'17'!H9+'18'!H9+'19'!H9+'20'!H9+'22'!H9+'23'!H9+'21'!H9+'24'!H9+'25'!H9+'26'!H9+'27'!H9+'28'!H9+'29'!H9+'30'!H9+'31'!H9+'32'!H9+'33'!H9+'34'!H9+'35'!H9+'36'!H9+'37'!H9+'7'!H9</f>
        <v>17008050</v>
      </c>
      <c r="G16" s="618">
        <f>'1'!I9+'3'!I14+'4'!I9+'5'!I9+'6'!I9+'8'!I9+'9'!I9+'10'!I9+'11'!I9+'12'!I9+'13'!I9+'14'!I9+'15'!I9+'16'!I12+'17'!I9+'18'!I9+'19'!I9+'20'!I9+'22'!I9+'23'!I9+'21'!I9+'24'!I9+'25'!I9+'26'!I9+'27'!I9+'28'!I9+'29'!I9+'30'!I9+'31'!I9+'32'!I9+'33'!I9+'34'!I9+'35'!I9+'36'!I9+'37'!I9+'7'!I9</f>
        <v>16720340</v>
      </c>
      <c r="H16" s="618">
        <f>'1'!J9+'3'!J14+'4'!J9+'5'!J9+'6'!J9+'8'!J9+'9'!J9+'10'!J9+'11'!J9+'12'!J9+'13'!J9+'14'!J9+'15'!J9+'16'!J12+'17'!J9+'18'!J9+'19'!J9+'20'!J9+'22'!J9+'23'!J9+'21'!J9+'24'!J9+'25'!J9+'26'!J9+'27'!J9+'28'!J9+'29'!J9+'30'!J9+'31'!J9+'32'!J9+'33'!J9+'34'!J9+'35'!J9+'36'!J9+'37'!J9+'7'!J9</f>
        <v>12313774</v>
      </c>
      <c r="I16" s="618">
        <f>'1'!K9+'3'!K14+'4'!K9+'5'!K9+'6'!K9+'8'!K9+'9'!K9+'10'!K9+'11'!K9+'12'!K9+'13'!K9+'14'!K9+'15'!K9+'16'!K12+'17'!K9+'18'!K9+'19'!K9+'20'!K9+'22'!K9+'23'!K9+'21'!K9+'24'!K9+'25'!K9+'26'!K9+'27'!K9+'28'!K9+'29'!K9+'30'!K9+'31'!K9+'32'!K9+'33'!K9+'34'!K9+'35'!K9+'36'!K9+'37'!K9+'7'!K9</f>
        <v>17704390</v>
      </c>
      <c r="J16" s="618">
        <f>'1'!L9+'3'!L14+'4'!L9+'5'!L9+'6'!L9+'8'!L9+'9'!L9+'10'!L9+'11'!L9+'12'!L9+'13'!L9+'14'!L9+'15'!L9+'16'!L12+'17'!L9+'18'!L9+'19'!L9+'20'!L9+'22'!L9+'23'!L9+'21'!L9+'24'!L9+'25'!L9+'26'!L9+'27'!L9+'28'!L9+'29'!L9+'30'!L9+'31'!L9+'32'!L9+'33'!L9+'34'!L9+'35'!L9+'36'!L9+'37'!L9+'7'!L9</f>
        <v>0</v>
      </c>
      <c r="K16" s="1063">
        <f>'1'!M9+'3'!M14+'4'!M9+'5'!M9+'6'!M9+'8'!M9+'9'!M9+'10'!M9+'11'!M9+'12'!M9+'13'!M9+'14'!M9+'15'!M9+'16'!M12+'17'!M9+'18'!M9+'19'!M9+'20'!M9+'22'!M9+'23'!M9+'21'!M9+'24'!M9+'25'!M9+'26'!M9+'27'!M9+'28'!M9+'29'!M9+'30'!M9+'31'!M9+'32'!M9+'33'!M9+'34'!M9+'35'!M9+'36'!M9+'37'!M9+'7'!M9</f>
        <v>17704390</v>
      </c>
      <c r="L16" s="115">
        <f t="shared" si="2"/>
        <v>105.88534682907165</v>
      </c>
      <c r="N16" s="64"/>
    </row>
    <row r="17" spans="2:15" ht="15" customHeight="1">
      <c r="B17" s="10"/>
      <c r="C17" s="291">
        <v>611200</v>
      </c>
      <c r="D17" s="649"/>
      <c r="E17" s="20" t="s">
        <v>205</v>
      </c>
      <c r="F17" s="31">
        <f>F18+F19</f>
        <v>3810190</v>
      </c>
      <c r="G17" s="618">
        <f t="shared" ref="G17:K17" si="4">G18+G19</f>
        <v>3760270</v>
      </c>
      <c r="H17" s="618">
        <f t="shared" si="4"/>
        <v>2563921</v>
      </c>
      <c r="I17" s="618">
        <f t="shared" ref="I17:J17" si="5">I18+I19</f>
        <v>3796550</v>
      </c>
      <c r="J17" s="618">
        <f t="shared" si="5"/>
        <v>0</v>
      </c>
      <c r="K17" s="1063">
        <f t="shared" si="4"/>
        <v>3796550</v>
      </c>
      <c r="L17" s="115">
        <f t="shared" si="2"/>
        <v>100.9648243344228</v>
      </c>
      <c r="N17" s="64"/>
    </row>
    <row r="18" spans="2:15" ht="15" customHeight="1">
      <c r="B18" s="10"/>
      <c r="C18" s="292">
        <v>611200</v>
      </c>
      <c r="D18" s="650"/>
      <c r="E18" s="276" t="s">
        <v>205</v>
      </c>
      <c r="F18" s="277">
        <f>'1'!H10+'3'!H15+'4'!H10+'5'!H10+'6'!H10+'8'!H10+'9'!H10+'10'!H10+'11'!H10+'12'!H10+'13'!H10+'14'!H10+'15'!H10+'16'!H13+'17'!H10+'18'!H10+'19'!H10+'20'!H10+'22'!H10+'23'!H10+'21'!H10+'24'!H10+'25'!H10+'26'!H10+'27'!H10+'28'!H10+'29'!H10+'30'!H10+'31'!H10+'32'!H10+'33'!H10+'34'!H10+'35'!H10+'36'!H10+'37'!H10+'7'!H10</f>
        <v>3608290</v>
      </c>
      <c r="G18" s="630">
        <f>'1'!I10+'3'!I15+'4'!I10+'5'!I10+'6'!I10+'8'!I10+'9'!I10+'10'!I10+'11'!I10+'12'!I10+'13'!I10+'14'!I10+'15'!I10+'16'!I13+'17'!I10+'18'!I10+'19'!I10+'20'!I10+'22'!I10+'23'!I10+'21'!I10+'24'!I10+'25'!I10+'26'!I10+'27'!I10+'28'!I10+'29'!I10+'30'!I10+'31'!I10+'32'!I10+'33'!I10+'34'!I10+'35'!I10+'36'!I10+'37'!I10+'7'!I10</f>
        <v>3653280</v>
      </c>
      <c r="H18" s="630">
        <f>'1'!J10+'3'!J15+'4'!J10+'5'!J10+'6'!J10+'8'!J10+'9'!J10+'10'!J10+'11'!J10+'12'!J10+'13'!J10+'14'!J10+'15'!J10+'16'!J13+'17'!J10+'18'!J10+'19'!J10+'20'!J10+'22'!J10+'23'!J10+'21'!J10+'24'!J10+'25'!J10+'26'!J10+'27'!J10+'28'!J10+'29'!J10+'30'!J10+'31'!J10+'32'!J10+'33'!J10+'34'!J10+'35'!J10+'36'!J10+'37'!J10+'7'!J10</f>
        <v>2492626</v>
      </c>
      <c r="I18" s="630">
        <f>'1'!K10+'3'!K15+'4'!K10+'5'!K10+'6'!K10+'8'!K10+'9'!K10+'10'!K10+'11'!K10+'12'!K10+'13'!K10+'14'!K10+'15'!K10+'16'!K13+'17'!K10+'18'!K10+'19'!K10+'20'!K10+'22'!K10+'23'!K10+'21'!K10+'24'!K10+'25'!K10+'26'!K10+'27'!K10+'28'!K10+'29'!K10+'30'!K10+'31'!K10+'32'!K10+'33'!K10+'34'!K10+'35'!K10+'36'!K10+'37'!K10+'7'!K10</f>
        <v>3678290</v>
      </c>
      <c r="J18" s="630">
        <f>'1'!L10+'3'!L15+'4'!L10+'5'!L10+'6'!L10+'8'!L10+'9'!L10+'10'!L10+'11'!L10+'12'!L10+'13'!L10+'14'!L10+'15'!L10+'16'!L13+'17'!L10+'18'!L10+'19'!L10+'20'!L10+'22'!L10+'23'!L10+'21'!L10+'24'!L10+'25'!L10+'26'!L10+'27'!L10+'28'!L10+'29'!L10+'30'!L10+'31'!L10+'32'!L10+'33'!L10+'34'!L10+'35'!L10+'36'!L10+'37'!L10+'7'!L10</f>
        <v>0</v>
      </c>
      <c r="K18" s="1089">
        <f>'1'!M10+'3'!M15+'4'!M10+'5'!M10+'6'!M10+'8'!M10+'9'!M10+'10'!M10+'11'!M10+'12'!M10+'13'!M10+'14'!M10+'15'!M10+'16'!M13+'17'!M10+'18'!M10+'19'!M10+'20'!M10+'22'!M10+'23'!M10+'21'!M10+'24'!M10+'25'!M10+'26'!M10+'27'!M10+'28'!M10+'29'!M10+'30'!M10+'31'!M10+'32'!M10+'33'!M10+'34'!M10+'35'!M10+'36'!M10+'37'!M10+'7'!M10</f>
        <v>3678290</v>
      </c>
      <c r="L18" s="278">
        <f t="shared" si="2"/>
        <v>100.68459028598957</v>
      </c>
      <c r="N18" s="64"/>
    </row>
    <row r="19" spans="2:15" ht="15" customHeight="1">
      <c r="B19" s="10"/>
      <c r="C19" s="292">
        <v>611200</v>
      </c>
      <c r="D19" s="650" t="s">
        <v>696</v>
      </c>
      <c r="E19" s="629" t="s">
        <v>848</v>
      </c>
      <c r="F19" s="277">
        <f>'1'!H11+'3'!H16+'4'!H11+'5'!H11+'6'!H11+'8'!H11+'9'!H11+'10'!H11+'11'!H11+'12'!H11+'13'!H11+'14'!H11+'15'!H11+'16'!H14+'17'!H11+'18'!H11+'19'!H11+'20'!H11+'22'!H11+'23'!H11+'21'!H11+'24'!H11+'25'!H11+'26'!H11+'27'!H11+'28'!H11+'29'!H11+'30'!H11+'31'!H11+'32'!H11+'33'!H11+'34'!H11+'35'!H11+'36'!H11+'37'!H11+'7'!H11</f>
        <v>201900</v>
      </c>
      <c r="G19" s="630">
        <f>'1'!I11+'3'!I16+'4'!I11+'5'!I11+'6'!I11+'8'!I11+'9'!I11+'10'!I11+'11'!I11+'12'!I11+'13'!I11+'14'!I11+'15'!I11+'16'!I14+'17'!I11+'18'!I11+'19'!I11+'20'!I11+'22'!I11+'23'!I11+'21'!I11+'24'!I11+'25'!I11+'26'!I11+'27'!I11+'28'!I11+'29'!I11+'30'!I11+'31'!I11+'32'!I11+'33'!I11+'34'!I11+'35'!I11+'36'!I11+'37'!I11+'7'!I11</f>
        <v>106990</v>
      </c>
      <c r="H19" s="630">
        <f>'1'!J11+'3'!J16+'4'!J11+'5'!J11+'6'!J11+'8'!J11+'9'!J11+'10'!J11+'11'!J11+'12'!J11+'13'!J11+'14'!J11+'15'!J11+'16'!J14+'17'!J11+'18'!J11+'19'!J11+'20'!J11+'22'!J11+'23'!J11+'21'!J11+'24'!J11+'25'!J11+'26'!J11+'27'!J11+'28'!J11+'29'!J11+'30'!J11+'31'!J11+'32'!J11+'33'!J11+'34'!J11+'35'!J11+'36'!J11+'37'!J11+'7'!J11</f>
        <v>71295</v>
      </c>
      <c r="I19" s="630">
        <f>'1'!K11+'3'!K16+'4'!K11+'5'!K11+'6'!K11+'8'!K11+'9'!K11+'10'!K11+'11'!K11+'12'!K11+'13'!K11+'14'!K11+'15'!K11+'16'!K14+'17'!K11+'18'!K11+'19'!K11+'20'!K11+'22'!K11+'23'!K11+'21'!K11+'24'!K11+'25'!K11+'26'!K11+'27'!K11+'28'!K11+'29'!K11+'30'!K11+'31'!K11+'32'!K11+'33'!K11+'34'!K11+'35'!K11+'36'!K11+'37'!K11+'7'!K11</f>
        <v>118260</v>
      </c>
      <c r="J19" s="630">
        <f>'1'!L11+'3'!L16+'4'!L11+'5'!L11+'6'!L11+'8'!L11+'9'!L11+'10'!L11+'11'!L11+'12'!L11+'13'!L11+'14'!L11+'15'!L11+'16'!L14+'17'!L11+'18'!L11+'19'!L11+'20'!L11+'22'!L11+'23'!L11+'21'!L11+'24'!L11+'25'!L11+'26'!L11+'27'!L11+'28'!L11+'29'!L11+'30'!L11+'31'!L11+'32'!L11+'33'!L11+'34'!L11+'35'!L11+'36'!L11+'37'!L11+'7'!L11</f>
        <v>0</v>
      </c>
      <c r="K19" s="1089">
        <f>'1'!M11+'3'!M16+'4'!M11+'5'!M11+'6'!M11+'8'!M11+'9'!M11+'10'!M11+'11'!M11+'12'!M11+'13'!M11+'14'!M11+'15'!M11+'16'!M14+'17'!M11+'18'!M11+'19'!M11+'20'!M11+'22'!M11+'23'!M11+'21'!M11+'24'!M11+'25'!M11+'26'!M11+'27'!M11+'28'!M11+'29'!M11+'30'!M11+'31'!M11+'32'!M11+'33'!M11+'34'!M11+'35'!M11+'36'!M11+'37'!M11+'7'!M11</f>
        <v>118260</v>
      </c>
      <c r="L19" s="278">
        <f t="shared" si="2"/>
        <v>110.53369473782597</v>
      </c>
      <c r="N19" s="64"/>
    </row>
    <row r="20" spans="2:15" ht="12.75" customHeight="1">
      <c r="B20" s="10"/>
      <c r="C20" s="291"/>
      <c r="D20" s="649"/>
      <c r="E20" s="11"/>
      <c r="F20" s="57"/>
      <c r="G20" s="57"/>
      <c r="H20" s="57"/>
      <c r="I20" s="595"/>
      <c r="J20" s="595"/>
      <c r="K20" s="1063"/>
      <c r="L20" s="115" t="str">
        <f t="shared" si="2"/>
        <v/>
      </c>
      <c r="N20" s="64"/>
    </row>
    <row r="21" spans="2:15" ht="15" customHeight="1">
      <c r="B21" s="10"/>
      <c r="C21" s="1097">
        <v>612000</v>
      </c>
      <c r="D21" s="1098"/>
      <c r="E21" s="1099" t="s">
        <v>162</v>
      </c>
      <c r="F21" s="1100">
        <f>F22</f>
        <v>2016960</v>
      </c>
      <c r="G21" s="1100">
        <f t="shared" ref="G21:H21" si="6">G22</f>
        <v>2008110</v>
      </c>
      <c r="H21" s="1100">
        <f t="shared" si="6"/>
        <v>1475848</v>
      </c>
      <c r="I21" s="1100">
        <f>I22</f>
        <v>2108270</v>
      </c>
      <c r="J21" s="1100">
        <f>J22</f>
        <v>0</v>
      </c>
      <c r="K21" s="1064">
        <f>K22</f>
        <v>2108270</v>
      </c>
      <c r="L21" s="1101">
        <f t="shared" si="2"/>
        <v>104.98777457410202</v>
      </c>
      <c r="N21" s="64"/>
      <c r="O21" s="64"/>
    </row>
    <row r="22" spans="2:15" s="1" customFormat="1" ht="15" customHeight="1">
      <c r="B22" s="12"/>
      <c r="C22" s="291">
        <v>612100</v>
      </c>
      <c r="D22" s="649"/>
      <c r="E22" s="13" t="s">
        <v>83</v>
      </c>
      <c r="F22" s="31">
        <f>'1'!H14+'3'!H19+'4'!H14+'5'!H14+'6'!H14+'8'!H14+'9'!H14+'10'!H14+'11'!H14+'12'!H14+'13'!H14+'14'!H14+'15'!H14+'16'!H17+'17'!H14+'18'!H14+'19'!H14+'20'!H14+'22'!H14+'23'!H14+'21'!H14+'24'!H14+'25'!H14+'26'!H14+'27'!H14+'28'!H14+'29'!H14+'30'!H14+'31'!H14+'32'!H14+'33'!H14+'34'!H14+'35'!H14+'36'!H14+'37'!H14+'7'!H14</f>
        <v>2016960</v>
      </c>
      <c r="G22" s="618">
        <f>'1'!I14+'3'!I19+'4'!I14+'5'!I14+'6'!I14+'8'!I14+'9'!I14+'10'!I14+'11'!I14+'12'!I14+'13'!I14+'14'!I14+'15'!I14+'16'!I17+'17'!I14+'18'!I14+'19'!I14+'20'!I14+'22'!I14+'23'!I14+'21'!I14+'24'!I14+'25'!I14+'26'!I14+'27'!I14+'28'!I14+'29'!I14+'30'!I14+'31'!I14+'32'!I14+'33'!I14+'34'!I14+'35'!I14+'36'!I14+'37'!I14+'7'!I14</f>
        <v>2008110</v>
      </c>
      <c r="H22" s="618">
        <f>'1'!J14+'3'!J19+'4'!J14+'5'!J14+'6'!J14+'8'!J14+'9'!J14+'10'!J14+'11'!J14+'12'!J14+'13'!J14+'14'!J14+'15'!J14+'16'!J17+'17'!J14+'18'!J14+'19'!J14+'20'!J14+'22'!J14+'23'!J14+'21'!J14+'24'!J14+'25'!J14+'26'!J14+'27'!J14+'28'!J14+'29'!J14+'30'!J14+'31'!J14+'32'!J14+'33'!J14+'34'!J14+'35'!J14+'36'!J14+'37'!J14+'7'!J14</f>
        <v>1475848</v>
      </c>
      <c r="I22" s="618">
        <f>'1'!K14+'3'!K19+'4'!K14+'5'!K14+'6'!K14+'8'!K14+'9'!K14+'10'!K14+'11'!K14+'12'!K14+'13'!K14+'14'!K14+'15'!K14+'16'!K17+'17'!K14+'18'!K14+'19'!K14+'20'!K14+'22'!K14+'23'!K14+'21'!K14+'24'!K14+'25'!K14+'26'!K14+'27'!K14+'28'!K14+'29'!K14+'30'!K14+'31'!K14+'32'!K14+'33'!K14+'34'!K14+'35'!K14+'36'!K14+'37'!K14+'7'!K14</f>
        <v>2108270</v>
      </c>
      <c r="J22" s="618">
        <f>'1'!L14+'3'!L19+'4'!L14+'5'!L14+'6'!L14+'8'!L14+'9'!L14+'10'!L14+'11'!L14+'12'!L14+'13'!L14+'14'!L14+'15'!L14+'16'!L17+'17'!L14+'18'!L14+'19'!L14+'20'!L14+'22'!L14+'23'!L14+'21'!L14+'24'!L14+'25'!L14+'26'!L14+'27'!L14+'28'!L14+'29'!L14+'30'!L14+'31'!L14+'32'!L14+'33'!L14+'34'!L14+'35'!L14+'36'!L14+'37'!L14+'7'!L14</f>
        <v>0</v>
      </c>
      <c r="K22" s="1063">
        <f>'1'!M14+'3'!M19+'4'!M14+'5'!M14+'6'!M14+'8'!M14+'9'!M14+'10'!M14+'11'!M14+'12'!M14+'13'!M14+'14'!M14+'15'!M14+'16'!M17+'17'!M14+'18'!M14+'19'!M14+'20'!M14+'22'!M14+'23'!M14+'21'!M14+'24'!M14+'25'!M14+'26'!M14+'27'!M14+'28'!M14+'29'!M14+'30'!M14+'31'!M14+'32'!M14+'33'!M14+'34'!M14+'35'!M14+'36'!M14+'37'!M14+'7'!M14</f>
        <v>2108270</v>
      </c>
      <c r="L22" s="115">
        <f t="shared" si="2"/>
        <v>104.98777457410202</v>
      </c>
      <c r="N22" s="65"/>
    </row>
    <row r="23" spans="2:15" ht="11.25" customHeight="1">
      <c r="B23" s="10"/>
      <c r="C23" s="291"/>
      <c r="D23" s="649"/>
      <c r="E23" s="20"/>
      <c r="F23" s="31"/>
      <c r="G23" s="31"/>
      <c r="H23" s="31"/>
      <c r="I23" s="618"/>
      <c r="J23" s="618"/>
      <c r="K23" s="1063"/>
      <c r="L23" s="115" t="str">
        <f t="shared" si="2"/>
        <v/>
      </c>
    </row>
    <row r="24" spans="2:15" ht="15" customHeight="1">
      <c r="B24" s="10"/>
      <c r="C24" s="1097">
        <v>613000</v>
      </c>
      <c r="D24" s="1098"/>
      <c r="E24" s="1099" t="s">
        <v>164</v>
      </c>
      <c r="F24" s="1100">
        <f>F25+F26+F27+F28+F29+F30+F31+F34+F37</f>
        <v>4531970</v>
      </c>
      <c r="G24" s="1100">
        <f t="shared" ref="G24:H24" si="7">G25+G26+G27+G28+G29+G30+G31+G34+G37</f>
        <v>4462290</v>
      </c>
      <c r="H24" s="1100">
        <f t="shared" si="7"/>
        <v>2916031</v>
      </c>
      <c r="I24" s="1100">
        <f>I25+I26+I27+I28+I29+I30+I31+I34+I37</f>
        <v>4210130</v>
      </c>
      <c r="J24" s="1100">
        <f>J25+J26+J27+J28+J29+J30+J31+J34+J37</f>
        <v>200000</v>
      </c>
      <c r="K24" s="1064">
        <f>K25+K26+K27+K28+K29+K30+K31+K34+K37</f>
        <v>4410130</v>
      </c>
      <c r="L24" s="1101">
        <f t="shared" si="2"/>
        <v>98.831093452016788</v>
      </c>
      <c r="N24" s="98"/>
    </row>
    <row r="25" spans="2:15" s="1" customFormat="1" ht="15" customHeight="1">
      <c r="B25" s="12"/>
      <c r="C25" s="291">
        <v>613100</v>
      </c>
      <c r="D25" s="649"/>
      <c r="E25" s="11" t="s">
        <v>84</v>
      </c>
      <c r="F25" s="31">
        <f>'1'!H17+'3'!H22+'4'!H17+'5'!H17+'6'!H17+'8'!H17+'9'!H17+'10'!H17+'11'!H17+'12'!H17+'13'!H17+'14'!H17+'15'!H17+'16'!H20+'17'!H17+'18'!H17+'19'!H17+'20'!H17+'22'!H17+'23'!H17+'21'!H17+'24'!H17+'25'!H17+'26'!H17+'27'!H17+'28'!H17+'29'!H17+'30'!H17+'31'!H17+'32'!H17+'33'!H17+'34'!H17+'35'!H17+'36'!H17+'37'!H17+'7'!H17</f>
        <v>160910</v>
      </c>
      <c r="G25" s="618">
        <f>'1'!I17+'3'!I22+'4'!I17+'5'!I17+'6'!I17+'8'!I17+'9'!I17+'10'!I17+'11'!I17+'12'!I17+'13'!I17+'14'!I17+'15'!I17+'16'!I20+'17'!I17+'18'!I17+'19'!I17+'20'!I17+'22'!I17+'23'!I17+'21'!I17+'24'!I17+'25'!I17+'26'!I17+'27'!I17+'28'!I17+'29'!I17+'30'!I17+'31'!I17+'32'!I17+'33'!I17+'34'!I17+'35'!I17+'36'!I17+'37'!I17+'7'!I17</f>
        <v>167700</v>
      </c>
      <c r="H25" s="618">
        <f>'1'!J17+'3'!J22+'4'!J17+'5'!J17+'6'!J17+'8'!J17+'9'!J17+'10'!J17+'11'!J17+'12'!J17+'13'!J17+'14'!J17+'15'!J17+'16'!J20+'17'!J17+'18'!J17+'19'!J17+'20'!J17+'22'!J17+'23'!J17+'21'!J17+'24'!J17+'25'!J17+'26'!J17+'27'!J17+'28'!J17+'29'!J17+'30'!J17+'31'!J17+'32'!J17+'33'!J17+'34'!J17+'35'!J17+'36'!J17+'37'!J17+'7'!J17</f>
        <v>108472</v>
      </c>
      <c r="I25" s="618">
        <f>'1'!K17+'3'!K22+'4'!K17+'5'!K17+'6'!K17+'8'!K17+'9'!K17+'10'!K17+'11'!K17+'12'!K17+'13'!K17+'14'!K17+'15'!K17+'16'!K20+'17'!K17+'18'!K17+'19'!K17+'20'!K17+'22'!K17+'23'!K17+'21'!K17+'24'!K17+'25'!K17+'26'!K17+'27'!K17+'28'!K17+'29'!K17+'30'!K17+'31'!K17+'32'!K17+'33'!K17+'34'!K17+'35'!K17+'36'!K17+'37'!K17+'7'!K17</f>
        <v>161600</v>
      </c>
      <c r="J25" s="618">
        <f>'1'!L17+'3'!L22+'4'!L17+'5'!L17+'6'!L17+'8'!L17+'9'!L17+'10'!L17+'11'!L17+'12'!L17+'13'!L17+'14'!L17+'15'!L17+'16'!L20+'17'!L17+'18'!L17+'19'!L17+'20'!L17+'22'!L17+'23'!L17+'21'!L17+'24'!L17+'25'!L17+'26'!L17+'27'!L17+'28'!L17+'29'!L17+'30'!L17+'31'!L17+'32'!L17+'33'!L17+'34'!L17+'35'!L17+'36'!L17+'37'!L17+'7'!L17</f>
        <v>0</v>
      </c>
      <c r="K25" s="1063">
        <f>'1'!M17+'3'!M22+'4'!M17+'5'!M17+'6'!M17+'8'!M17+'9'!M17+'10'!M17+'11'!M17+'12'!M17+'13'!M17+'14'!M17+'15'!M17+'16'!M20+'17'!M17+'18'!M17+'19'!M17+'20'!M17+'22'!M17+'23'!M17+'21'!M17+'24'!M17+'25'!M17+'26'!M17+'27'!M17+'28'!M17+'29'!M17+'30'!M17+'31'!M17+'32'!M17+'33'!M17+'34'!M17+'35'!M17+'36'!M17+'37'!M17+'7'!M17</f>
        <v>161600</v>
      </c>
      <c r="L25" s="115">
        <f t="shared" si="2"/>
        <v>96.362552176505673</v>
      </c>
      <c r="N25" s="65"/>
    </row>
    <row r="26" spans="2:15" ht="15" customHeight="1">
      <c r="B26" s="10"/>
      <c r="C26" s="291">
        <v>613200</v>
      </c>
      <c r="D26" s="649"/>
      <c r="E26" s="11" t="s">
        <v>85</v>
      </c>
      <c r="F26" s="31">
        <f>'1'!H18+'3'!H23+'4'!H18+'5'!H18+'6'!H18+'8'!H18+'9'!H18+'10'!H18+'11'!H18+'12'!H18+'13'!H18+'14'!H18+'15'!H18+'16'!H21+'17'!H18+'18'!H18+'19'!H18+'20'!H18+'22'!H18+'23'!H18+'21'!H18+'24'!H18+'25'!H18+'26'!H18+'27'!H18+'28'!H18+'29'!H18+'30'!H18+'31'!H18+'32'!H18+'33'!H18+'34'!H18+'35'!H18+'36'!H18+'37'!H18+'7'!H18</f>
        <v>752100</v>
      </c>
      <c r="G26" s="618">
        <f>'1'!I18+'3'!I23+'4'!I18+'5'!I18+'6'!I18+'8'!I18+'9'!I18+'10'!I18+'11'!I18+'12'!I18+'13'!I18+'14'!I18+'15'!I18+'16'!I21+'17'!I18+'18'!I18+'19'!I18+'20'!I18+'22'!I18+'23'!I18+'21'!I18+'24'!I18+'25'!I18+'26'!I18+'27'!I18+'28'!I18+'29'!I18+'30'!I18+'31'!I18+'32'!I18+'33'!I18+'34'!I18+'35'!I18+'36'!I18+'37'!I18+'7'!I18</f>
        <v>725800</v>
      </c>
      <c r="H26" s="618">
        <f>'1'!J18+'3'!J23+'4'!J18+'5'!J18+'6'!J18+'8'!J18+'9'!J18+'10'!J18+'11'!J18+'12'!J18+'13'!J18+'14'!J18+'15'!J18+'16'!J21+'17'!J18+'18'!J18+'19'!J18+'20'!J18+'22'!J18+'23'!J18+'21'!J18+'24'!J18+'25'!J18+'26'!J18+'27'!J18+'28'!J18+'29'!J18+'30'!J18+'31'!J18+'32'!J18+'33'!J18+'34'!J18+'35'!J18+'36'!J18+'37'!J18+'7'!J18</f>
        <v>393240</v>
      </c>
      <c r="I26" s="618">
        <f>'1'!K18+'3'!K23+'4'!K18+'5'!K18+'6'!K18+'8'!K18+'9'!K18+'10'!K18+'11'!K18+'12'!K18+'13'!K18+'14'!K18+'15'!K18+'16'!K21+'17'!K18+'18'!K18+'19'!K18+'20'!K18+'22'!K18+'23'!K18+'21'!K18+'24'!K18+'25'!K18+'26'!K18+'27'!K18+'28'!K18+'29'!K18+'30'!K18+'31'!K18+'32'!K18+'33'!K18+'34'!K18+'35'!K18+'36'!K18+'37'!K18+'7'!K18</f>
        <v>748100</v>
      </c>
      <c r="J26" s="618">
        <f>'1'!L18+'3'!L23+'4'!L18+'5'!L18+'6'!L18+'8'!L18+'9'!L18+'10'!L18+'11'!L18+'12'!L18+'13'!L18+'14'!L18+'15'!L18+'16'!L21+'17'!L18+'18'!L18+'19'!L18+'20'!L18+'22'!L18+'23'!L18+'21'!L18+'24'!L18+'25'!L18+'26'!L18+'27'!L18+'28'!L18+'29'!L18+'30'!L18+'31'!L18+'32'!L18+'33'!L18+'34'!L18+'35'!L18+'36'!L18+'37'!L18+'7'!L18</f>
        <v>0</v>
      </c>
      <c r="K26" s="1063">
        <f>'1'!M18+'3'!M23+'4'!M18+'5'!M18+'6'!M18+'8'!M18+'9'!M18+'10'!M18+'11'!M18+'12'!M18+'13'!M18+'14'!M18+'15'!M18+'16'!M21+'17'!M18+'18'!M18+'19'!M18+'20'!M18+'22'!M18+'23'!M18+'21'!M18+'24'!M18+'25'!M18+'26'!M18+'27'!M18+'28'!M18+'29'!M18+'30'!M18+'31'!M18+'32'!M18+'33'!M18+'34'!M18+'35'!M18+'36'!M18+'37'!M18+'7'!M18</f>
        <v>748100</v>
      </c>
      <c r="L26" s="115">
        <f t="shared" si="2"/>
        <v>103.07247175530449</v>
      </c>
    </row>
    <row r="27" spans="2:15" ht="15" customHeight="1">
      <c r="B27" s="10"/>
      <c r="C27" s="291">
        <v>613300</v>
      </c>
      <c r="D27" s="649"/>
      <c r="E27" s="20" t="s">
        <v>206</v>
      </c>
      <c r="F27" s="31">
        <f>'1'!H19+'3'!H24+'4'!H19+'5'!H19+'6'!H19+'8'!H19+'9'!H19+'10'!H19+'11'!H19+'12'!H19+'13'!H19+'14'!H19+'15'!H19+'16'!H22+'17'!H19+'18'!H19+'19'!H19+'20'!H19+'22'!H19+'23'!H19+'21'!H19+'24'!H19+'25'!H19+'26'!H19+'27'!H19+'28'!H19+'29'!H19+'30'!H19+'31'!H19+'32'!H19+'33'!H19+'34'!H19+'35'!H19+'36'!H19+'37'!H19+'7'!H19</f>
        <v>439600</v>
      </c>
      <c r="G27" s="618">
        <f>'1'!I19+'3'!I24+'4'!I19+'5'!I19+'6'!I19+'8'!I19+'9'!I19+'10'!I19+'11'!I19+'12'!I19+'13'!I19+'14'!I19+'15'!I19+'16'!I22+'17'!I19+'18'!I19+'19'!I19+'20'!I19+'22'!I19+'23'!I19+'21'!I19+'24'!I19+'25'!I19+'26'!I19+'27'!I19+'28'!I19+'29'!I19+'30'!I19+'31'!I19+'32'!I19+'33'!I19+'34'!I19+'35'!I19+'36'!I19+'37'!I19+'7'!I19</f>
        <v>416600</v>
      </c>
      <c r="H27" s="618">
        <f>'1'!J19+'3'!J24+'4'!J19+'5'!J19+'6'!J19+'8'!J19+'9'!J19+'10'!J19+'11'!J19+'12'!J19+'13'!J19+'14'!J19+'15'!J19+'16'!J22+'17'!J19+'18'!J19+'19'!J19+'20'!J19+'22'!J19+'23'!J19+'21'!J19+'24'!J19+'25'!J19+'26'!J19+'27'!J19+'28'!J19+'29'!J19+'30'!J19+'31'!J19+'32'!J19+'33'!J19+'34'!J19+'35'!J19+'36'!J19+'37'!J19+'7'!J19</f>
        <v>282985</v>
      </c>
      <c r="I27" s="618">
        <f>'1'!K19+'3'!K24+'4'!K19+'5'!K19+'6'!K19+'8'!K19+'9'!K19+'10'!K19+'11'!K19+'12'!K19+'13'!K19+'14'!K19+'15'!K19+'16'!K22+'17'!K19+'18'!K19+'19'!K19+'20'!K19+'22'!K19+'23'!K19+'21'!K19+'24'!K19+'25'!K19+'26'!K19+'27'!K19+'28'!K19+'29'!K19+'30'!K19+'31'!K19+'32'!K19+'33'!K19+'34'!K19+'35'!K19+'36'!K19+'37'!K19+'7'!K19</f>
        <v>438680</v>
      </c>
      <c r="J27" s="618">
        <f>'1'!L19+'3'!L24+'4'!L19+'5'!L19+'6'!L19+'8'!L19+'9'!L19+'10'!L19+'11'!L19+'12'!L19+'13'!L19+'14'!L19+'15'!L19+'16'!L22+'17'!L19+'18'!L19+'19'!L19+'20'!L19+'22'!L19+'23'!L19+'21'!L19+'24'!L19+'25'!L19+'26'!L19+'27'!L19+'28'!L19+'29'!L19+'30'!L19+'31'!L19+'32'!L19+'33'!L19+'34'!L19+'35'!L19+'36'!L19+'37'!L19+'7'!L19</f>
        <v>0</v>
      </c>
      <c r="K27" s="1063">
        <f>'1'!M19+'3'!M24+'4'!M19+'5'!M19+'6'!M19+'8'!M19+'9'!M19+'10'!M19+'11'!M19+'12'!M19+'13'!M19+'14'!M19+'15'!M19+'16'!M22+'17'!M19+'18'!M19+'19'!M19+'20'!M19+'22'!M19+'23'!M19+'21'!M19+'24'!M19+'25'!M19+'26'!M19+'27'!M19+'28'!M19+'29'!M19+'30'!M19+'31'!M19+'32'!M19+'33'!M19+'34'!M19+'35'!M19+'36'!M19+'37'!M19+'7'!M19</f>
        <v>438680</v>
      </c>
      <c r="L27" s="115">
        <f t="shared" si="2"/>
        <v>105.30004800768123</v>
      </c>
    </row>
    <row r="28" spans="2:15" ht="15" customHeight="1">
      <c r="B28" s="10"/>
      <c r="C28" s="291">
        <v>613400</v>
      </c>
      <c r="D28" s="649"/>
      <c r="E28" s="20" t="s">
        <v>165</v>
      </c>
      <c r="F28" s="31">
        <f>'1'!H20+'3'!H25+'4'!H20+'5'!H20+'6'!H20+'8'!H20+'9'!H20+'10'!H20+'11'!H20+'12'!H20+'13'!H20+'14'!H20+'15'!H20+'16'!H23+'17'!H20+'18'!H20+'19'!H20+'20'!H20+'22'!H20+'23'!H20+'21'!H20+'24'!H20+'25'!H20+'26'!H20+'27'!H20+'28'!H20+'29'!H20+'30'!H20+'31'!H20+'32'!H20+'33'!H20+'34'!H20+'35'!H20+'36'!H20+'37'!H20+'7'!H20</f>
        <v>520600</v>
      </c>
      <c r="G28" s="618">
        <f>'1'!I20+'3'!I25+'4'!I20+'5'!I20+'6'!I20+'8'!I20+'9'!I20+'10'!I20+'11'!I20+'12'!I20+'13'!I20+'14'!I20+'15'!I20+'16'!I23+'17'!I20+'18'!I20+'19'!I20+'20'!I20+'22'!I20+'23'!I20+'21'!I20+'24'!I20+'25'!I20+'26'!I20+'27'!I20+'28'!I20+'29'!I20+'30'!I20+'31'!I20+'32'!I20+'33'!I20+'34'!I20+'35'!I20+'36'!I20+'37'!I20+'7'!I20</f>
        <v>568670</v>
      </c>
      <c r="H28" s="618">
        <f>'1'!J20+'3'!J25+'4'!J20+'5'!J20+'6'!J20+'8'!J20+'9'!J20+'10'!J20+'11'!J20+'12'!J20+'13'!J20+'14'!J20+'15'!J20+'16'!J23+'17'!J20+'18'!J20+'19'!J20+'20'!J20+'22'!J20+'23'!J20+'21'!J20+'24'!J20+'25'!J20+'26'!J20+'27'!J20+'28'!J20+'29'!J20+'30'!J20+'31'!J20+'32'!J20+'33'!J20+'34'!J20+'35'!J20+'36'!J20+'37'!J20+'7'!J20</f>
        <v>380419</v>
      </c>
      <c r="I28" s="618">
        <f>'1'!K20+'3'!K25+'4'!K20+'5'!K20+'6'!K20+'8'!K20+'9'!K20+'10'!K20+'11'!K20+'12'!K20+'13'!K20+'14'!K20+'15'!K20+'16'!K23+'17'!K20+'18'!K20+'19'!K20+'20'!K20+'22'!K20+'23'!K20+'21'!K20+'24'!K20+'25'!K20+'26'!K20+'27'!K20+'28'!K20+'29'!K20+'30'!K20+'31'!K20+'32'!K20+'33'!K20+'34'!K20+'35'!K20+'36'!K20+'37'!K20+'7'!K20</f>
        <v>514650</v>
      </c>
      <c r="J28" s="618">
        <f>'1'!L20+'3'!L25+'4'!L20+'5'!L20+'6'!L20+'8'!L20+'9'!L20+'10'!L20+'11'!L20+'12'!L20+'13'!L20+'14'!L20+'15'!L20+'16'!L23+'17'!L20+'18'!L20+'19'!L20+'20'!L20+'22'!L20+'23'!L20+'21'!L20+'24'!L20+'25'!L20+'26'!L20+'27'!L20+'28'!L20+'29'!L20+'30'!L20+'31'!L20+'32'!L20+'33'!L20+'34'!L20+'35'!L20+'36'!L20+'37'!L20+'7'!L20</f>
        <v>0</v>
      </c>
      <c r="K28" s="1063">
        <f>'1'!M20+'3'!M25+'4'!M20+'5'!M20+'6'!M20+'8'!M20+'9'!M20+'10'!M20+'11'!M20+'12'!M20+'13'!M20+'14'!M20+'15'!M20+'16'!M23+'17'!M20+'18'!M20+'19'!M20+'20'!M20+'22'!M20+'23'!M20+'21'!M20+'24'!M20+'25'!M20+'26'!M20+'27'!M20+'28'!M20+'29'!M20+'30'!M20+'31'!M20+'32'!M20+'33'!M20+'34'!M20+'35'!M20+'36'!M20+'37'!M20+'7'!M20</f>
        <v>514650</v>
      </c>
      <c r="L28" s="115">
        <f t="shared" si="2"/>
        <v>90.500641848523742</v>
      </c>
    </row>
    <row r="29" spans="2:15" ht="15" customHeight="1">
      <c r="B29" s="10"/>
      <c r="C29" s="291">
        <v>613500</v>
      </c>
      <c r="D29" s="649"/>
      <c r="E29" s="14" t="s">
        <v>86</v>
      </c>
      <c r="F29" s="88">
        <f>'1'!H21+'3'!H26+'4'!H21+'5'!H21+'6'!H21+'8'!H21+'9'!H21+'10'!H21+'11'!H21+'12'!H21+'13'!H21+'14'!H21+'15'!H21+'16'!H24+'17'!H21+'18'!H21+'19'!H21+'20'!H21+'22'!H21+'23'!H21+'21'!H21+'24'!H21+'25'!H21+'26'!H21+'27'!H21+'28'!H21+'29'!H21+'30'!H21+'31'!H21+'32'!H21+'33'!H21+'34'!H21+'35'!H21+'36'!H21+'37'!H21+'7'!H21</f>
        <v>204490</v>
      </c>
      <c r="G29" s="623">
        <f>'1'!I21+'3'!I26+'4'!I21+'5'!I21+'6'!I21+'8'!I21+'9'!I21+'10'!I21+'11'!I21+'12'!I21+'13'!I21+'14'!I21+'15'!I21+'16'!I24+'17'!I21+'18'!I21+'19'!I21+'20'!I21+'22'!I21+'23'!I21+'21'!I21+'24'!I21+'25'!I21+'26'!I21+'27'!I21+'28'!I21+'29'!I21+'30'!I21+'31'!I21+'32'!I21+'33'!I21+'34'!I21+'35'!I21+'36'!I21+'37'!I21+'7'!I21</f>
        <v>221590</v>
      </c>
      <c r="H29" s="623">
        <f>'1'!J21+'3'!J26+'4'!J21+'5'!J21+'6'!J21+'8'!J21+'9'!J21+'10'!J21+'11'!J21+'12'!J21+'13'!J21+'14'!J21+'15'!J21+'16'!J24+'17'!J21+'18'!J21+'19'!J21+'20'!J21+'22'!J21+'23'!J21+'21'!J21+'24'!J21+'25'!J21+'26'!J21+'27'!J21+'28'!J21+'29'!J21+'30'!J21+'31'!J21+'32'!J21+'33'!J21+'34'!J21+'35'!J21+'36'!J21+'37'!J21+'7'!J21</f>
        <v>163449</v>
      </c>
      <c r="I29" s="623">
        <f>'1'!K21+'3'!K26+'4'!K21+'5'!K21+'6'!K21+'8'!K21+'9'!K21+'10'!K21+'11'!K21+'12'!K21+'13'!K21+'14'!K21+'15'!K21+'16'!K24+'17'!K21+'18'!K21+'19'!K21+'20'!K21+'22'!K21+'23'!K21+'21'!K21+'24'!K21+'25'!K21+'26'!K21+'27'!K21+'28'!K21+'29'!K21+'30'!K21+'31'!K21+'32'!K21+'33'!K21+'34'!K21+'35'!K21+'36'!K21+'37'!K21+'7'!K21</f>
        <v>210500</v>
      </c>
      <c r="J29" s="623">
        <f>'1'!L21+'3'!L26+'4'!L21+'5'!L21+'6'!L21+'8'!L21+'9'!L21+'10'!L21+'11'!L21+'12'!L21+'13'!L21+'14'!L21+'15'!L21+'16'!L24+'17'!L21+'18'!L21+'19'!L21+'20'!L21+'22'!L21+'23'!L21+'21'!L21+'24'!L21+'25'!L21+'26'!L21+'27'!L21+'28'!L21+'29'!L21+'30'!L21+'31'!L21+'32'!L21+'33'!L21+'34'!L21+'35'!L21+'36'!L21+'37'!L21+'7'!L21</f>
        <v>0</v>
      </c>
      <c r="K29" s="1063">
        <f>'1'!M21+'3'!M26+'4'!M21+'5'!M21+'6'!M21+'8'!M21+'9'!M21+'10'!M21+'11'!M21+'12'!M21+'13'!M21+'14'!M21+'15'!M21+'16'!M24+'17'!M21+'18'!M21+'19'!M21+'20'!M21+'22'!M21+'23'!M21+'21'!M21+'24'!M21+'25'!M21+'26'!M21+'27'!M21+'28'!M21+'29'!M21+'30'!M21+'31'!M21+'32'!M21+'33'!M21+'34'!M21+'35'!M21+'36'!M21+'37'!M21+'7'!M21</f>
        <v>210500</v>
      </c>
      <c r="L29" s="115">
        <f t="shared" si="2"/>
        <v>94.995261519021611</v>
      </c>
    </row>
    <row r="30" spans="2:15" ht="15" customHeight="1">
      <c r="B30" s="10"/>
      <c r="C30" s="291">
        <v>613600</v>
      </c>
      <c r="D30" s="649"/>
      <c r="E30" s="81" t="s">
        <v>207</v>
      </c>
      <c r="F30" s="88">
        <f>'1'!H22+'3'!H27+'4'!H22+'5'!H22+'6'!H22+'8'!H22+'9'!H22+'10'!H22+'11'!H22+'12'!H22+'13'!H22+'14'!H22+'15'!H22+'16'!H25+'17'!H22+'18'!H22+'19'!H22+'20'!H22+'22'!H22+'23'!H22+'21'!H22+'24'!H22+'25'!H22+'26'!H22+'27'!H22+'28'!H22+'29'!H22+'30'!H22+'31'!H22+'32'!H22+'33'!H22+'34'!H22+'35'!H22+'36'!H22+'37'!H22+'7'!H22</f>
        <v>38500</v>
      </c>
      <c r="G30" s="623">
        <f>'1'!I22+'3'!I27+'4'!I22+'5'!I22+'6'!I22+'8'!I22+'9'!I22+'10'!I22+'11'!I22+'12'!I22+'13'!I22+'14'!I22+'15'!I22+'16'!I25+'17'!I22+'18'!I22+'19'!I22+'20'!I22+'22'!I22+'23'!I22+'21'!I22+'24'!I22+'25'!I22+'26'!I22+'27'!I22+'28'!I22+'29'!I22+'30'!I22+'31'!I22+'32'!I22+'33'!I22+'34'!I22+'35'!I22+'36'!I22+'37'!I22+'7'!I22</f>
        <v>38500</v>
      </c>
      <c r="H30" s="623">
        <f>'1'!J22+'3'!J27+'4'!J22+'5'!J22+'6'!J22+'8'!J22+'9'!J22+'10'!J22+'11'!J22+'12'!J22+'13'!J22+'14'!J22+'15'!J22+'16'!J25+'17'!J22+'18'!J22+'19'!J22+'20'!J22+'22'!J22+'23'!J22+'21'!J22+'24'!J22+'25'!J22+'26'!J22+'27'!J22+'28'!J22+'29'!J22+'30'!J22+'31'!J22+'32'!J22+'33'!J22+'34'!J22+'35'!J22+'36'!J22+'37'!J22+'7'!J22</f>
        <v>27669</v>
      </c>
      <c r="I30" s="623">
        <f>'1'!K22+'3'!K27+'4'!K22+'5'!K22+'6'!K22+'8'!K22+'9'!K22+'10'!K22+'11'!K22+'12'!K22+'13'!K22+'14'!K22+'15'!K22+'16'!K25+'17'!K22+'18'!K22+'19'!K22+'20'!K22+'22'!K22+'23'!K22+'21'!K22+'24'!K22+'25'!K22+'26'!K22+'27'!K22+'28'!K22+'29'!K22+'30'!K22+'31'!K22+'32'!K22+'33'!K22+'34'!K22+'35'!K22+'36'!K22+'37'!K22+'7'!K22</f>
        <v>38500</v>
      </c>
      <c r="J30" s="623">
        <f>'1'!L22+'3'!L27+'4'!L22+'5'!L22+'6'!L22+'8'!L22+'9'!L22+'10'!L22+'11'!L22+'12'!L22+'13'!L22+'14'!L22+'15'!L22+'16'!L25+'17'!L22+'18'!L22+'19'!L22+'20'!L22+'22'!L22+'23'!L22+'21'!L22+'24'!L22+'25'!L22+'26'!L22+'27'!L22+'28'!L22+'29'!L22+'30'!L22+'31'!L22+'32'!L22+'33'!L22+'34'!L22+'35'!L22+'36'!L22+'37'!L22+'7'!L22</f>
        <v>0</v>
      </c>
      <c r="K30" s="1063">
        <f>'1'!M22+'3'!M27+'4'!M22+'5'!M22+'6'!M22+'8'!M22+'9'!M22+'10'!M22+'11'!M22+'12'!M22+'13'!M22+'14'!M22+'15'!M22+'16'!M25+'17'!M22+'18'!M22+'19'!M22+'20'!M22+'22'!M22+'23'!M22+'21'!M22+'24'!M22+'25'!M22+'26'!M22+'27'!M22+'28'!M22+'29'!M22+'30'!M22+'31'!M22+'32'!M22+'33'!M22+'34'!M22+'35'!M22+'36'!M22+'37'!M22+'7'!M22</f>
        <v>38500</v>
      </c>
      <c r="L30" s="115">
        <f t="shared" si="2"/>
        <v>100</v>
      </c>
    </row>
    <row r="31" spans="2:15" ht="15" customHeight="1">
      <c r="B31" s="10"/>
      <c r="C31" s="291">
        <v>613700</v>
      </c>
      <c r="D31" s="649"/>
      <c r="E31" s="14" t="s">
        <v>87</v>
      </c>
      <c r="F31" s="88">
        <f>F32+F33</f>
        <v>533600</v>
      </c>
      <c r="G31" s="623">
        <f t="shared" ref="G31:K31" si="8">G32+G33</f>
        <v>496800</v>
      </c>
      <c r="H31" s="623">
        <f t="shared" si="8"/>
        <v>299083</v>
      </c>
      <c r="I31" s="623">
        <f t="shared" ref="I31:J31" si="9">I32+I33</f>
        <v>314800</v>
      </c>
      <c r="J31" s="623">
        <f t="shared" si="9"/>
        <v>200000</v>
      </c>
      <c r="K31" s="1063">
        <f t="shared" si="8"/>
        <v>514800</v>
      </c>
      <c r="L31" s="115">
        <f t="shared" si="2"/>
        <v>103.62318840579709</v>
      </c>
    </row>
    <row r="32" spans="2:15" ht="15" customHeight="1">
      <c r="B32" s="10"/>
      <c r="C32" s="292">
        <v>613700</v>
      </c>
      <c r="D32" s="650"/>
      <c r="E32" s="279" t="s">
        <v>567</v>
      </c>
      <c r="F32" s="280">
        <f>'1'!H23+'3'!H28+'4'!H23+'5'!H23+'6'!H23+'8'!H23+'9'!H23+'10'!H23+'11'!H23+'12'!H23+'13'!H23+'14'!H23+'15'!H23+'16'!H26+'17'!H23+'18'!H23+'19'!H23+'20'!H23+'22'!H23+'23'!H23+'21'!H23+'24'!H23+'25'!H23+'26'!H23+'27'!H23+'28'!H23+'29'!H23+'30'!H23+'31'!H23+'32'!H23+'33'!H23+'34'!H23+'35'!H23+'36'!H23+'37'!H23+'7'!H23</f>
        <v>333600</v>
      </c>
      <c r="G32" s="632">
        <f>'1'!I23+'3'!I28+'4'!I23+'5'!I23+'6'!I23+'8'!I23+'9'!I23+'10'!I23+'11'!I23+'12'!I23+'13'!I23+'14'!I23+'15'!I23+'16'!I26+'17'!I23+'18'!I23+'19'!I23+'20'!I23+'22'!I23+'23'!I23+'21'!I23+'24'!I23+'25'!I23+'26'!I23+'27'!I23+'28'!I23+'29'!I23+'30'!I23+'31'!I23+'32'!I23+'33'!I23+'34'!I23+'35'!I23+'36'!I23+'37'!I23+'7'!I23</f>
        <v>299800</v>
      </c>
      <c r="H32" s="632">
        <f>'1'!J23+'3'!J28+'4'!J23+'5'!J23+'6'!J23+'8'!J23+'9'!J23+'10'!J23+'11'!J23+'12'!J23+'13'!J23+'14'!J23+'15'!J23+'16'!J26+'17'!J23+'18'!J23+'19'!J23+'20'!J23+'22'!J23+'23'!J23+'21'!J23+'24'!J23+'25'!J23+'26'!J23+'27'!J23+'28'!J23+'29'!J23+'30'!J23+'31'!J23+'32'!J23+'33'!J23+'34'!J23+'35'!J23+'36'!J23+'37'!J23+'7'!J23</f>
        <v>188648</v>
      </c>
      <c r="I32" s="632">
        <f>'1'!K23+'3'!K28+'4'!K23+'5'!K23+'6'!K23+'8'!K23+'9'!K23+'10'!K23+'11'!K23+'12'!K23+'13'!K23+'14'!K23+'15'!K23+'16'!K26+'17'!K23+'18'!K23+'19'!K23+'20'!K23+'22'!K23+'23'!K23+'21'!K23+'24'!K23+'25'!K23+'26'!K23+'27'!K23+'28'!K23+'29'!K23+'30'!K23+'31'!K23+'32'!K23+'33'!K23+'34'!K23+'35'!K23+'36'!K23+'37'!K23+'7'!K23</f>
        <v>314800</v>
      </c>
      <c r="J32" s="632">
        <f>'1'!L23+'3'!L28+'4'!L23+'5'!L23+'6'!L23+'8'!L23+'9'!L23+'10'!L23+'11'!L23+'12'!L23+'13'!L23+'14'!L23+'15'!L23+'16'!L26+'17'!L23+'18'!L23+'19'!L23+'20'!L23+'22'!L23+'23'!L23+'21'!L23+'24'!L23+'25'!L23+'26'!L23+'27'!L23+'28'!L23+'29'!L23+'30'!L23+'31'!L23+'32'!L23+'33'!L23+'34'!L23+'35'!L23+'36'!L23+'37'!L23+'7'!L23</f>
        <v>0</v>
      </c>
      <c r="K32" s="1089">
        <f>'1'!M23+'3'!M28+'4'!M23+'5'!M23+'6'!M23+'8'!M23+'9'!M23+'10'!M23+'11'!M23+'12'!M23+'13'!M23+'14'!M23+'15'!M23+'16'!M26+'17'!M23+'18'!M23+'19'!M23+'20'!M23+'22'!M23+'23'!M23+'21'!M23+'24'!M23+'25'!M23+'26'!M23+'27'!M23+'28'!M23+'29'!M23+'30'!M23+'31'!M23+'32'!M23+'33'!M23+'34'!M23+'35'!M23+'36'!M23+'37'!M23+'7'!M23</f>
        <v>314800</v>
      </c>
      <c r="L32" s="278">
        <f t="shared" si="2"/>
        <v>105.00333555703803</v>
      </c>
    </row>
    <row r="33" spans="2:14" ht="15" customHeight="1">
      <c r="B33" s="10"/>
      <c r="C33" s="292">
        <v>613700</v>
      </c>
      <c r="D33" s="650" t="s">
        <v>719</v>
      </c>
      <c r="E33" s="279" t="s">
        <v>568</v>
      </c>
      <c r="F33" s="280">
        <f>'18'!H24</f>
        <v>200000</v>
      </c>
      <c r="G33" s="280">
        <f>'18'!I24</f>
        <v>197000</v>
      </c>
      <c r="H33" s="280">
        <f>'18'!J24</f>
        <v>110435</v>
      </c>
      <c r="I33" s="632">
        <f>'18'!K24</f>
        <v>0</v>
      </c>
      <c r="J33" s="632">
        <f>'18'!L24</f>
        <v>200000</v>
      </c>
      <c r="K33" s="1089">
        <f>'18'!M24</f>
        <v>200000</v>
      </c>
      <c r="L33" s="278">
        <f t="shared" si="2"/>
        <v>101.5228426395939</v>
      </c>
    </row>
    <row r="34" spans="2:14" ht="15" customHeight="1">
      <c r="B34" s="10"/>
      <c r="C34" s="291">
        <v>613800</v>
      </c>
      <c r="D34" s="649"/>
      <c r="E34" s="81" t="s">
        <v>166</v>
      </c>
      <c r="F34" s="88">
        <f>F35+F36</f>
        <v>51360</v>
      </c>
      <c r="G34" s="88">
        <f t="shared" ref="G34:H34" si="10">G35+G36</f>
        <v>41040</v>
      </c>
      <c r="H34" s="88">
        <f t="shared" si="10"/>
        <v>24532</v>
      </c>
      <c r="I34" s="623">
        <f>I35+I36</f>
        <v>41500</v>
      </c>
      <c r="J34" s="623">
        <f>J35+J36</f>
        <v>0</v>
      </c>
      <c r="K34" s="1063">
        <f>K35+K36</f>
        <v>41500</v>
      </c>
      <c r="L34" s="115">
        <f t="shared" si="2"/>
        <v>101.12085769980507</v>
      </c>
    </row>
    <row r="35" spans="2:14" ht="15" customHeight="1">
      <c r="B35" s="10"/>
      <c r="C35" s="292">
        <v>613800</v>
      </c>
      <c r="D35" s="650"/>
      <c r="E35" s="279" t="s">
        <v>569</v>
      </c>
      <c r="F35" s="280">
        <f>'1'!H24+'3'!H29+'4'!H24+'5'!H24+'6'!H24+'8'!H24+'9'!H24+'10'!H24+'11'!H24+'12'!H24+'13'!H24+'14'!H24+'15'!H24+'16'!H27+'17'!H24+'18'!H25+'19'!H24+'20'!H24+'22'!H24+'23'!H24+'21'!H24+'24'!H24+'25'!H24+'26'!H24+'27'!H24+'28'!H24+'29'!H24+'30'!H24+'31'!H24+'32'!H24+'33'!H24+'34'!H24+'35'!H24+'36'!H24+'37'!H24+'7'!H24</f>
        <v>51360</v>
      </c>
      <c r="G35" s="632">
        <f>'1'!I24+'3'!I29+'4'!I24+'5'!I24+'6'!I24+'8'!I24+'9'!I24+'10'!I24+'11'!I24+'12'!I24+'13'!I24+'14'!I24+'15'!I24+'16'!I27+'17'!I24+'18'!I25+'19'!I24+'20'!I24+'22'!I24+'23'!I24+'21'!I24+'24'!I24+'25'!I24+'26'!I24+'27'!I24+'28'!I24+'29'!I24+'30'!I24+'31'!I24+'32'!I24+'33'!I24+'34'!I24+'35'!I24+'36'!I24+'37'!I24+'7'!I24</f>
        <v>41040</v>
      </c>
      <c r="H35" s="632">
        <f>'1'!J24+'3'!J29+'4'!J24+'5'!J24+'6'!J24+'8'!J24+'9'!J24+'10'!J24+'11'!J24+'12'!J24+'13'!J24+'14'!J24+'15'!J24+'16'!J27+'17'!J24+'18'!J25+'19'!J24+'20'!J24+'22'!J24+'23'!J24+'21'!J24+'24'!J24+'25'!J24+'26'!J24+'27'!J24+'28'!J24+'29'!J24+'30'!J24+'31'!J24+'32'!J24+'33'!J24+'34'!J24+'35'!J24+'36'!J24+'37'!J24+'7'!J24</f>
        <v>24532</v>
      </c>
      <c r="I35" s="632">
        <f>'1'!K24+'3'!K29+'4'!K24+'5'!K24+'6'!K24+'8'!K24+'9'!K24+'10'!K24+'11'!K24+'12'!K24+'13'!K24+'14'!K24+'15'!K24+'16'!K27+'17'!K24+'18'!K25+'19'!K24+'20'!K24+'22'!K24+'23'!K24+'21'!K24+'24'!K24+'25'!K24+'26'!K24+'27'!K24+'28'!K24+'29'!K24+'30'!K24+'31'!K24+'32'!K24+'33'!K24+'34'!K24+'35'!K24+'36'!K24+'37'!K24+'7'!K24</f>
        <v>41500</v>
      </c>
      <c r="J35" s="632">
        <f>'1'!L24+'3'!L29+'4'!L24+'5'!L24+'6'!L24+'8'!L24+'9'!L24+'10'!L24+'11'!L24+'12'!L24+'13'!L24+'14'!L24+'15'!L24+'16'!L27+'17'!L24+'18'!L25+'19'!L24+'20'!L24+'22'!L24+'23'!L24+'21'!L24+'24'!L24+'25'!L24+'26'!L24+'27'!L24+'28'!L24+'29'!L24+'30'!L24+'31'!L24+'32'!L24+'33'!L24+'34'!L24+'35'!L24+'36'!L24+'37'!L24+'7'!L24</f>
        <v>0</v>
      </c>
      <c r="K35" s="1089">
        <f>'1'!M24+'3'!M29+'4'!M24+'5'!M24+'6'!M24+'8'!M24+'9'!M24+'10'!M24+'11'!M24+'12'!M24+'13'!M24+'14'!M24+'15'!M24+'16'!M27+'17'!M24+'18'!M25+'19'!M24+'20'!M24+'22'!M24+'23'!M24+'21'!M24+'24'!M24+'25'!M24+'26'!M24+'27'!M24+'28'!M24+'29'!M24+'30'!M24+'31'!M24+'32'!M24+'33'!M24+'34'!M24+'35'!M24+'36'!M24+'37'!M24+'7'!M24</f>
        <v>41500</v>
      </c>
      <c r="L35" s="278">
        <f t="shared" si="2"/>
        <v>101.12085769980507</v>
      </c>
    </row>
    <row r="36" spans="2:14" ht="15" customHeight="1">
      <c r="B36" s="10"/>
      <c r="C36" s="292">
        <v>613800</v>
      </c>
      <c r="D36" s="650"/>
      <c r="E36" s="276" t="s">
        <v>570</v>
      </c>
      <c r="F36" s="277">
        <f>'20'!H25</f>
        <v>0</v>
      </c>
      <c r="G36" s="277">
        <f>'20'!I25</f>
        <v>0</v>
      </c>
      <c r="H36" s="277">
        <f>'20'!J25</f>
        <v>0</v>
      </c>
      <c r="I36" s="630">
        <f>'20'!K25</f>
        <v>0</v>
      </c>
      <c r="J36" s="630">
        <f>'20'!L25</f>
        <v>0</v>
      </c>
      <c r="K36" s="1089">
        <f>'20'!M25</f>
        <v>0</v>
      </c>
      <c r="L36" s="278" t="str">
        <f t="shared" si="2"/>
        <v/>
      </c>
    </row>
    <row r="37" spans="2:14" ht="15" customHeight="1">
      <c r="B37" s="10"/>
      <c r="C37" s="293">
        <v>613900</v>
      </c>
      <c r="D37" s="651"/>
      <c r="E37" s="81" t="s">
        <v>167</v>
      </c>
      <c r="F37" s="89">
        <f>SUM(F38:F44)</f>
        <v>1830810</v>
      </c>
      <c r="G37" s="89">
        <f t="shared" ref="G37:H37" si="11">SUM(G38:G44)</f>
        <v>1785590</v>
      </c>
      <c r="H37" s="89">
        <f t="shared" si="11"/>
        <v>1236182</v>
      </c>
      <c r="I37" s="89">
        <f>SUM(I38:I44)</f>
        <v>1741800</v>
      </c>
      <c r="J37" s="89">
        <f>SUM(J38:J44)</f>
        <v>0</v>
      </c>
      <c r="K37" s="1090">
        <f>SUM(K38:K44)</f>
        <v>1741800</v>
      </c>
      <c r="L37" s="115">
        <f t="shared" si="2"/>
        <v>97.547589312216132</v>
      </c>
    </row>
    <row r="38" spans="2:14" ht="15" customHeight="1">
      <c r="B38" s="10"/>
      <c r="C38" s="294">
        <v>613900</v>
      </c>
      <c r="D38" s="652"/>
      <c r="E38" s="279" t="s">
        <v>571</v>
      </c>
      <c r="F38" s="281">
        <f>'1'!H25+'3'!H30+'4'!H25+'5'!H25+'6'!H25+'8'!H25+'9'!H25+'10'!H25+'11'!H25+'12'!H25+'13'!H25+'14'!H25+'15'!H25+'16'!H28+'17'!H25+'18'!H26+'19'!H25+'20'!H26+'22'!H25+'23'!H25+'21'!H25+'24'!H25+'25'!H25+'26'!H25+'27'!H25+'28'!H25+'29'!H25+'30'!H25+'31'!H25+'32'!H25+'33'!H25+'34'!H25+'35'!H25+'36'!H25+'37'!H25+'7'!H25</f>
        <v>1386900</v>
      </c>
      <c r="G38" s="633">
        <f>'1'!I25+'3'!I30+'4'!I25+'5'!I25+'6'!I25+'8'!I25+'9'!I25+'10'!I25+'11'!I25+'12'!I25+'13'!I25+'14'!I25+'15'!I25+'16'!I28+'17'!I25+'18'!I26+'19'!I25+'20'!I26+'22'!I25+'23'!I25+'21'!I25+'24'!I25+'25'!I25+'26'!I25+'27'!I25+'28'!I25+'29'!I25+'30'!I25+'31'!I25+'32'!I25+'33'!I25+'34'!I25+'35'!I25+'36'!I25+'37'!I25+'7'!I25</f>
        <v>1413000</v>
      </c>
      <c r="H38" s="633">
        <f>'1'!J25+'3'!J30+'4'!J25+'5'!J25+'6'!J25+'8'!J25+'9'!J25+'10'!J25+'11'!J25+'12'!J25+'13'!J25+'14'!J25+'15'!J25+'16'!J28+'17'!J25+'18'!J26+'19'!J25+'20'!J26+'22'!J25+'23'!J25+'21'!J25+'24'!J25+'25'!J25+'26'!J25+'27'!J25+'28'!J25+'29'!J25+'30'!J25+'31'!J25+'32'!J25+'33'!J25+'34'!J25+'35'!J25+'36'!J25+'37'!J25+'7'!J25</f>
        <v>1020703</v>
      </c>
      <c r="I38" s="633">
        <f>'1'!K25+'3'!K30+'4'!K25+'5'!K25+'6'!K25+'8'!K25+'9'!K25+'10'!K25+'11'!K25+'12'!K25+'13'!K25+'14'!K25+'15'!K25+'16'!K28+'17'!K25+'18'!K26+'19'!K25+'20'!K26+'22'!K25+'23'!K25+'21'!K25+'24'!K25+'25'!K25+'26'!K25+'27'!K25+'28'!K25+'29'!K25+'30'!K25+'31'!K25+'32'!K25+'33'!K25+'34'!K25+'35'!K25+'36'!K25+'37'!K25+'7'!K25</f>
        <v>1400700</v>
      </c>
      <c r="J38" s="633">
        <f>'1'!L25+'3'!L30+'4'!L25+'5'!L25+'6'!L25+'8'!L25+'9'!L25+'10'!L25+'11'!L25+'12'!L25+'13'!L25+'14'!L25+'15'!L25+'16'!L28+'17'!L25+'18'!L26+'19'!L25+'20'!L26+'22'!L25+'23'!L25+'21'!L25+'24'!L25+'25'!L25+'26'!L25+'27'!L25+'28'!L25+'29'!L25+'30'!L25+'31'!L25+'32'!L25+'33'!L25+'34'!L25+'35'!L25+'36'!L25+'37'!L25+'7'!L25</f>
        <v>0</v>
      </c>
      <c r="K38" s="1091">
        <f>'1'!M25+'3'!M30+'4'!M25+'5'!M25+'6'!M25+'8'!M25+'9'!M25+'10'!M25+'11'!M25+'12'!M25+'13'!M25+'14'!M25+'15'!M25+'16'!M28+'17'!M25+'18'!M26+'19'!M25+'20'!M26+'22'!M25+'23'!M25+'21'!M25+'24'!M25+'25'!M25+'26'!M25+'27'!M25+'28'!M25+'29'!M25+'30'!M25+'31'!M25+'32'!M25+'33'!M25+'34'!M25+'35'!M25+'36'!M25+'37'!M25+'7'!M25</f>
        <v>1400700</v>
      </c>
      <c r="L38" s="278">
        <f t="shared" si="2"/>
        <v>99.12951167728238</v>
      </c>
    </row>
    <row r="39" spans="2:14" ht="15" customHeight="1">
      <c r="B39" s="10"/>
      <c r="C39" s="292">
        <v>613900</v>
      </c>
      <c r="D39" s="650" t="s">
        <v>697</v>
      </c>
      <c r="E39" s="276" t="s">
        <v>572</v>
      </c>
      <c r="F39" s="277">
        <f>'3'!H31</f>
        <v>29500</v>
      </c>
      <c r="G39" s="277">
        <f>'3'!I31</f>
        <v>42630</v>
      </c>
      <c r="H39" s="277">
        <f>'3'!J31</f>
        <v>27140</v>
      </c>
      <c r="I39" s="630">
        <f>'3'!K31</f>
        <v>44400</v>
      </c>
      <c r="J39" s="630">
        <f>'3'!L31</f>
        <v>0</v>
      </c>
      <c r="K39" s="1089">
        <f>'3'!M31</f>
        <v>44400</v>
      </c>
      <c r="L39" s="278">
        <f t="shared" si="2"/>
        <v>104.15200562983816</v>
      </c>
    </row>
    <row r="40" spans="2:14" ht="15" customHeight="1">
      <c r="B40" s="10"/>
      <c r="C40" s="292">
        <v>613900</v>
      </c>
      <c r="D40" s="650" t="s">
        <v>712</v>
      </c>
      <c r="E40" s="276" t="s">
        <v>573</v>
      </c>
      <c r="F40" s="277">
        <f>'16'!H29</f>
        <v>80000</v>
      </c>
      <c r="G40" s="277">
        <f>'16'!I29</f>
        <v>65500</v>
      </c>
      <c r="H40" s="277">
        <f>'16'!J29</f>
        <v>42022</v>
      </c>
      <c r="I40" s="630">
        <f>'16'!K29</f>
        <v>64700</v>
      </c>
      <c r="J40" s="630">
        <f>'16'!L29</f>
        <v>0</v>
      </c>
      <c r="K40" s="1089">
        <f>'16'!M29</f>
        <v>64700</v>
      </c>
      <c r="L40" s="278">
        <f t="shared" si="2"/>
        <v>98.778625954198475</v>
      </c>
    </row>
    <row r="41" spans="2:14" ht="15" customHeight="1">
      <c r="B41" s="10"/>
      <c r="C41" s="292">
        <v>613900</v>
      </c>
      <c r="D41" s="650" t="s">
        <v>726</v>
      </c>
      <c r="E41" s="276" t="s">
        <v>574</v>
      </c>
      <c r="F41" s="277">
        <f>'20'!H27</f>
        <v>55000</v>
      </c>
      <c r="G41" s="277">
        <f>'20'!I27</f>
        <v>60000</v>
      </c>
      <c r="H41" s="277">
        <f>'20'!J27</f>
        <v>48512</v>
      </c>
      <c r="I41" s="630">
        <f>'20'!K27</f>
        <v>60000</v>
      </c>
      <c r="J41" s="630">
        <f>'20'!L27</f>
        <v>0</v>
      </c>
      <c r="K41" s="1089">
        <f>'20'!M27</f>
        <v>60000</v>
      </c>
      <c r="L41" s="278">
        <f t="shared" si="2"/>
        <v>100</v>
      </c>
    </row>
    <row r="42" spans="2:14" ht="15" customHeight="1">
      <c r="B42" s="10"/>
      <c r="C42" s="292">
        <v>613900</v>
      </c>
      <c r="D42" s="650" t="s">
        <v>696</v>
      </c>
      <c r="E42" s="629" t="s">
        <v>860</v>
      </c>
      <c r="F42" s="277">
        <f>'1'!H26+'3'!H32+'4'!H26+'5'!H26+'6'!H26+'8'!H26+'9'!H26+'10'!H26+'11'!H26+'12'!H26+'13'!H26+'14'!H26+'15'!H26+'16'!H30+'17'!H26+'18'!H27+'19'!H26+'20'!H28+'22'!H26+'23'!H26+'21'!H26+'24'!H26+'25'!H26+'26'!H26+'27'!H26+'28'!H26+'29'!H26+'30'!H26+'31'!H26+'32'!H26+'33'!H26+'34'!H26+'35'!H26+'36'!H26+'37'!H26+'7'!H26</f>
        <v>208700</v>
      </c>
      <c r="G42" s="630">
        <f>'1'!I26+'3'!I32+'4'!I26+'5'!I26+'6'!I26+'8'!I26+'9'!I26+'10'!I26+'11'!I26+'12'!I26+'13'!I26+'14'!I26+'15'!I26+'16'!I30+'17'!I26+'18'!I27+'19'!I26+'20'!I28+'22'!I26+'23'!I26+'21'!I26+'24'!I26+'25'!I26+'26'!I26+'27'!I26+'28'!I26+'29'!I26+'30'!I26+'31'!I26+'32'!I26+'33'!I26+'34'!I26+'35'!I26+'36'!I26+'37'!I26+'7'!I26</f>
        <v>136300</v>
      </c>
      <c r="H42" s="630">
        <f>'1'!J26+'3'!J32+'4'!J26+'5'!J26+'6'!J26+'8'!J26+'9'!J26+'10'!J26+'11'!J26+'12'!J26+'13'!J26+'14'!J26+'15'!J26+'16'!J30+'17'!J26+'18'!J27+'19'!J26+'20'!J28+'22'!J26+'23'!J26+'21'!J26+'24'!J26+'25'!J26+'26'!J26+'27'!J26+'28'!J26+'29'!J26+'30'!J26+'31'!J26+'32'!J26+'33'!J26+'34'!J26+'35'!J26+'36'!J26+'37'!J26+'7'!J26</f>
        <v>79695</v>
      </c>
      <c r="I42" s="630">
        <f>'1'!K26+'3'!K32+'4'!K26+'5'!K26+'6'!K26+'8'!K26+'9'!K26+'10'!K26+'11'!K26+'12'!K26+'13'!K26+'14'!K26+'15'!K26+'16'!K30+'17'!K26+'18'!K27+'19'!K26+'20'!K28+'22'!K26+'23'!K26+'21'!K26+'24'!K26+'25'!K26+'26'!K26+'27'!K26+'28'!K26+'29'!K26+'30'!K26+'31'!K26+'32'!K26+'33'!K26+'34'!K26+'35'!K26+'36'!K26+'37'!K26+'7'!K26</f>
        <v>122000</v>
      </c>
      <c r="J42" s="630">
        <f>'1'!L26+'3'!L32+'4'!L26+'5'!L26+'6'!L26+'8'!L26+'9'!L26+'10'!L26+'11'!L26+'12'!L26+'13'!L26+'14'!L26+'15'!L26+'16'!L30+'17'!L26+'18'!L27+'19'!L26+'20'!L28+'22'!L26+'23'!L26+'21'!L26+'24'!L26+'25'!L26+'26'!L26+'27'!L26+'28'!L26+'29'!L26+'30'!L26+'31'!L26+'32'!L26+'33'!L26+'34'!L26+'35'!L26+'36'!L26+'37'!L26+'7'!L26</f>
        <v>0</v>
      </c>
      <c r="K42" s="1089">
        <f>'1'!M26+'3'!M32+'4'!M26+'5'!M26+'6'!M26+'8'!M26+'9'!M26+'10'!M26+'11'!M26+'12'!M26+'13'!M26+'14'!M26+'15'!M26+'16'!M30+'17'!M26+'18'!M27+'19'!M26+'20'!M28+'22'!M26+'23'!M26+'21'!M26+'24'!M26+'25'!M26+'26'!M26+'27'!M26+'28'!M26+'29'!M26+'30'!M26+'31'!M26+'32'!M26+'33'!M26+'34'!M26+'35'!M26+'36'!M26+'37'!M26+'7'!M26</f>
        <v>122000</v>
      </c>
      <c r="L42" s="278">
        <f t="shared" si="2"/>
        <v>89.508437270726333</v>
      </c>
    </row>
    <row r="43" spans="2:14" ht="15" customHeight="1">
      <c r="B43" s="10"/>
      <c r="C43" s="292">
        <v>613900</v>
      </c>
      <c r="D43" s="650" t="s">
        <v>710</v>
      </c>
      <c r="E43" s="276" t="s">
        <v>575</v>
      </c>
      <c r="F43" s="277">
        <f>'15'!H27</f>
        <v>50000</v>
      </c>
      <c r="G43" s="277">
        <f>'15'!I27</f>
        <v>50000</v>
      </c>
      <c r="H43" s="277">
        <f>'15'!J27</f>
        <v>0</v>
      </c>
      <c r="I43" s="630">
        <f>'15'!K27</f>
        <v>50000</v>
      </c>
      <c r="J43" s="630">
        <f>'15'!L27</f>
        <v>0</v>
      </c>
      <c r="K43" s="1089">
        <f>'15'!M27</f>
        <v>50000</v>
      </c>
      <c r="L43" s="278">
        <f t="shared" si="2"/>
        <v>100</v>
      </c>
    </row>
    <row r="44" spans="2:14" ht="15" customHeight="1">
      <c r="B44" s="10"/>
      <c r="C44" s="292">
        <v>613900</v>
      </c>
      <c r="D44" s="650" t="s">
        <v>735</v>
      </c>
      <c r="E44" s="276" t="s">
        <v>576</v>
      </c>
      <c r="F44" s="277">
        <f>'23'!H27</f>
        <v>20710</v>
      </c>
      <c r="G44" s="277">
        <f>'23'!I27</f>
        <v>18160</v>
      </c>
      <c r="H44" s="277">
        <f>'23'!J27</f>
        <v>18110</v>
      </c>
      <c r="I44" s="630">
        <f>'23'!K27</f>
        <v>0</v>
      </c>
      <c r="J44" s="630">
        <f>'23'!L27</f>
        <v>0</v>
      </c>
      <c r="K44" s="1089">
        <f>'23'!M27</f>
        <v>0</v>
      </c>
      <c r="L44" s="278">
        <f t="shared" si="2"/>
        <v>0</v>
      </c>
    </row>
    <row r="45" spans="2:14" ht="11.25" customHeight="1">
      <c r="B45" s="10"/>
      <c r="C45" s="291"/>
      <c r="D45" s="649"/>
      <c r="E45" s="11"/>
      <c r="F45" s="57"/>
      <c r="G45" s="57"/>
      <c r="H45" s="57"/>
      <c r="I45" s="595"/>
      <c r="J45" s="595"/>
      <c r="K45" s="1063"/>
      <c r="L45" s="115" t="str">
        <f t="shared" si="2"/>
        <v/>
      </c>
    </row>
    <row r="46" spans="2:14" ht="15" customHeight="1">
      <c r="B46" s="10"/>
      <c r="C46" s="1097">
        <v>614000</v>
      </c>
      <c r="D46" s="1098"/>
      <c r="E46" s="1099" t="s">
        <v>208</v>
      </c>
      <c r="F46" s="1100">
        <f t="shared" ref="F46:K46" si="12">F47+F60+F70+F82+F87</f>
        <v>11566000</v>
      </c>
      <c r="G46" s="1100">
        <f t="shared" si="12"/>
        <v>11585500</v>
      </c>
      <c r="H46" s="1100">
        <f t="shared" si="12"/>
        <v>7063773</v>
      </c>
      <c r="I46" s="1100">
        <f t="shared" si="12"/>
        <v>9271220</v>
      </c>
      <c r="J46" s="1100">
        <f t="shared" si="12"/>
        <v>1063780</v>
      </c>
      <c r="K46" s="1064">
        <f t="shared" si="12"/>
        <v>10335000</v>
      </c>
      <c r="L46" s="1101">
        <f t="shared" si="2"/>
        <v>89.206335505588882</v>
      </c>
      <c r="N46" s="98"/>
    </row>
    <row r="47" spans="2:14" s="56" customFormat="1" ht="15" customHeight="1">
      <c r="B47" s="300"/>
      <c r="C47" s="301">
        <v>614100</v>
      </c>
      <c r="D47" s="649"/>
      <c r="E47" s="20" t="s">
        <v>607</v>
      </c>
      <c r="F47" s="111">
        <f>SUM(F48:F59)</f>
        <v>2465000</v>
      </c>
      <c r="G47" s="111">
        <f t="shared" ref="G47:H47" si="13">SUM(G48:G59)</f>
        <v>2437000</v>
      </c>
      <c r="H47" s="111">
        <f t="shared" si="13"/>
        <v>1690110</v>
      </c>
      <c r="I47" s="542">
        <f>SUM(I48:I59)</f>
        <v>1675000</v>
      </c>
      <c r="J47" s="542">
        <f>SUM(J48:J59)</f>
        <v>330000</v>
      </c>
      <c r="K47" s="1063">
        <f>SUM(K48:K59)</f>
        <v>2005000</v>
      </c>
      <c r="L47" s="115">
        <f t="shared" si="2"/>
        <v>82.273286828067299</v>
      </c>
      <c r="N47" s="68"/>
    </row>
    <row r="48" spans="2:14" s="69" customFormat="1" ht="15" customHeight="1">
      <c r="B48" s="70"/>
      <c r="C48" s="292">
        <v>614100</v>
      </c>
      <c r="D48" s="650" t="s">
        <v>698</v>
      </c>
      <c r="E48" s="276" t="s">
        <v>577</v>
      </c>
      <c r="F48" s="280">
        <f>'3'!H35</f>
        <v>100000</v>
      </c>
      <c r="G48" s="280">
        <f>'3'!I35</f>
        <v>100000</v>
      </c>
      <c r="H48" s="280">
        <f>'3'!J35</f>
        <v>0</v>
      </c>
      <c r="I48" s="632">
        <f>'3'!K35</f>
        <v>0</v>
      </c>
      <c r="J48" s="632">
        <f>'3'!L35</f>
        <v>0</v>
      </c>
      <c r="K48" s="1089">
        <f>'3'!M35</f>
        <v>0</v>
      </c>
      <c r="L48" s="278">
        <f t="shared" si="2"/>
        <v>0</v>
      </c>
      <c r="N48" s="116"/>
    </row>
    <row r="49" spans="2:12" s="69" customFormat="1" ht="15" customHeight="1">
      <c r="B49" s="70"/>
      <c r="C49" s="292">
        <v>614100</v>
      </c>
      <c r="D49" s="650" t="s">
        <v>699</v>
      </c>
      <c r="E49" s="279" t="s">
        <v>578</v>
      </c>
      <c r="F49" s="280">
        <f>'3'!H36</f>
        <v>200000</v>
      </c>
      <c r="G49" s="280">
        <f>'3'!I36</f>
        <v>200000</v>
      </c>
      <c r="H49" s="280">
        <f>'3'!J36</f>
        <v>150000</v>
      </c>
      <c r="I49" s="632">
        <f>'3'!K36</f>
        <v>200000</v>
      </c>
      <c r="J49" s="632">
        <f>'3'!L36</f>
        <v>0</v>
      </c>
      <c r="K49" s="1089">
        <f>'3'!M36</f>
        <v>200000</v>
      </c>
      <c r="L49" s="278">
        <f t="shared" si="2"/>
        <v>100</v>
      </c>
    </row>
    <row r="50" spans="2:12" s="1" customFormat="1" ht="15" customHeight="1">
      <c r="B50" s="12"/>
      <c r="C50" s="292">
        <v>614100</v>
      </c>
      <c r="D50" s="650" t="s">
        <v>713</v>
      </c>
      <c r="E50" s="282" t="s">
        <v>579</v>
      </c>
      <c r="F50" s="277">
        <f>'16'!H33</f>
        <v>350000</v>
      </c>
      <c r="G50" s="277">
        <f>'16'!I33</f>
        <v>435000</v>
      </c>
      <c r="H50" s="277">
        <f>'16'!J33</f>
        <v>435000</v>
      </c>
      <c r="I50" s="630">
        <f>'16'!K33</f>
        <v>200000</v>
      </c>
      <c r="J50" s="630">
        <f>'16'!L33</f>
        <v>0</v>
      </c>
      <c r="K50" s="1089">
        <f>'16'!M33</f>
        <v>200000</v>
      </c>
      <c r="L50" s="278">
        <f t="shared" si="2"/>
        <v>45.977011494252871</v>
      </c>
    </row>
    <row r="51" spans="2:12" s="1" customFormat="1" ht="15" customHeight="1">
      <c r="B51" s="12"/>
      <c r="C51" s="295">
        <v>614100</v>
      </c>
      <c r="D51" s="653" t="s">
        <v>730</v>
      </c>
      <c r="E51" s="276" t="s">
        <v>580</v>
      </c>
      <c r="F51" s="277">
        <f>'17'!H29</f>
        <v>650000</v>
      </c>
      <c r="G51" s="277">
        <f>'17'!I29</f>
        <v>550000</v>
      </c>
      <c r="H51" s="277">
        <f>'17'!J29</f>
        <v>486000</v>
      </c>
      <c r="I51" s="630">
        <f>'17'!K29</f>
        <v>420000</v>
      </c>
      <c r="J51" s="630">
        <f>'17'!L29</f>
        <v>0</v>
      </c>
      <c r="K51" s="1089">
        <f>'17'!M29</f>
        <v>420000</v>
      </c>
      <c r="L51" s="278">
        <f t="shared" si="2"/>
        <v>76.363636363636374</v>
      </c>
    </row>
    <row r="52" spans="2:12" s="1" customFormat="1" ht="15" customHeight="1">
      <c r="B52" s="12"/>
      <c r="C52" s="292">
        <v>614100</v>
      </c>
      <c r="D52" s="654" t="s">
        <v>720</v>
      </c>
      <c r="E52" s="283" t="s">
        <v>581</v>
      </c>
      <c r="F52" s="277">
        <f>'18'!H30</f>
        <v>180000</v>
      </c>
      <c r="G52" s="277">
        <f>'18'!I30</f>
        <v>180000</v>
      </c>
      <c r="H52" s="277">
        <f>'18'!J30</f>
        <v>40000</v>
      </c>
      <c r="I52" s="630">
        <f>'18'!K30</f>
        <v>0</v>
      </c>
      <c r="J52" s="630">
        <f>'18'!L30</f>
        <v>180000</v>
      </c>
      <c r="K52" s="1089">
        <f>'18'!M30</f>
        <v>180000</v>
      </c>
      <c r="L52" s="278">
        <f t="shared" si="2"/>
        <v>100</v>
      </c>
    </row>
    <row r="53" spans="2:12" s="1" customFormat="1" ht="15" customHeight="1">
      <c r="B53" s="12"/>
      <c r="C53" s="292">
        <v>614100</v>
      </c>
      <c r="D53" s="654" t="s">
        <v>721</v>
      </c>
      <c r="E53" s="283" t="s">
        <v>582</v>
      </c>
      <c r="F53" s="277">
        <f>'18'!H31</f>
        <v>30000</v>
      </c>
      <c r="G53" s="277">
        <f>'18'!I31</f>
        <v>0</v>
      </c>
      <c r="H53" s="277">
        <f>'18'!J31</f>
        <v>0</v>
      </c>
      <c r="I53" s="632">
        <f>'18'!K31</f>
        <v>30000</v>
      </c>
      <c r="J53" s="632">
        <f>'18'!L31</f>
        <v>0</v>
      </c>
      <c r="K53" s="1089">
        <f>'18'!M31</f>
        <v>30000</v>
      </c>
      <c r="L53" s="278" t="str">
        <f t="shared" si="2"/>
        <v/>
      </c>
    </row>
    <row r="54" spans="2:12" s="1" customFormat="1" ht="15" customHeight="1">
      <c r="B54" s="12"/>
      <c r="C54" s="292">
        <v>614100</v>
      </c>
      <c r="D54" s="650" t="s">
        <v>723</v>
      </c>
      <c r="E54" s="279" t="s">
        <v>583</v>
      </c>
      <c r="F54" s="277">
        <f>'19'!H29</f>
        <v>150000</v>
      </c>
      <c r="G54" s="277">
        <f>'19'!I29</f>
        <v>150000</v>
      </c>
      <c r="H54" s="277">
        <f>'19'!J29</f>
        <v>3500</v>
      </c>
      <c r="I54" s="630">
        <f>'19'!K29</f>
        <v>0</v>
      </c>
      <c r="J54" s="630">
        <f>'19'!L29</f>
        <v>150000</v>
      </c>
      <c r="K54" s="1089">
        <f>'19'!M29</f>
        <v>150000</v>
      </c>
      <c r="L54" s="278">
        <f t="shared" si="2"/>
        <v>100</v>
      </c>
    </row>
    <row r="55" spans="2:12" s="1" customFormat="1" ht="24.75" customHeight="1">
      <c r="B55" s="12"/>
      <c r="C55" s="295">
        <v>614100</v>
      </c>
      <c r="D55" s="653" t="s">
        <v>727</v>
      </c>
      <c r="E55" s="284" t="s">
        <v>584</v>
      </c>
      <c r="F55" s="277">
        <f>'20'!H31</f>
        <v>160000</v>
      </c>
      <c r="G55" s="277">
        <f>'20'!I31</f>
        <v>127000</v>
      </c>
      <c r="H55" s="277">
        <f>'20'!J31</f>
        <v>111950</v>
      </c>
      <c r="I55" s="630">
        <f>'20'!K31</f>
        <v>150000</v>
      </c>
      <c r="J55" s="630">
        <f>'20'!L31</f>
        <v>0</v>
      </c>
      <c r="K55" s="1089">
        <f>'20'!M31</f>
        <v>150000</v>
      </c>
      <c r="L55" s="278">
        <f t="shared" si="2"/>
        <v>118.11023622047243</v>
      </c>
    </row>
    <row r="56" spans="2:12" s="1" customFormat="1" ht="15" customHeight="1">
      <c r="B56" s="12"/>
      <c r="C56" s="296" t="s">
        <v>108</v>
      </c>
      <c r="D56" s="655"/>
      <c r="E56" s="285" t="s">
        <v>585</v>
      </c>
      <c r="F56" s="280">
        <f>'20'!H32</f>
        <v>350000</v>
      </c>
      <c r="G56" s="280">
        <f>'20'!I32</f>
        <v>350000</v>
      </c>
      <c r="H56" s="280">
        <f>'20'!J32</f>
        <v>264550</v>
      </c>
      <c r="I56" s="632">
        <f>'20'!K32</f>
        <v>0</v>
      </c>
      <c r="J56" s="632">
        <f>'20'!L32</f>
        <v>0</v>
      </c>
      <c r="K56" s="1089">
        <f>'20'!M32</f>
        <v>0</v>
      </c>
      <c r="L56" s="278">
        <f t="shared" si="2"/>
        <v>0</v>
      </c>
    </row>
    <row r="57" spans="2:12" s="608" customFormat="1" ht="15" customHeight="1">
      <c r="B57" s="614"/>
      <c r="C57" s="296" t="s">
        <v>108</v>
      </c>
      <c r="D57" s="655" t="s">
        <v>854</v>
      </c>
      <c r="E57" s="285" t="s">
        <v>743</v>
      </c>
      <c r="F57" s="632">
        <f>'20'!H33</f>
        <v>0</v>
      </c>
      <c r="G57" s="632">
        <f>'20'!I33</f>
        <v>0</v>
      </c>
      <c r="H57" s="632">
        <f>'20'!J33</f>
        <v>0</v>
      </c>
      <c r="I57" s="632">
        <f>'20'!K33</f>
        <v>280000</v>
      </c>
      <c r="J57" s="632">
        <f>'20'!L33</f>
        <v>0</v>
      </c>
      <c r="K57" s="1089">
        <f>'20'!M33</f>
        <v>280000</v>
      </c>
      <c r="L57" s="631"/>
    </row>
    <row r="58" spans="2:12" s="608" customFormat="1" ht="15" customHeight="1">
      <c r="B58" s="614"/>
      <c r="C58" s="296" t="s">
        <v>108</v>
      </c>
      <c r="D58" s="655" t="s">
        <v>855</v>
      </c>
      <c r="E58" s="285" t="s">
        <v>744</v>
      </c>
      <c r="F58" s="632">
        <f>'20'!H34</f>
        <v>0</v>
      </c>
      <c r="G58" s="632">
        <f>'20'!I34</f>
        <v>0</v>
      </c>
      <c r="H58" s="632">
        <f>'20'!J34</f>
        <v>0</v>
      </c>
      <c r="I58" s="632">
        <f>'20'!K34</f>
        <v>60000</v>
      </c>
      <c r="J58" s="632">
        <f>'20'!L34</f>
        <v>0</v>
      </c>
      <c r="K58" s="1089">
        <f>'20'!M34</f>
        <v>60000</v>
      </c>
      <c r="L58" s="631"/>
    </row>
    <row r="59" spans="2:12" s="1" customFormat="1" ht="15" customHeight="1">
      <c r="B59" s="12"/>
      <c r="C59" s="296" t="s">
        <v>108</v>
      </c>
      <c r="D59" s="655" t="s">
        <v>730</v>
      </c>
      <c r="E59" s="285" t="s">
        <v>586</v>
      </c>
      <c r="F59" s="280">
        <f>'20'!H35</f>
        <v>295000</v>
      </c>
      <c r="G59" s="280">
        <f>'20'!I35</f>
        <v>345000</v>
      </c>
      <c r="H59" s="280">
        <f>'20'!J35</f>
        <v>199110</v>
      </c>
      <c r="I59" s="632">
        <f>'20'!K35</f>
        <v>335000</v>
      </c>
      <c r="J59" s="632">
        <f>'20'!L35</f>
        <v>0</v>
      </c>
      <c r="K59" s="1089">
        <f>'20'!M35</f>
        <v>335000</v>
      </c>
      <c r="L59" s="278">
        <f t="shared" si="2"/>
        <v>97.101449275362313</v>
      </c>
    </row>
    <row r="60" spans="2:12" s="56" customFormat="1" ht="15" customHeight="1">
      <c r="B60" s="300"/>
      <c r="C60" s="302" t="s">
        <v>106</v>
      </c>
      <c r="D60" s="656"/>
      <c r="E60" s="303" t="s">
        <v>608</v>
      </c>
      <c r="F60" s="111">
        <f>SUM(F61:F69)</f>
        <v>4895000</v>
      </c>
      <c r="G60" s="111">
        <f t="shared" ref="G60:H60" si="14">SUM(G61:G69)</f>
        <v>5051000</v>
      </c>
      <c r="H60" s="111">
        <f t="shared" si="14"/>
        <v>3340429</v>
      </c>
      <c r="I60" s="542">
        <f>SUM(I61:I69)</f>
        <v>4749000</v>
      </c>
      <c r="J60" s="542">
        <f>SUM(J61:J69)</f>
        <v>306000</v>
      </c>
      <c r="K60" s="1063">
        <f>SUM(K61:K69)</f>
        <v>5055000</v>
      </c>
      <c r="L60" s="115">
        <f t="shared" si="2"/>
        <v>100.07919223916055</v>
      </c>
    </row>
    <row r="61" spans="2:12" s="1" customFormat="1" ht="15" customHeight="1">
      <c r="B61" s="12"/>
      <c r="C61" s="296" t="s">
        <v>106</v>
      </c>
      <c r="D61" s="655" t="s">
        <v>700</v>
      </c>
      <c r="E61" s="286" t="s">
        <v>587</v>
      </c>
      <c r="F61" s="280">
        <f>'3'!H37</f>
        <v>150000</v>
      </c>
      <c r="G61" s="280">
        <f>'3'!I37</f>
        <v>206000</v>
      </c>
      <c r="H61" s="280">
        <f>'3'!J37</f>
        <v>204500</v>
      </c>
      <c r="I61" s="632">
        <f>'3'!K37</f>
        <v>150000</v>
      </c>
      <c r="J61" s="632">
        <f>'3'!L37</f>
        <v>0</v>
      </c>
      <c r="K61" s="1089">
        <f>'3'!M37</f>
        <v>150000</v>
      </c>
      <c r="L61" s="278">
        <f t="shared" si="2"/>
        <v>72.815533980582529</v>
      </c>
    </row>
    <row r="62" spans="2:12" s="1" customFormat="1" ht="15" customHeight="1">
      <c r="B62" s="12"/>
      <c r="C62" s="295">
        <v>614200</v>
      </c>
      <c r="D62" s="655" t="s">
        <v>709</v>
      </c>
      <c r="E62" s="282" t="s">
        <v>588</v>
      </c>
      <c r="F62" s="277">
        <f>'4'!H29</f>
        <v>20000</v>
      </c>
      <c r="G62" s="277">
        <f>'4'!I29</f>
        <v>20000</v>
      </c>
      <c r="H62" s="277">
        <f>'4'!J29</f>
        <v>0</v>
      </c>
      <c r="I62" s="630">
        <f>'4'!K29</f>
        <v>20000</v>
      </c>
      <c r="J62" s="630">
        <f>'4'!L29</f>
        <v>0</v>
      </c>
      <c r="K62" s="1089">
        <f>'4'!M29</f>
        <v>20000</v>
      </c>
      <c r="L62" s="278">
        <f t="shared" si="2"/>
        <v>100</v>
      </c>
    </row>
    <row r="63" spans="2:12" s="1" customFormat="1" ht="15" customHeight="1">
      <c r="B63" s="12"/>
      <c r="C63" s="295" t="s">
        <v>106</v>
      </c>
      <c r="D63" s="655"/>
      <c r="E63" s="276" t="s">
        <v>589</v>
      </c>
      <c r="F63" s="277">
        <f>'17'!H30</f>
        <v>3430000</v>
      </c>
      <c r="G63" s="277">
        <f>'17'!I30</f>
        <v>3530000</v>
      </c>
      <c r="H63" s="277">
        <f>'17'!J30</f>
        <v>2290502</v>
      </c>
      <c r="I63" s="630">
        <f>'17'!K30</f>
        <v>0</v>
      </c>
      <c r="J63" s="630">
        <f>'17'!L30</f>
        <v>0</v>
      </c>
      <c r="K63" s="1089">
        <f>'17'!M30</f>
        <v>0</v>
      </c>
      <c r="L63" s="278">
        <f t="shared" si="2"/>
        <v>0</v>
      </c>
    </row>
    <row r="64" spans="2:12" s="608" customFormat="1" ht="15" customHeight="1">
      <c r="B64" s="614"/>
      <c r="C64" s="295" t="s">
        <v>106</v>
      </c>
      <c r="D64" s="655" t="s">
        <v>856</v>
      </c>
      <c r="E64" s="629" t="s">
        <v>741</v>
      </c>
      <c r="F64" s="630">
        <f>'17'!H31</f>
        <v>0</v>
      </c>
      <c r="G64" s="630">
        <f>'17'!I31</f>
        <v>0</v>
      </c>
      <c r="H64" s="630">
        <f>'17'!J31</f>
        <v>0</v>
      </c>
      <c r="I64" s="630">
        <f>'17'!K31</f>
        <v>60000</v>
      </c>
      <c r="J64" s="630">
        <f>'17'!L31</f>
        <v>0</v>
      </c>
      <c r="K64" s="1089">
        <f>'17'!M31</f>
        <v>60000</v>
      </c>
      <c r="L64" s="631"/>
    </row>
    <row r="65" spans="2:12" s="608" customFormat="1" ht="15" customHeight="1">
      <c r="B65" s="614"/>
      <c r="C65" s="295" t="s">
        <v>106</v>
      </c>
      <c r="D65" s="655" t="s">
        <v>857</v>
      </c>
      <c r="E65" s="629" t="s">
        <v>742</v>
      </c>
      <c r="F65" s="630">
        <f>'17'!H32</f>
        <v>0</v>
      </c>
      <c r="G65" s="630">
        <f>'17'!I32</f>
        <v>0</v>
      </c>
      <c r="H65" s="630">
        <f>'17'!J32</f>
        <v>0</v>
      </c>
      <c r="I65" s="630">
        <f>'17'!K32</f>
        <v>3254000</v>
      </c>
      <c r="J65" s="630">
        <f>'17'!L32</f>
        <v>266000</v>
      </c>
      <c r="K65" s="1089">
        <f>'17'!M32</f>
        <v>3520000</v>
      </c>
      <c r="L65" s="631"/>
    </row>
    <row r="66" spans="2:12" s="1" customFormat="1" ht="15" customHeight="1">
      <c r="B66" s="12"/>
      <c r="C66" s="295" t="s">
        <v>106</v>
      </c>
      <c r="D66" s="653" t="s">
        <v>731</v>
      </c>
      <c r="E66" s="282" t="s">
        <v>590</v>
      </c>
      <c r="F66" s="277">
        <f>'20'!H36</f>
        <v>150000</v>
      </c>
      <c r="G66" s="277">
        <f>'20'!I36</f>
        <v>150000</v>
      </c>
      <c r="H66" s="277">
        <f>'20'!J36</f>
        <v>116400</v>
      </c>
      <c r="I66" s="630">
        <f>'20'!K36</f>
        <v>150000</v>
      </c>
      <c r="J66" s="630">
        <f>'20'!L36</f>
        <v>0</v>
      </c>
      <c r="K66" s="1089">
        <f>'20'!M36</f>
        <v>150000</v>
      </c>
      <c r="L66" s="278">
        <f t="shared" si="2"/>
        <v>100</v>
      </c>
    </row>
    <row r="67" spans="2:12" s="1" customFormat="1" ht="24.75" customHeight="1">
      <c r="B67" s="12"/>
      <c r="C67" s="295" t="s">
        <v>106</v>
      </c>
      <c r="D67" s="653" t="s">
        <v>732</v>
      </c>
      <c r="E67" s="287" t="s">
        <v>591</v>
      </c>
      <c r="F67" s="277">
        <f>'20'!H37</f>
        <v>15000</v>
      </c>
      <c r="G67" s="277">
        <f>'20'!I37</f>
        <v>15000</v>
      </c>
      <c r="H67" s="277">
        <f>'20'!J37</f>
        <v>10000</v>
      </c>
      <c r="I67" s="630">
        <f>'20'!K37</f>
        <v>15000</v>
      </c>
      <c r="J67" s="630">
        <f>'20'!L37</f>
        <v>0</v>
      </c>
      <c r="K67" s="1089">
        <f>'20'!M37</f>
        <v>15000</v>
      </c>
      <c r="L67" s="278">
        <f t="shared" si="2"/>
        <v>100</v>
      </c>
    </row>
    <row r="68" spans="2:12" s="1" customFormat="1" ht="15" customHeight="1">
      <c r="B68" s="12"/>
      <c r="C68" s="295">
        <v>614200</v>
      </c>
      <c r="D68" s="653" t="s">
        <v>736</v>
      </c>
      <c r="E68" s="282" t="s">
        <v>592</v>
      </c>
      <c r="F68" s="277">
        <f>'31'!H29</f>
        <v>1100000</v>
      </c>
      <c r="G68" s="277">
        <f>'31'!I29</f>
        <v>1100000</v>
      </c>
      <c r="H68" s="277">
        <f>'31'!J29</f>
        <v>715166</v>
      </c>
      <c r="I68" s="630">
        <f>'31'!K29</f>
        <v>1100000</v>
      </c>
      <c r="J68" s="630">
        <f>'31'!L29</f>
        <v>0</v>
      </c>
      <c r="K68" s="1089">
        <f>'31'!M29</f>
        <v>1100000</v>
      </c>
      <c r="L68" s="278">
        <f t="shared" si="2"/>
        <v>100</v>
      </c>
    </row>
    <row r="69" spans="2:12" s="1" customFormat="1" ht="15" customHeight="1">
      <c r="B69" s="12"/>
      <c r="C69" s="295" t="s">
        <v>106</v>
      </c>
      <c r="D69" s="653" t="s">
        <v>737</v>
      </c>
      <c r="E69" s="276" t="s">
        <v>593</v>
      </c>
      <c r="F69" s="277">
        <f>'33'!H29</f>
        <v>30000</v>
      </c>
      <c r="G69" s="277">
        <f>'33'!I29</f>
        <v>30000</v>
      </c>
      <c r="H69" s="277">
        <f>'33'!J29</f>
        <v>3861</v>
      </c>
      <c r="I69" s="630">
        <f>'33'!K29</f>
        <v>0</v>
      </c>
      <c r="J69" s="630">
        <f>'33'!L29</f>
        <v>40000</v>
      </c>
      <c r="K69" s="1089">
        <f>'33'!M29</f>
        <v>40000</v>
      </c>
      <c r="L69" s="278">
        <f t="shared" si="2"/>
        <v>133.33333333333331</v>
      </c>
    </row>
    <row r="70" spans="2:12" s="56" customFormat="1" ht="15" customHeight="1">
      <c r="B70" s="300"/>
      <c r="C70" s="304" t="s">
        <v>107</v>
      </c>
      <c r="D70" s="657"/>
      <c r="E70" s="288" t="s">
        <v>609</v>
      </c>
      <c r="F70" s="305">
        <f>SUM(F71:F81)</f>
        <v>795000</v>
      </c>
      <c r="G70" s="305">
        <f t="shared" ref="G70:K70" si="15">SUM(G71:G81)</f>
        <v>645000</v>
      </c>
      <c r="H70" s="305">
        <f t="shared" si="15"/>
        <v>510339</v>
      </c>
      <c r="I70" s="478">
        <f t="shared" ref="I70:J70" si="16">SUM(I71:I81)</f>
        <v>595000</v>
      </c>
      <c r="J70" s="478">
        <f t="shared" si="16"/>
        <v>0</v>
      </c>
      <c r="K70" s="1063">
        <f t="shared" si="15"/>
        <v>595000</v>
      </c>
      <c r="L70" s="115">
        <f t="shared" si="2"/>
        <v>92.248062015503876</v>
      </c>
    </row>
    <row r="71" spans="2:12" s="1" customFormat="1" ht="15" customHeight="1">
      <c r="B71" s="12"/>
      <c r="C71" s="295" t="s">
        <v>107</v>
      </c>
      <c r="D71" s="653" t="s">
        <v>708</v>
      </c>
      <c r="E71" s="282" t="s">
        <v>594</v>
      </c>
      <c r="F71" s="277">
        <f>'3'!H45</f>
        <v>160000</v>
      </c>
      <c r="G71" s="277">
        <f>'3'!I45</f>
        <v>160000</v>
      </c>
      <c r="H71" s="277">
        <f>'3'!J45</f>
        <v>106667</v>
      </c>
      <c r="I71" s="630">
        <f>'3'!K45</f>
        <v>160000</v>
      </c>
      <c r="J71" s="630">
        <f>'3'!L45</f>
        <v>0</v>
      </c>
      <c r="K71" s="1089">
        <f>'3'!M45</f>
        <v>160000</v>
      </c>
      <c r="L71" s="278">
        <f t="shared" si="2"/>
        <v>100</v>
      </c>
    </row>
    <row r="72" spans="2:12" s="1" customFormat="1" ht="15" customHeight="1">
      <c r="B72" s="12"/>
      <c r="C72" s="295" t="s">
        <v>107</v>
      </c>
      <c r="D72" s="653" t="s">
        <v>701</v>
      </c>
      <c r="E72" s="279" t="s">
        <v>595</v>
      </c>
      <c r="F72" s="277">
        <f>'3'!H38</f>
        <v>70000</v>
      </c>
      <c r="G72" s="277">
        <f>'3'!I38</f>
        <v>70000</v>
      </c>
      <c r="H72" s="277">
        <f>'3'!J38</f>
        <v>70000</v>
      </c>
      <c r="I72" s="630">
        <f>'3'!K38</f>
        <v>70000</v>
      </c>
      <c r="J72" s="630">
        <f>'3'!L38</f>
        <v>0</v>
      </c>
      <c r="K72" s="1089">
        <f>'3'!M38</f>
        <v>70000</v>
      </c>
      <c r="L72" s="278">
        <f t="shared" si="2"/>
        <v>100</v>
      </c>
    </row>
    <row r="73" spans="2:12" ht="15" customHeight="1">
      <c r="B73" s="10"/>
      <c r="C73" s="295" t="s">
        <v>107</v>
      </c>
      <c r="D73" s="653" t="s">
        <v>702</v>
      </c>
      <c r="E73" s="279" t="s">
        <v>596</v>
      </c>
      <c r="F73" s="280">
        <f>'3'!H39</f>
        <v>35000</v>
      </c>
      <c r="G73" s="280">
        <f>'3'!I39</f>
        <v>35000</v>
      </c>
      <c r="H73" s="280">
        <f>'3'!J39</f>
        <v>23336</v>
      </c>
      <c r="I73" s="632">
        <f>'3'!K39</f>
        <v>35000</v>
      </c>
      <c r="J73" s="632">
        <f>'3'!L39</f>
        <v>0</v>
      </c>
      <c r="K73" s="1089">
        <f>'3'!M39</f>
        <v>35000</v>
      </c>
      <c r="L73" s="278">
        <f t="shared" si="2"/>
        <v>100</v>
      </c>
    </row>
    <row r="74" spans="2:12" s="1" customFormat="1" ht="15" customHeight="1">
      <c r="B74" s="12"/>
      <c r="C74" s="296" t="s">
        <v>107</v>
      </c>
      <c r="D74" s="655" t="s">
        <v>703</v>
      </c>
      <c r="E74" s="279" t="s">
        <v>597</v>
      </c>
      <c r="F74" s="280">
        <f>'3'!H40</f>
        <v>40000</v>
      </c>
      <c r="G74" s="280">
        <f>'3'!I40</f>
        <v>40000</v>
      </c>
      <c r="H74" s="280">
        <f>'3'!J40</f>
        <v>26668</v>
      </c>
      <c r="I74" s="632">
        <f>'3'!K40</f>
        <v>40000</v>
      </c>
      <c r="J74" s="632">
        <f>'3'!L40</f>
        <v>0</v>
      </c>
      <c r="K74" s="1089">
        <f>'3'!M40</f>
        <v>40000</v>
      </c>
      <c r="L74" s="278">
        <f t="shared" si="2"/>
        <v>100</v>
      </c>
    </row>
    <row r="75" spans="2:12" s="1" customFormat="1" ht="25.5" customHeight="1">
      <c r="B75" s="22"/>
      <c r="C75" s="296" t="s">
        <v>107</v>
      </c>
      <c r="D75" s="655" t="s">
        <v>704</v>
      </c>
      <c r="E75" s="286" t="s">
        <v>656</v>
      </c>
      <c r="F75" s="280">
        <f>'3'!H41</f>
        <v>40000</v>
      </c>
      <c r="G75" s="280">
        <f>'3'!I41</f>
        <v>40000</v>
      </c>
      <c r="H75" s="280">
        <f>'3'!J41</f>
        <v>26668</v>
      </c>
      <c r="I75" s="632">
        <f>'3'!K41</f>
        <v>40000</v>
      </c>
      <c r="J75" s="632">
        <f>'3'!L41</f>
        <v>0</v>
      </c>
      <c r="K75" s="1089">
        <f>'3'!M41</f>
        <v>40000</v>
      </c>
      <c r="L75" s="278">
        <f t="shared" si="2"/>
        <v>100</v>
      </c>
    </row>
    <row r="76" spans="2:12" s="1" customFormat="1" ht="26.25" customHeight="1">
      <c r="B76" s="22"/>
      <c r="C76" s="296" t="s">
        <v>107</v>
      </c>
      <c r="D76" s="655" t="s">
        <v>705</v>
      </c>
      <c r="E76" s="286" t="s">
        <v>598</v>
      </c>
      <c r="F76" s="280">
        <f>'3'!H42</f>
        <v>15000</v>
      </c>
      <c r="G76" s="280">
        <f>'3'!I42</f>
        <v>15000</v>
      </c>
      <c r="H76" s="280">
        <f>'3'!J42</f>
        <v>10000</v>
      </c>
      <c r="I76" s="632">
        <f>'3'!K42</f>
        <v>15000</v>
      </c>
      <c r="J76" s="632">
        <f>'3'!L42</f>
        <v>0</v>
      </c>
      <c r="K76" s="1089">
        <f>'3'!M42</f>
        <v>15000</v>
      </c>
      <c r="L76" s="278">
        <f t="shared" si="2"/>
        <v>100</v>
      </c>
    </row>
    <row r="77" spans="2:12" s="1" customFormat="1" ht="15" customHeight="1">
      <c r="B77" s="22"/>
      <c r="C77" s="296" t="s">
        <v>107</v>
      </c>
      <c r="D77" s="655" t="s">
        <v>706</v>
      </c>
      <c r="E77" s="279" t="s">
        <v>599</v>
      </c>
      <c r="F77" s="280">
        <f>'3'!H43</f>
        <v>30000</v>
      </c>
      <c r="G77" s="280">
        <f>'3'!I43</f>
        <v>30000</v>
      </c>
      <c r="H77" s="280">
        <f>'3'!J43</f>
        <v>20000</v>
      </c>
      <c r="I77" s="632">
        <f>'3'!K43</f>
        <v>30000</v>
      </c>
      <c r="J77" s="632">
        <f>'3'!L43</f>
        <v>0</v>
      </c>
      <c r="K77" s="1089">
        <f>'3'!M43</f>
        <v>30000</v>
      </c>
      <c r="L77" s="278">
        <f t="shared" si="2"/>
        <v>100</v>
      </c>
    </row>
    <row r="78" spans="2:12" s="1" customFormat="1" ht="15" customHeight="1">
      <c r="B78" s="22"/>
      <c r="C78" s="296" t="s">
        <v>107</v>
      </c>
      <c r="D78" s="655" t="s">
        <v>707</v>
      </c>
      <c r="E78" s="279" t="s">
        <v>654</v>
      </c>
      <c r="F78" s="280">
        <f>'3'!H44</f>
        <v>15000</v>
      </c>
      <c r="G78" s="280">
        <f>'3'!I44</f>
        <v>15000</v>
      </c>
      <c r="H78" s="280">
        <f>'3'!J44</f>
        <v>10000</v>
      </c>
      <c r="I78" s="632">
        <f>'3'!K44</f>
        <v>15000</v>
      </c>
      <c r="J78" s="632">
        <f>'3'!L44</f>
        <v>0</v>
      </c>
      <c r="K78" s="1089">
        <f>'3'!M44</f>
        <v>15000</v>
      </c>
      <c r="L78" s="278">
        <f t="shared" ref="L78" si="17">IF(G78=0,"",K78/G78*100)</f>
        <v>100</v>
      </c>
    </row>
    <row r="79" spans="2:12" ht="15" customHeight="1" thickBot="1">
      <c r="B79" s="16"/>
      <c r="C79" s="296" t="s">
        <v>107</v>
      </c>
      <c r="D79" s="655" t="s">
        <v>733</v>
      </c>
      <c r="E79" s="285" t="s">
        <v>600</v>
      </c>
      <c r="F79" s="280">
        <f>'20'!H38</f>
        <v>40000</v>
      </c>
      <c r="G79" s="280">
        <f>'20'!I38</f>
        <v>40000</v>
      </c>
      <c r="H79" s="280">
        <f>'20'!J38</f>
        <v>28500</v>
      </c>
      <c r="I79" s="632">
        <f>'20'!K38</f>
        <v>40000</v>
      </c>
      <c r="J79" s="632">
        <f>'20'!L38</f>
        <v>0</v>
      </c>
      <c r="K79" s="1089">
        <f>'20'!M38</f>
        <v>40000</v>
      </c>
      <c r="L79" s="278">
        <f t="shared" ref="L79:L111" si="18">IF(G79=0,"",K79/G79*100)</f>
        <v>100</v>
      </c>
    </row>
    <row r="80" spans="2:12" ht="15" customHeight="1">
      <c r="C80" s="296" t="s">
        <v>107</v>
      </c>
      <c r="D80" s="655" t="s">
        <v>734</v>
      </c>
      <c r="E80" s="285" t="s">
        <v>601</v>
      </c>
      <c r="F80" s="280">
        <f>'20'!H39</f>
        <v>200000</v>
      </c>
      <c r="G80" s="280">
        <f>'20'!I39</f>
        <v>200000</v>
      </c>
      <c r="H80" s="280">
        <f>'20'!J39</f>
        <v>188500</v>
      </c>
      <c r="I80" s="632">
        <f>'20'!K39</f>
        <v>150000</v>
      </c>
      <c r="J80" s="632">
        <f>'20'!L39</f>
        <v>0</v>
      </c>
      <c r="K80" s="1089">
        <f>'20'!M39</f>
        <v>150000</v>
      </c>
      <c r="L80" s="278">
        <f t="shared" si="18"/>
        <v>75</v>
      </c>
    </row>
    <row r="81" spans="3:12" ht="15" customHeight="1">
      <c r="C81" s="296" t="s">
        <v>107</v>
      </c>
      <c r="D81" s="655" t="s">
        <v>738</v>
      </c>
      <c r="E81" s="285" t="s">
        <v>631</v>
      </c>
      <c r="F81" s="280">
        <f>'33'!H30</f>
        <v>150000</v>
      </c>
      <c r="G81" s="280">
        <f>'33'!I30</f>
        <v>0</v>
      </c>
      <c r="H81" s="280">
        <f>'33'!J30</f>
        <v>0</v>
      </c>
      <c r="I81" s="632">
        <f>'33'!K30</f>
        <v>0</v>
      </c>
      <c r="J81" s="632">
        <f>'33'!L30</f>
        <v>0</v>
      </c>
      <c r="K81" s="1089">
        <f>'33'!M30</f>
        <v>0</v>
      </c>
      <c r="L81" s="278" t="str">
        <f t="shared" si="18"/>
        <v/>
      </c>
    </row>
    <row r="82" spans="3:12" s="56" customFormat="1" ht="15" customHeight="1">
      <c r="C82" s="302" t="s">
        <v>212</v>
      </c>
      <c r="D82" s="656"/>
      <c r="E82" s="289" t="s">
        <v>610</v>
      </c>
      <c r="F82" s="111">
        <f>SUM(F83:F86)</f>
        <v>3300000</v>
      </c>
      <c r="G82" s="111">
        <f t="shared" ref="G82:H82" si="19">SUM(G83:G86)</f>
        <v>3300000</v>
      </c>
      <c r="H82" s="111">
        <f t="shared" si="19"/>
        <v>1428373</v>
      </c>
      <c r="I82" s="542">
        <f>SUM(I83:I86)</f>
        <v>2172220</v>
      </c>
      <c r="J82" s="542">
        <f>SUM(J83:J86)</f>
        <v>427780</v>
      </c>
      <c r="K82" s="1063">
        <f>SUM(K83:K86)</f>
        <v>2600000</v>
      </c>
      <c r="L82" s="115">
        <f t="shared" si="18"/>
        <v>78.787878787878782</v>
      </c>
    </row>
    <row r="83" spans="3:12" ht="15" customHeight="1">
      <c r="C83" s="296" t="s">
        <v>212</v>
      </c>
      <c r="D83" s="655" t="s">
        <v>711</v>
      </c>
      <c r="E83" s="285" t="s">
        <v>661</v>
      </c>
      <c r="F83" s="280">
        <f>'15'!H30</f>
        <v>1300000</v>
      </c>
      <c r="G83" s="280">
        <f>'15'!I30</f>
        <v>1150000</v>
      </c>
      <c r="H83" s="280">
        <f>'15'!J30</f>
        <v>133070</v>
      </c>
      <c r="I83" s="632">
        <f>'15'!K30</f>
        <v>1000000</v>
      </c>
      <c r="J83" s="632">
        <f>'15'!L30</f>
        <v>0</v>
      </c>
      <c r="K83" s="1089">
        <f>'15'!M30</f>
        <v>1000000</v>
      </c>
      <c r="L83" s="278">
        <f t="shared" si="18"/>
        <v>86.956521739130437</v>
      </c>
    </row>
    <row r="84" spans="3:12" ht="15" customHeight="1">
      <c r="C84" s="295" t="s">
        <v>212</v>
      </c>
      <c r="D84" s="653" t="s">
        <v>722</v>
      </c>
      <c r="E84" s="282" t="s">
        <v>602</v>
      </c>
      <c r="F84" s="277">
        <f>'19'!H30</f>
        <v>1100000</v>
      </c>
      <c r="G84" s="277">
        <f>'19'!I30</f>
        <v>1250000</v>
      </c>
      <c r="H84" s="277">
        <f>'19'!J30</f>
        <v>959868</v>
      </c>
      <c r="I84" s="630">
        <f>'19'!K30</f>
        <v>1100000</v>
      </c>
      <c r="J84" s="630">
        <f>'19'!L30</f>
        <v>0</v>
      </c>
      <c r="K84" s="1089">
        <f>'19'!M30</f>
        <v>1100000</v>
      </c>
      <c r="L84" s="278">
        <f t="shared" si="18"/>
        <v>88</v>
      </c>
    </row>
    <row r="85" spans="3:12" ht="15" customHeight="1">
      <c r="C85" s="295" t="s">
        <v>212</v>
      </c>
      <c r="D85" s="653" t="s">
        <v>724</v>
      </c>
      <c r="E85" s="282" t="s">
        <v>603</v>
      </c>
      <c r="F85" s="277">
        <f>'19'!H31</f>
        <v>500000</v>
      </c>
      <c r="G85" s="277">
        <f>'19'!I31</f>
        <v>500000</v>
      </c>
      <c r="H85" s="277">
        <f>'19'!J31</f>
        <v>263722</v>
      </c>
      <c r="I85" s="630">
        <f>'19'!K31</f>
        <v>32220</v>
      </c>
      <c r="J85" s="630">
        <f>'19'!L31</f>
        <v>267780</v>
      </c>
      <c r="K85" s="1089">
        <f>'19'!M31</f>
        <v>300000</v>
      </c>
      <c r="L85" s="278">
        <f t="shared" si="18"/>
        <v>60</v>
      </c>
    </row>
    <row r="86" spans="3:12" ht="15" customHeight="1">
      <c r="C86" s="295" t="s">
        <v>212</v>
      </c>
      <c r="D86" s="653" t="s">
        <v>725</v>
      </c>
      <c r="E86" s="282" t="s">
        <v>604</v>
      </c>
      <c r="F86" s="277">
        <f>'19'!H32</f>
        <v>400000</v>
      </c>
      <c r="G86" s="277">
        <f>'19'!I32</f>
        <v>400000</v>
      </c>
      <c r="H86" s="277">
        <f>'19'!J32</f>
        <v>71713</v>
      </c>
      <c r="I86" s="630">
        <f>'19'!K32</f>
        <v>40000</v>
      </c>
      <c r="J86" s="630">
        <f>'19'!L32</f>
        <v>160000</v>
      </c>
      <c r="K86" s="1089">
        <f>'19'!M32</f>
        <v>200000</v>
      </c>
      <c r="L86" s="278">
        <f t="shared" si="18"/>
        <v>50</v>
      </c>
    </row>
    <row r="87" spans="3:12" s="56" customFormat="1" ht="15" customHeight="1">
      <c r="C87" s="304">
        <v>614800</v>
      </c>
      <c r="D87" s="657"/>
      <c r="E87" s="288" t="s">
        <v>611</v>
      </c>
      <c r="F87" s="305">
        <f t="shared" ref="F87:K87" si="20">SUM(F88:F89)</f>
        <v>111000</v>
      </c>
      <c r="G87" s="305">
        <f t="shared" si="20"/>
        <v>152500</v>
      </c>
      <c r="H87" s="305">
        <f t="shared" si="20"/>
        <v>94522</v>
      </c>
      <c r="I87" s="478">
        <f t="shared" si="20"/>
        <v>80000</v>
      </c>
      <c r="J87" s="478">
        <f t="shared" si="20"/>
        <v>0</v>
      </c>
      <c r="K87" s="1063">
        <f t="shared" si="20"/>
        <v>80000</v>
      </c>
      <c r="L87" s="115">
        <f t="shared" si="18"/>
        <v>52.459016393442624</v>
      </c>
    </row>
    <row r="88" spans="3:12" ht="15" customHeight="1">
      <c r="C88" s="295">
        <v>614800</v>
      </c>
      <c r="D88" s="653" t="s">
        <v>714</v>
      </c>
      <c r="E88" s="282" t="s">
        <v>605</v>
      </c>
      <c r="F88" s="277">
        <f>'16'!H34</f>
        <v>51000</v>
      </c>
      <c r="G88" s="277">
        <f>'16'!I34</f>
        <v>107500</v>
      </c>
      <c r="H88" s="277">
        <f>'16'!J34</f>
        <v>51000</v>
      </c>
      <c r="I88" s="630">
        <f>'16'!K34</f>
        <v>60000</v>
      </c>
      <c r="J88" s="630">
        <f>'16'!L34</f>
        <v>0</v>
      </c>
      <c r="K88" s="1089">
        <f>'16'!M34</f>
        <v>60000</v>
      </c>
      <c r="L88" s="278">
        <f t="shared" si="18"/>
        <v>55.813953488372093</v>
      </c>
    </row>
    <row r="89" spans="3:12" ht="27" customHeight="1">
      <c r="C89" s="295">
        <v>614800</v>
      </c>
      <c r="D89" s="653" t="s">
        <v>715</v>
      </c>
      <c r="E89" s="287" t="s">
        <v>606</v>
      </c>
      <c r="F89" s="277">
        <f>'16'!H35</f>
        <v>60000</v>
      </c>
      <c r="G89" s="277">
        <f>'16'!I35</f>
        <v>45000</v>
      </c>
      <c r="H89" s="277">
        <f>'16'!J35</f>
        <v>43522</v>
      </c>
      <c r="I89" s="630">
        <f>'16'!K35</f>
        <v>20000</v>
      </c>
      <c r="J89" s="630">
        <f>'16'!L35</f>
        <v>0</v>
      </c>
      <c r="K89" s="1089">
        <f>'16'!M35</f>
        <v>20000</v>
      </c>
      <c r="L89" s="278">
        <f t="shared" si="18"/>
        <v>44.444444444444443</v>
      </c>
    </row>
    <row r="90" spans="3:12" ht="13.5" customHeight="1">
      <c r="C90" s="297"/>
      <c r="D90" s="648"/>
      <c r="E90" s="8"/>
      <c r="F90" s="15"/>
      <c r="G90" s="15"/>
      <c r="H90" s="15"/>
      <c r="I90" s="615"/>
      <c r="J90" s="615"/>
      <c r="K90" s="1064"/>
      <c r="L90" s="115" t="str">
        <f t="shared" si="18"/>
        <v/>
      </c>
    </row>
    <row r="91" spans="3:12" ht="15" customHeight="1">
      <c r="C91" s="1102">
        <v>615000</v>
      </c>
      <c r="D91" s="1103"/>
      <c r="E91" s="1104" t="s">
        <v>89</v>
      </c>
      <c r="F91" s="1100">
        <f>SUM(F92:F93)</f>
        <v>700000</v>
      </c>
      <c r="G91" s="1100">
        <f t="shared" ref="G91:H91" si="21">SUM(G92:G93)</f>
        <v>600000</v>
      </c>
      <c r="H91" s="1100">
        <f t="shared" si="21"/>
        <v>0</v>
      </c>
      <c r="I91" s="1100">
        <f>SUM(I92:I93)</f>
        <v>400000</v>
      </c>
      <c r="J91" s="1100">
        <f>SUM(J92:J93)</f>
        <v>0</v>
      </c>
      <c r="K91" s="1064">
        <f>SUM(K92:K93)</f>
        <v>400000</v>
      </c>
      <c r="L91" s="1101">
        <f t="shared" si="18"/>
        <v>66.666666666666657</v>
      </c>
    </row>
    <row r="92" spans="3:12" ht="15" customHeight="1">
      <c r="C92" s="298" t="s">
        <v>214</v>
      </c>
      <c r="D92" s="657"/>
      <c r="E92" s="45" t="s">
        <v>89</v>
      </c>
      <c r="F92" s="31">
        <f>'3'!H48</f>
        <v>700000</v>
      </c>
      <c r="G92" s="618">
        <f>'3'!I48</f>
        <v>600000</v>
      </c>
      <c r="H92" s="618">
        <f>'3'!J48</f>
        <v>0</v>
      </c>
      <c r="I92" s="618">
        <f>'3'!K48</f>
        <v>400000</v>
      </c>
      <c r="J92" s="618">
        <f>'3'!L48</f>
        <v>0</v>
      </c>
      <c r="K92" s="1063">
        <f>'3'!M48</f>
        <v>400000</v>
      </c>
      <c r="L92" s="115">
        <f t="shared" si="18"/>
        <v>66.666666666666657</v>
      </c>
    </row>
    <row r="93" spans="3:12" ht="12.75" customHeight="1">
      <c r="C93" s="299"/>
      <c r="D93" s="658"/>
      <c r="E93" s="23"/>
      <c r="F93" s="31"/>
      <c r="G93" s="31"/>
      <c r="H93" s="31"/>
      <c r="I93" s="618"/>
      <c r="J93" s="618"/>
      <c r="K93" s="1063"/>
      <c r="L93" s="115" t="str">
        <f t="shared" si="18"/>
        <v/>
      </c>
    </row>
    <row r="94" spans="3:12" ht="15" customHeight="1">
      <c r="C94" s="1105" t="s">
        <v>103</v>
      </c>
      <c r="D94" s="1106"/>
      <c r="E94" s="1104" t="s">
        <v>209</v>
      </c>
      <c r="F94" s="1100">
        <f>SUM(F95:F97)</f>
        <v>72000</v>
      </c>
      <c r="G94" s="1100">
        <f t="shared" ref="G94:H94" si="22">SUM(G95:G97)</f>
        <v>60860</v>
      </c>
      <c r="H94" s="1100">
        <f t="shared" si="22"/>
        <v>52630</v>
      </c>
      <c r="I94" s="1100">
        <f>SUM(I95:I97)</f>
        <v>58860</v>
      </c>
      <c r="J94" s="1100">
        <f>SUM(J95:J97)</f>
        <v>0</v>
      </c>
      <c r="K94" s="1064">
        <f>SUM(K95:K97)</f>
        <v>58860</v>
      </c>
      <c r="L94" s="1101">
        <f t="shared" si="18"/>
        <v>96.713769306605329</v>
      </c>
    </row>
    <row r="95" spans="3:12" ht="15" customHeight="1">
      <c r="C95" s="291">
        <v>616300</v>
      </c>
      <c r="D95" s="649"/>
      <c r="E95" s="45" t="s">
        <v>194</v>
      </c>
      <c r="F95" s="31">
        <f>'20'!H42</f>
        <v>6500</v>
      </c>
      <c r="G95" s="31">
        <f>'20'!I42</f>
        <v>5440</v>
      </c>
      <c r="H95" s="31">
        <f>'20'!J42</f>
        <v>5438</v>
      </c>
      <c r="I95" s="618">
        <f>'20'!K42</f>
        <v>2560</v>
      </c>
      <c r="J95" s="618">
        <f>'20'!L42</f>
        <v>0</v>
      </c>
      <c r="K95" s="1063">
        <f>'20'!M42</f>
        <v>2560</v>
      </c>
      <c r="L95" s="115">
        <f t="shared" si="18"/>
        <v>47.058823529411761</v>
      </c>
    </row>
    <row r="96" spans="3:12" ht="15" customHeight="1">
      <c r="C96" s="291">
        <v>616300</v>
      </c>
      <c r="D96" s="649" t="s">
        <v>716</v>
      </c>
      <c r="E96" s="45" t="s">
        <v>216</v>
      </c>
      <c r="F96" s="31">
        <f>'16'!H38</f>
        <v>24000</v>
      </c>
      <c r="G96" s="31">
        <f>'16'!I38</f>
        <v>21710</v>
      </c>
      <c r="H96" s="31">
        <f>'16'!J38</f>
        <v>21708</v>
      </c>
      <c r="I96" s="618">
        <f>'16'!K38</f>
        <v>23400</v>
      </c>
      <c r="J96" s="618">
        <f>'16'!L38</f>
        <v>0</v>
      </c>
      <c r="K96" s="1063">
        <f>'16'!M38</f>
        <v>23400</v>
      </c>
      <c r="L96" s="115">
        <f t="shared" si="18"/>
        <v>107.78443113772455</v>
      </c>
    </row>
    <row r="97" spans="3:12" ht="15" customHeight="1">
      <c r="C97" s="291">
        <v>616300</v>
      </c>
      <c r="D97" s="649" t="s">
        <v>717</v>
      </c>
      <c r="E97" s="45" t="s">
        <v>220</v>
      </c>
      <c r="F97" s="31">
        <f>'16'!H39</f>
        <v>41500</v>
      </c>
      <c r="G97" s="31">
        <f>'16'!I39</f>
        <v>33710</v>
      </c>
      <c r="H97" s="31">
        <f>'16'!J39</f>
        <v>25484</v>
      </c>
      <c r="I97" s="618">
        <f>'16'!K39</f>
        <v>32900</v>
      </c>
      <c r="J97" s="618">
        <f>'16'!L39</f>
        <v>0</v>
      </c>
      <c r="K97" s="1063">
        <f>'16'!M39</f>
        <v>32900</v>
      </c>
      <c r="L97" s="115">
        <f t="shared" si="18"/>
        <v>97.597152180361917</v>
      </c>
    </row>
    <row r="98" spans="3:12" ht="12" customHeight="1">
      <c r="C98" s="291"/>
      <c r="D98" s="649"/>
      <c r="E98" s="45"/>
      <c r="F98" s="31"/>
      <c r="G98" s="31"/>
      <c r="H98" s="31"/>
      <c r="I98" s="618"/>
      <c r="J98" s="618"/>
      <c r="K98" s="1063"/>
      <c r="L98" s="115" t="str">
        <f t="shared" si="18"/>
        <v/>
      </c>
    </row>
    <row r="99" spans="3:12" ht="15" customHeight="1">
      <c r="C99" s="1097">
        <v>821000</v>
      </c>
      <c r="D99" s="1098"/>
      <c r="E99" s="1099" t="s">
        <v>90</v>
      </c>
      <c r="F99" s="1100">
        <f>SUM(F100:F103)</f>
        <v>1476200</v>
      </c>
      <c r="G99" s="1100">
        <f t="shared" ref="G99:H99" si="23">SUM(G100:G103)</f>
        <v>1650930</v>
      </c>
      <c r="H99" s="1100">
        <f t="shared" si="23"/>
        <v>221413</v>
      </c>
      <c r="I99" s="1100">
        <f>SUM(I100:I103)</f>
        <v>368940</v>
      </c>
      <c r="J99" s="1100">
        <f>SUM(J100:J103)</f>
        <v>979310</v>
      </c>
      <c r="K99" s="1064">
        <f>SUM(K100:K103)</f>
        <v>1348250</v>
      </c>
      <c r="L99" s="1101">
        <f t="shared" si="18"/>
        <v>81.666091233426002</v>
      </c>
    </row>
    <row r="100" spans="3:12" ht="15" customHeight="1">
      <c r="C100" s="293">
        <v>821200</v>
      </c>
      <c r="D100" s="651"/>
      <c r="E100" s="14" t="s">
        <v>91</v>
      </c>
      <c r="F100" s="88">
        <f>'1'!H29+'3'!H51+'4'!H32+'5'!H29+'6'!H29+'7'!H29+'8'!H29+'9'!H29+'10'!H29+'11'!H30+'12'!H29+'13'!H29+'14'!H29+'15'!H33+'16'!H42+'17'!H35+'18'!H34+'19'!H35+'20'!H45+'21'!H29+'22'!H29+'23'!H30+'24'!H29+'25'!H29+'26'!H29+'27'!H29+'28'!H29+'29'!H29+'30'!H29+'31'!H32+'32'!H29+'33'!H33+'34'!H29+'35'!H29+'36'!H29+'37'!H29</f>
        <v>129500</v>
      </c>
      <c r="G100" s="623">
        <f>'1'!I29+'3'!I51+'4'!I32+'5'!I29+'6'!I29+'7'!I29+'8'!I29+'9'!I29+'10'!I29+'11'!I30+'12'!I29+'13'!I29+'14'!I29+'15'!I33+'16'!I42+'17'!I35+'18'!I34+'19'!I35+'20'!I45+'21'!I29+'22'!I29+'23'!I30+'24'!I29+'25'!I29+'26'!I29+'27'!I29+'28'!I29+'29'!I29+'30'!I29+'31'!I32+'32'!I29+'33'!I33+'34'!I29+'35'!I29+'36'!I29+'37'!I29</f>
        <v>164070</v>
      </c>
      <c r="H100" s="623">
        <f>'1'!J29+'3'!J51+'4'!J32+'5'!J29+'6'!J29+'7'!J29+'8'!J29+'9'!J29+'10'!J29+'11'!J30+'12'!J29+'13'!J29+'14'!J29+'15'!J33+'16'!J42+'17'!J35+'18'!J34+'19'!J35+'20'!J45+'21'!J29+'22'!J29+'23'!J30+'24'!J29+'25'!J29+'26'!J29+'27'!J29+'28'!J29+'29'!J29+'30'!J29+'31'!J32+'32'!J29+'33'!J33+'34'!J29+'35'!J29+'36'!J29+'37'!J29</f>
        <v>78906</v>
      </c>
      <c r="I100" s="623">
        <f>'1'!K29+'3'!K51+'4'!K32+'5'!K29+'6'!K29+'7'!K29+'8'!K29+'9'!K29+'10'!K29+'11'!K30+'12'!K29+'13'!K29+'14'!K29+'15'!K33+'16'!K42+'17'!K35+'18'!K34+'19'!K35+'20'!K45+'21'!K29+'22'!K29+'23'!K30+'24'!K29+'25'!K29+'26'!K29+'27'!K29+'28'!K29+'29'!K29+'30'!K29+'31'!K32+'32'!K29+'33'!K33+'34'!K29+'35'!K29+'36'!K29+'37'!K29</f>
        <v>46000</v>
      </c>
      <c r="J100" s="623">
        <f>'1'!L29+'3'!L51+'4'!L32+'5'!L29+'6'!L29+'7'!L29+'8'!L29+'9'!L29+'10'!L29+'11'!L30+'12'!L29+'13'!L29+'14'!L29+'15'!L33+'16'!L42+'17'!L35+'18'!L34+'19'!L35+'20'!L45+'21'!L29+'22'!L29+'23'!L30+'24'!L29+'25'!L29+'26'!L29+'27'!L29+'28'!L29+'29'!L29+'30'!L29+'31'!L32+'32'!L29+'33'!L33+'34'!L29+'35'!L29+'36'!L29+'37'!L29</f>
        <v>0</v>
      </c>
      <c r="K100" s="1063">
        <f>'1'!M29+'3'!M51+'4'!M32+'5'!M29+'6'!M29+'7'!M29+'8'!M29+'9'!M29+'10'!M29+'11'!M30+'12'!M29+'13'!M29+'14'!M29+'15'!M33+'16'!M42+'17'!M35+'18'!M34+'19'!M35+'20'!M45+'21'!M29+'22'!M29+'23'!M30+'24'!M29+'25'!M29+'26'!M29+'27'!M29+'28'!M29+'29'!M29+'30'!M29+'31'!M32+'32'!M29+'33'!M33+'34'!M29+'35'!M29+'36'!M29+'37'!M29</f>
        <v>46000</v>
      </c>
      <c r="L100" s="115">
        <f t="shared" si="18"/>
        <v>28.036813555189859</v>
      </c>
    </row>
    <row r="101" spans="3:12" ht="15" customHeight="1">
      <c r="C101" s="293">
        <v>821300</v>
      </c>
      <c r="D101" s="651"/>
      <c r="E101" s="14" t="s">
        <v>92</v>
      </c>
      <c r="F101" s="88">
        <f>'1'!H30+'3'!H52+'4'!H33+'5'!H30+'6'!H30+'7'!H30+'8'!H30+'9'!H30+'10'!H30+'11'!H31+'12'!H30+'13'!H30+'14'!H30+'15'!H34+'16'!H43+'17'!H36+'18'!H35+'19'!H36+'20'!H46+'21'!H30+'22'!H30+'23'!H31+'24'!H30+'25'!H30+'26'!H30+'27'!H30+'28'!H30+'29'!H30+'30'!H30+'31'!H33+'32'!H30+'33'!H34+'34'!H30+'35'!H30+'36'!H30+'37'!H30</f>
        <v>254700</v>
      </c>
      <c r="G101" s="623">
        <f>'1'!I30+'3'!I52+'4'!I33+'5'!I30+'6'!I30+'7'!I30+'8'!I30+'9'!I30+'10'!I30+'11'!I31+'12'!I30+'13'!I30+'14'!I30+'15'!I34+'16'!I43+'17'!I36+'18'!I35+'19'!I36+'20'!I46+'21'!I30+'22'!I30+'23'!I31+'24'!I30+'25'!I30+'26'!I30+'27'!I30+'28'!I30+'29'!I30+'30'!I30+'31'!I33+'32'!I30+'33'!I34+'34'!I30+'35'!I30+'36'!I30+'37'!I30</f>
        <v>244860</v>
      </c>
      <c r="H101" s="623">
        <f>'1'!J30+'3'!J52+'4'!J33+'5'!J30+'6'!J30+'7'!J30+'8'!J30+'9'!J30+'10'!J30+'11'!J31+'12'!J30+'13'!J30+'14'!J30+'15'!J34+'16'!J43+'17'!J36+'18'!J35+'19'!J36+'20'!J46+'21'!J30+'22'!J30+'23'!J31+'24'!J30+'25'!J30+'26'!J30+'27'!J30+'28'!J30+'29'!J30+'30'!J30+'31'!J33+'32'!J30+'33'!J34+'34'!J30+'35'!J30+'36'!J30+'37'!J30</f>
        <v>122124</v>
      </c>
      <c r="I101" s="623">
        <f>'1'!K30+'3'!K52+'4'!K33+'5'!K30+'6'!K30+'7'!K30+'8'!K30+'9'!K30+'10'!K30+'11'!K31+'12'!K30+'13'!K30+'14'!K30+'15'!K34+'16'!K43+'17'!K36+'18'!K35+'19'!K36+'20'!K46+'21'!K30+'22'!K30+'23'!K31+'24'!K30+'25'!K30+'26'!K30+'27'!K30+'28'!K30+'29'!K30+'30'!K30+'31'!K33+'32'!K30+'33'!K34+'34'!K30+'35'!K30+'36'!K30+'37'!K30</f>
        <v>272940</v>
      </c>
      <c r="J101" s="623">
        <f>'1'!L30+'3'!L52+'4'!L33+'5'!L30+'6'!L30+'7'!L30+'8'!L30+'9'!L30+'10'!L30+'11'!L31+'12'!L30+'13'!L30+'14'!L30+'15'!L34+'16'!L43+'17'!L36+'18'!L35+'19'!L36+'20'!L46+'21'!L30+'22'!L30+'23'!L31+'24'!L30+'25'!L30+'26'!L30+'27'!L30+'28'!L30+'29'!L30+'30'!L30+'31'!L33+'32'!L30+'33'!L34+'34'!L30+'35'!L30+'36'!L30+'37'!L30</f>
        <v>87310</v>
      </c>
      <c r="K101" s="1063">
        <f>'1'!M30+'3'!M52+'4'!M33+'5'!M30+'6'!M30+'7'!M30+'8'!M30+'9'!M30+'10'!M30+'11'!M31+'12'!M30+'13'!M30+'14'!M30+'15'!M34+'16'!M43+'17'!M36+'18'!M35+'19'!M36+'20'!M46+'21'!M30+'22'!M30+'23'!M31+'24'!M30+'25'!M30+'26'!M30+'27'!M30+'28'!M30+'29'!M30+'30'!M30+'31'!M33+'32'!M30+'33'!M34+'34'!M30+'35'!M30+'36'!M30+'37'!M30</f>
        <v>360250</v>
      </c>
      <c r="L101" s="115">
        <f t="shared" si="18"/>
        <v>147.12488769092542</v>
      </c>
    </row>
    <row r="102" spans="3:12" ht="15" customHeight="1">
      <c r="C102" s="293">
        <v>821500</v>
      </c>
      <c r="D102" s="651"/>
      <c r="E102" s="200" t="s">
        <v>534</v>
      </c>
      <c r="F102" s="88">
        <f>'3'!H53</f>
        <v>200000</v>
      </c>
      <c r="G102" s="88">
        <f>'3'!I53</f>
        <v>135000</v>
      </c>
      <c r="H102" s="88">
        <f>'3'!J53</f>
        <v>0</v>
      </c>
      <c r="I102" s="623">
        <f>'3'!K53</f>
        <v>50000</v>
      </c>
      <c r="J102" s="623">
        <f>'3'!L53</f>
        <v>0</v>
      </c>
      <c r="K102" s="1063">
        <f>'3'!M53</f>
        <v>50000</v>
      </c>
      <c r="L102" s="115">
        <f t="shared" si="18"/>
        <v>37.037037037037038</v>
      </c>
    </row>
    <row r="103" spans="3:12" ht="15" customHeight="1">
      <c r="C103" s="293">
        <v>821600</v>
      </c>
      <c r="D103" s="651"/>
      <c r="E103" s="81" t="s">
        <v>104</v>
      </c>
      <c r="F103" s="88">
        <f>'18'!H36</f>
        <v>892000</v>
      </c>
      <c r="G103" s="88">
        <f>'18'!I36</f>
        <v>1107000</v>
      </c>
      <c r="H103" s="88">
        <f>'18'!J36</f>
        <v>20383</v>
      </c>
      <c r="I103" s="623">
        <f>'18'!K36</f>
        <v>0</v>
      </c>
      <c r="J103" s="623">
        <f>'18'!L36</f>
        <v>892000</v>
      </c>
      <c r="K103" s="1063">
        <f>'18'!M36</f>
        <v>892000</v>
      </c>
      <c r="L103" s="115">
        <f t="shared" si="18"/>
        <v>80.578139114724479</v>
      </c>
    </row>
    <row r="104" spans="3:12" ht="11.25" customHeight="1">
      <c r="C104" s="291"/>
      <c r="D104" s="649"/>
      <c r="E104" s="11"/>
      <c r="F104" s="30"/>
      <c r="G104" s="30"/>
      <c r="H104" s="30"/>
      <c r="I104" s="593"/>
      <c r="J104" s="593"/>
      <c r="K104" s="1063"/>
      <c r="L104" s="115" t="str">
        <f t="shared" si="18"/>
        <v/>
      </c>
    </row>
    <row r="105" spans="3:12" ht="15" customHeight="1">
      <c r="C105" s="1097">
        <v>823000</v>
      </c>
      <c r="D105" s="1098"/>
      <c r="E105" s="1099" t="s">
        <v>210</v>
      </c>
      <c r="F105" s="1100">
        <f>SUM(F106:F108)</f>
        <v>600500</v>
      </c>
      <c r="G105" s="1100">
        <f t="shared" ref="G105:K105" si="24">SUM(G106:G108)</f>
        <v>585870</v>
      </c>
      <c r="H105" s="1100">
        <f t="shared" si="24"/>
        <v>585846</v>
      </c>
      <c r="I105" s="1100">
        <f t="shared" ref="I105:J105" si="25">SUM(I106:I108)</f>
        <v>598890</v>
      </c>
      <c r="J105" s="1100">
        <f t="shared" si="25"/>
        <v>0</v>
      </c>
      <c r="K105" s="1064">
        <f t="shared" si="24"/>
        <v>598890</v>
      </c>
      <c r="L105" s="1101">
        <f t="shared" si="18"/>
        <v>102.2223360131087</v>
      </c>
    </row>
    <row r="106" spans="3:12" ht="15" customHeight="1">
      <c r="C106" s="291">
        <v>823300</v>
      </c>
      <c r="D106" s="649"/>
      <c r="E106" s="20" t="s">
        <v>219</v>
      </c>
      <c r="F106" s="30">
        <f>'20'!H49</f>
        <v>75000</v>
      </c>
      <c r="G106" s="30">
        <f>'20'!I49</f>
        <v>69160</v>
      </c>
      <c r="H106" s="30">
        <f>'20'!J49</f>
        <v>69152</v>
      </c>
      <c r="I106" s="593">
        <f>'20'!K49</f>
        <v>75000</v>
      </c>
      <c r="J106" s="593">
        <f>'20'!L49</f>
        <v>0</v>
      </c>
      <c r="K106" s="1063">
        <f>'20'!M49</f>
        <v>75000</v>
      </c>
      <c r="L106" s="115">
        <f t="shared" si="18"/>
        <v>108.44418739155581</v>
      </c>
    </row>
    <row r="107" spans="3:12" ht="15" customHeight="1">
      <c r="C107" s="291">
        <v>823300</v>
      </c>
      <c r="D107" s="649" t="s">
        <v>716</v>
      </c>
      <c r="E107" s="20" t="s">
        <v>623</v>
      </c>
      <c r="F107" s="31">
        <f>'16'!H46</f>
        <v>95000</v>
      </c>
      <c r="G107" s="31">
        <f>'16'!I46</f>
        <v>86420</v>
      </c>
      <c r="H107" s="31">
        <f>'16'!J46</f>
        <v>86411</v>
      </c>
      <c r="I107" s="618">
        <f>'16'!K46</f>
        <v>93600</v>
      </c>
      <c r="J107" s="618">
        <f>'16'!L46</f>
        <v>0</v>
      </c>
      <c r="K107" s="1063">
        <f>'16'!M46</f>
        <v>93600</v>
      </c>
      <c r="L107" s="115">
        <f t="shared" si="18"/>
        <v>108.30826197639436</v>
      </c>
    </row>
    <row r="108" spans="3:12" ht="15" customHeight="1">
      <c r="C108" s="291">
        <v>823300</v>
      </c>
      <c r="D108" s="649" t="s">
        <v>717</v>
      </c>
      <c r="E108" s="20" t="s">
        <v>622</v>
      </c>
      <c r="F108" s="31">
        <f>'16'!H47</f>
        <v>430500</v>
      </c>
      <c r="G108" s="31">
        <f>'16'!I47</f>
        <v>430290</v>
      </c>
      <c r="H108" s="31">
        <f>'16'!J47</f>
        <v>430283</v>
      </c>
      <c r="I108" s="618">
        <f>'16'!K47</f>
        <v>430290</v>
      </c>
      <c r="J108" s="618">
        <f>'16'!L47</f>
        <v>0</v>
      </c>
      <c r="K108" s="1063">
        <f>'16'!M47</f>
        <v>430290</v>
      </c>
      <c r="L108" s="115">
        <f t="shared" si="18"/>
        <v>100</v>
      </c>
    </row>
    <row r="109" spans="3:12" ht="15" customHeight="1">
      <c r="C109" s="28"/>
      <c r="D109" s="659"/>
      <c r="E109" s="11"/>
      <c r="F109" s="30"/>
      <c r="G109" s="30"/>
      <c r="H109" s="30"/>
      <c r="I109" s="593"/>
      <c r="J109" s="593"/>
      <c r="K109" s="1063"/>
      <c r="L109" s="115" t="str">
        <f t="shared" si="18"/>
        <v/>
      </c>
    </row>
    <row r="110" spans="3:12" ht="15" customHeight="1">
      <c r="C110" s="4"/>
      <c r="D110" s="647"/>
      <c r="E110" s="8" t="s">
        <v>93</v>
      </c>
      <c r="F110" s="624" t="s">
        <v>659</v>
      </c>
      <c r="G110" s="624" t="s">
        <v>746</v>
      </c>
      <c r="H110" s="92" t="s">
        <v>630</v>
      </c>
      <c r="I110" s="624" t="s">
        <v>859</v>
      </c>
      <c r="J110" s="624"/>
      <c r="K110" s="1066" t="s">
        <v>859</v>
      </c>
      <c r="L110" s="115"/>
    </row>
    <row r="111" spans="3:12" ht="15" customHeight="1">
      <c r="C111" s="4"/>
      <c r="D111" s="647"/>
      <c r="E111" s="8" t="s">
        <v>113</v>
      </c>
      <c r="F111" s="15">
        <f>'1'!H33+'3'!H56+'4'!H36+'5'!H33+'6'!H33+'7'!H33+'8'!H33+'9'!H33+'10'!H33+'11'!H34+'12'!H33+'13'!H33+'14'!H33+'15'!H37+'16'!H50+'17'!H39+'18'!H39+'19'!H39+'20'!H52+'21'!H33+'22'!H33+'23'!H34+'24'!H33+'25'!H33+'26'!H33+'27'!H33+'28'!H33+'29'!H33+'30'!H33+'31'!H36+'32'!H33+'33'!H37+'34'!H33+'35'!H33+'36'!H33+'37'!H33</f>
        <v>42441870</v>
      </c>
      <c r="G111" s="615">
        <f>'1'!I33+'3'!I56+'4'!I36+'5'!I33+'6'!I33+'7'!I33+'8'!I33+'9'!I33+'10'!I33+'11'!I34+'12'!I33+'13'!I33+'14'!I33+'15'!I37+'16'!I50+'17'!I39+'18'!I39+'19'!I39+'20'!I52+'21'!I33+'22'!I33+'23'!I34+'24'!I33+'25'!I33+'26'!I33+'27'!I33+'28'!I33+'29'!I33+'30'!I33+'31'!I36+'32'!I33+'33'!I37+'34'!I33+'35'!I33+'36'!I33+'37'!I33</f>
        <v>42094170</v>
      </c>
      <c r="H111" s="615">
        <f>'1'!J33+'3'!J56+'4'!J36+'5'!J33+'6'!J33+'7'!J33+'8'!J33+'9'!J33+'10'!J33+'11'!J34+'12'!J33+'13'!J33+'14'!J33+'15'!J37+'16'!J50+'17'!J39+'18'!J39+'19'!J39+'20'!J52+'21'!J33+'22'!J33+'23'!J34+'24'!J33+'25'!J33+'26'!J33+'27'!J33+'28'!J33+'29'!J33+'30'!J33+'31'!J36+'32'!J33+'33'!J37+'34'!J33+'35'!J33+'36'!J33+'37'!J33</f>
        <v>27669338</v>
      </c>
      <c r="I111" s="615">
        <f>'1'!K33+'3'!K56+'4'!K36+'5'!K33+'6'!K33+'7'!K33+'8'!K33+'9'!K33+'10'!K33+'11'!K34+'12'!K33+'13'!K33+'14'!K33+'15'!K37+'16'!K50+'17'!K39+'18'!K39+'19'!K39+'20'!K52+'21'!K33+'22'!K33+'23'!K34+'24'!K33+'25'!K33+'26'!K33+'27'!K33+'28'!K33+'29'!K33+'30'!K33+'31'!K36+'32'!K33+'33'!K37+'34'!K33+'35'!K33+'36'!K33+'37'!K33</f>
        <v>38977250</v>
      </c>
      <c r="J111" s="615">
        <f>'1'!L33+'3'!L56+'4'!L36+'5'!L33+'6'!L33+'7'!L33+'8'!L33+'9'!L33+'10'!L33+'11'!L34+'12'!L33+'13'!L33+'14'!L33+'15'!L37+'16'!L50+'17'!L39+'18'!L39+'19'!L39+'20'!L52+'21'!L33+'22'!L33+'23'!L34+'24'!L33+'25'!L33+'26'!L33+'27'!L33+'28'!L33+'29'!L33+'30'!L33+'31'!L36+'32'!L33+'33'!L37+'34'!L33+'35'!L33+'36'!L33+'37'!L33</f>
        <v>2243090</v>
      </c>
      <c r="K111" s="1064">
        <f>'1'!M33+'3'!M56+'4'!M36+'5'!M33+'6'!M33+'7'!M33+'8'!M33+'9'!M33+'10'!M33+'11'!M34+'12'!M33+'13'!M33+'14'!M33+'15'!M37+'16'!M50+'17'!M39+'18'!M39+'19'!M39+'20'!M52+'21'!M33+'22'!M33+'23'!M34+'24'!M33+'25'!M33+'26'!M33+'27'!M33+'28'!M33+'29'!M33+'30'!M33+'31'!M36+'32'!M33+'33'!M37+'34'!M33+'35'!M33+'36'!M33+'37'!M33</f>
        <v>41220340</v>
      </c>
      <c r="L111" s="318">
        <f t="shared" si="18"/>
        <v>97.924106829995694</v>
      </c>
    </row>
    <row r="112" spans="3:12" ht="15" customHeight="1" thickBot="1">
      <c r="C112" s="29"/>
      <c r="D112" s="660"/>
      <c r="E112" s="17"/>
      <c r="F112" s="27"/>
      <c r="G112" s="27"/>
      <c r="H112" s="27"/>
      <c r="I112" s="17"/>
      <c r="J112" s="17"/>
      <c r="K112" s="1071"/>
      <c r="L112" s="101"/>
    </row>
    <row r="113" spans="3:12" ht="15" customHeight="1" thickBot="1">
      <c r="C113" s="54"/>
      <c r="D113" s="634"/>
      <c r="E113" s="55"/>
      <c r="F113" s="55"/>
      <c r="G113" s="55"/>
      <c r="H113" s="55"/>
      <c r="I113" s="55"/>
      <c r="J113" s="55"/>
      <c r="K113" s="55"/>
      <c r="L113" s="99"/>
    </row>
    <row r="114" spans="3:12" ht="7.5" customHeight="1"/>
    <row r="115" spans="3:12" ht="8.25" customHeight="1">
      <c r="C115" s="33"/>
      <c r="D115" s="619"/>
    </row>
    <row r="116" spans="3:12" ht="12" customHeight="1">
      <c r="C116" s="76" t="s">
        <v>222</v>
      </c>
      <c r="D116" s="621"/>
    </row>
    <row r="117" spans="3:12" ht="6.75" customHeight="1">
      <c r="C117" s="77"/>
      <c r="D117" s="77"/>
    </row>
    <row r="118" spans="3:12" ht="12" customHeight="1">
      <c r="C118" s="1247" t="s">
        <v>223</v>
      </c>
      <c r="D118" s="1247"/>
      <c r="E118" s="1247"/>
      <c r="F118" s="34"/>
      <c r="G118" s="34"/>
      <c r="H118" s="34"/>
      <c r="I118" s="1046"/>
      <c r="J118" s="1046"/>
      <c r="K118" s="34"/>
      <c r="L118" s="100"/>
    </row>
    <row r="119" spans="3:12" ht="18" customHeight="1">
      <c r="C119" s="1248" t="str">
        <f>CONCATENATE("     Rashodi i izdaci u Proračunu u iznosu od ",TEXT(K111,"#.##0")," KM raspoređuju se po korisnicima proračuna u Posebnom dijelu Proračuna kako slijedi:")</f>
        <v xml:space="preserve">     Rashodi i izdaci u Proračunu u iznosu od 41.220.340 KM raspoređuju se po korisnicima proračuna u Posebnom dijelu Proračuna kako slijedi:</v>
      </c>
      <c r="D119" s="1248"/>
      <c r="E119" s="1248"/>
      <c r="F119" s="1248"/>
      <c r="G119" s="1248"/>
      <c r="H119" s="1248"/>
      <c r="I119" s="1248"/>
      <c r="J119" s="1248"/>
      <c r="K119" s="1248"/>
      <c r="L119" s="1248"/>
    </row>
  </sheetData>
  <mergeCells count="12">
    <mergeCell ref="K3:L3"/>
    <mergeCell ref="C3:E3"/>
    <mergeCell ref="C118:E118"/>
    <mergeCell ref="C119:L119"/>
    <mergeCell ref="I4:K4"/>
    <mergeCell ref="C4:C5"/>
    <mergeCell ref="D4:D5"/>
    <mergeCell ref="E4:E5"/>
    <mergeCell ref="F4:F5"/>
    <mergeCell ref="G4:G5"/>
    <mergeCell ref="H4:H5"/>
    <mergeCell ref="L4:L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87" firstPageNumber="7" orientation="landscape" r:id="rId1"/>
  <headerFooter alignWithMargins="0">
    <oddFooter>&amp;R&amp;P</oddFooter>
  </headerFooter>
  <rowBreaks count="2" manualBreakCount="2">
    <brk id="40" min="2" max="11" man="1"/>
    <brk id="119" min="2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6"/>
  <sheetViews>
    <sheetView zoomScaleNormal="100" workbookViewId="0">
      <selection activeCell="Q14" sqref="Q14"/>
    </sheetView>
  </sheetViews>
  <sheetFormatPr defaultRowHeight="12.75"/>
  <cols>
    <col min="1" max="1" width="9.140625" style="611"/>
    <col min="2" max="2" width="4.7109375" style="9" customWidth="1"/>
    <col min="3" max="3" width="5.140625" style="9" customWidth="1"/>
    <col min="4" max="4" width="5" style="9" customWidth="1"/>
    <col min="5" max="5" width="8.7109375" style="18" customWidth="1"/>
    <col min="6" max="6" width="8.7109375" style="616" customWidth="1"/>
    <col min="7" max="7" width="50.7109375" style="9" customWidth="1"/>
    <col min="8" max="10" width="14.7109375" style="9" customWidth="1"/>
    <col min="11" max="12" width="14.7109375" style="611" customWidth="1"/>
    <col min="13" max="13" width="15.7109375" style="9" customWidth="1"/>
    <col min="14" max="14" width="7.7109375" style="680" customWidth="1"/>
    <col min="15" max="15" width="9.140625" style="9"/>
    <col min="16" max="16" width="9.5703125" style="9" bestFit="1" customWidth="1"/>
    <col min="17" max="16384" width="9.140625" style="9"/>
  </cols>
  <sheetData>
    <row r="1" spans="1:18" ht="13.5" thickBot="1"/>
    <row r="2" spans="1:18" s="126" customFormat="1" ht="20.100000000000001" customHeight="1" thickTop="1" thickBot="1">
      <c r="A2" s="1052"/>
      <c r="B2" s="1261" t="s">
        <v>116</v>
      </c>
      <c r="C2" s="1262"/>
      <c r="D2" s="1262"/>
      <c r="E2" s="1262"/>
      <c r="F2" s="1262"/>
      <c r="G2" s="1262"/>
      <c r="H2" s="1262"/>
      <c r="I2" s="1262"/>
      <c r="J2" s="1262"/>
      <c r="K2" s="1262"/>
      <c r="L2" s="1262"/>
      <c r="M2" s="1262"/>
      <c r="N2" s="1263"/>
    </row>
    <row r="3" spans="1:18" s="1" customFormat="1" ht="8.1" customHeight="1" thickTop="1" thickBot="1">
      <c r="A3" s="608"/>
      <c r="E3" s="2"/>
      <c r="F3" s="609"/>
      <c r="G3" s="1264"/>
      <c r="H3" s="1264"/>
      <c r="I3" s="306"/>
      <c r="J3" s="306"/>
      <c r="K3" s="119"/>
      <c r="L3" s="119"/>
      <c r="M3" s="119"/>
      <c r="N3" s="674"/>
    </row>
    <row r="4" spans="1:18" s="1" customFormat="1" ht="39" customHeight="1">
      <c r="A4" s="608"/>
      <c r="B4" s="1268" t="s">
        <v>78</v>
      </c>
      <c r="C4" s="1270" t="s">
        <v>79</v>
      </c>
      <c r="D4" s="1272" t="s">
        <v>110</v>
      </c>
      <c r="E4" s="1274" t="s">
        <v>615</v>
      </c>
      <c r="F4" s="1273" t="s">
        <v>695</v>
      </c>
      <c r="G4" s="1274" t="s">
        <v>80</v>
      </c>
      <c r="H4" s="1276" t="s">
        <v>614</v>
      </c>
      <c r="I4" s="1277" t="s">
        <v>747</v>
      </c>
      <c r="J4" s="1276" t="s">
        <v>667</v>
      </c>
      <c r="K4" s="1265" t="s">
        <v>682</v>
      </c>
      <c r="L4" s="1266"/>
      <c r="M4" s="1267"/>
      <c r="N4" s="1278" t="s">
        <v>756</v>
      </c>
    </row>
    <row r="5" spans="1:18" s="608" customFormat="1" ht="27" customHeight="1">
      <c r="B5" s="1269"/>
      <c r="C5" s="1271"/>
      <c r="D5" s="1271"/>
      <c r="E5" s="1275"/>
      <c r="F5" s="1271"/>
      <c r="G5" s="1275"/>
      <c r="H5" s="1275"/>
      <c r="I5" s="1275"/>
      <c r="J5" s="1275"/>
      <c r="K5" s="1047" t="s">
        <v>753</v>
      </c>
      <c r="L5" s="1047" t="s">
        <v>754</v>
      </c>
      <c r="M5" s="1059" t="s">
        <v>426</v>
      </c>
      <c r="N5" s="1279"/>
    </row>
    <row r="6" spans="1:18" s="2" customFormat="1" ht="12.75" customHeight="1">
      <c r="A6" s="609"/>
      <c r="B6" s="1181">
        <v>1</v>
      </c>
      <c r="C6" s="661">
        <v>2</v>
      </c>
      <c r="D6" s="661">
        <v>3</v>
      </c>
      <c r="E6" s="661">
        <v>4</v>
      </c>
      <c r="F6" s="661">
        <v>5</v>
      </c>
      <c r="G6" s="661">
        <v>6</v>
      </c>
      <c r="H6" s="661">
        <v>7</v>
      </c>
      <c r="I6" s="661">
        <v>8</v>
      </c>
      <c r="J6" s="661">
        <v>9</v>
      </c>
      <c r="K6" s="661">
        <v>10</v>
      </c>
      <c r="L6" s="661">
        <v>11</v>
      </c>
      <c r="M6" s="1201" t="s">
        <v>755</v>
      </c>
      <c r="N6" s="1183">
        <v>13</v>
      </c>
    </row>
    <row r="7" spans="1:18" s="2" customFormat="1" ht="12.95" customHeight="1">
      <c r="A7" s="609"/>
      <c r="B7" s="6">
        <v>10</v>
      </c>
      <c r="C7" s="7" t="s">
        <v>81</v>
      </c>
      <c r="D7" s="7" t="s">
        <v>82</v>
      </c>
      <c r="E7" s="5"/>
      <c r="F7" s="610"/>
      <c r="G7" s="5"/>
      <c r="H7" s="5"/>
      <c r="I7" s="5"/>
      <c r="J7" s="5"/>
      <c r="K7" s="610"/>
      <c r="L7" s="610"/>
      <c r="M7" s="1060"/>
      <c r="N7" s="675"/>
    </row>
    <row r="8" spans="1:18" s="1" customFormat="1" ht="12.95" customHeight="1">
      <c r="A8" s="608"/>
      <c r="B8" s="12"/>
      <c r="C8" s="8"/>
      <c r="D8" s="8"/>
      <c r="E8" s="635">
        <v>611000</v>
      </c>
      <c r="F8" s="661"/>
      <c r="G8" s="8" t="s">
        <v>163</v>
      </c>
      <c r="H8" s="256">
        <f>SUM(H9:H11)</f>
        <v>449460</v>
      </c>
      <c r="I8" s="692">
        <v>440230</v>
      </c>
      <c r="J8" s="328">
        <v>330443</v>
      </c>
      <c r="K8" s="256">
        <f>SUM(K9:K11)</f>
        <v>552600</v>
      </c>
      <c r="L8" s="256">
        <f>SUM(L9:L11)</f>
        <v>0</v>
      </c>
      <c r="M8" s="1061">
        <f>SUM(M9:M11)</f>
        <v>552600</v>
      </c>
      <c r="N8" s="676">
        <f>IF(I8=0,"",M8/I8*100)</f>
        <v>125.52529359652908</v>
      </c>
      <c r="P8" s="63"/>
    </row>
    <row r="9" spans="1:18" ht="12.95" customHeight="1">
      <c r="B9" s="10"/>
      <c r="C9" s="11"/>
      <c r="D9" s="11"/>
      <c r="E9" s="636">
        <v>611100</v>
      </c>
      <c r="F9" s="662"/>
      <c r="G9" s="20" t="s">
        <v>204</v>
      </c>
      <c r="H9" s="255">
        <f>357700+2000+10730</f>
        <v>370430</v>
      </c>
      <c r="I9" s="691">
        <v>360000</v>
      </c>
      <c r="J9" s="327">
        <v>272449</v>
      </c>
      <c r="K9" s="255">
        <f>356700+2500+2*500+111100</f>
        <v>471300</v>
      </c>
      <c r="L9" s="255">
        <v>0</v>
      </c>
      <c r="M9" s="1062">
        <f>SUM(K9:L9)</f>
        <v>471300</v>
      </c>
      <c r="N9" s="677">
        <f>IF(I9=0,"",M9/I9*100)</f>
        <v>130.91666666666666</v>
      </c>
      <c r="O9" s="56"/>
      <c r="P9" s="63"/>
      <c r="Q9" s="64"/>
      <c r="R9" s="64"/>
    </row>
    <row r="10" spans="1:18" ht="12.95" customHeight="1">
      <c r="B10" s="10"/>
      <c r="C10" s="11"/>
      <c r="D10" s="11"/>
      <c r="E10" s="636">
        <v>611200</v>
      </c>
      <c r="F10" s="662"/>
      <c r="G10" s="20" t="s">
        <v>205</v>
      </c>
      <c r="H10" s="255">
        <f>77030+2000</f>
        <v>79030</v>
      </c>
      <c r="I10" s="691">
        <v>80230</v>
      </c>
      <c r="J10" s="327">
        <v>57994</v>
      </c>
      <c r="K10" s="255">
        <f>73700+1500+2*900+4300</f>
        <v>81300</v>
      </c>
      <c r="L10" s="255">
        <v>0</v>
      </c>
      <c r="M10" s="1062">
        <f t="shared" ref="M10:M11" si="0">SUM(K10:L10)</f>
        <v>81300</v>
      </c>
      <c r="N10" s="677">
        <f t="shared" ref="N10:N35" si="1">IF(I10=0,"",M10/I10*100)</f>
        <v>101.33366571108064</v>
      </c>
      <c r="P10" s="63"/>
    </row>
    <row r="11" spans="1:18" ht="12.95" customHeight="1">
      <c r="B11" s="10"/>
      <c r="C11" s="11"/>
      <c r="D11" s="11"/>
      <c r="E11" s="636">
        <v>611200</v>
      </c>
      <c r="F11" s="662"/>
      <c r="G11" s="229" t="s">
        <v>547</v>
      </c>
      <c r="H11" s="255">
        <v>0</v>
      </c>
      <c r="I11" s="691">
        <v>0</v>
      </c>
      <c r="J11" s="327">
        <v>0</v>
      </c>
      <c r="K11" s="255">
        <v>0</v>
      </c>
      <c r="L11" s="255">
        <v>0</v>
      </c>
      <c r="M11" s="1062">
        <f t="shared" si="0"/>
        <v>0</v>
      </c>
      <c r="N11" s="677" t="str">
        <f t="shared" si="1"/>
        <v/>
      </c>
      <c r="P11" s="63"/>
    </row>
    <row r="12" spans="1:18" ht="8.1" customHeight="1">
      <c r="B12" s="10"/>
      <c r="C12" s="11"/>
      <c r="D12" s="11"/>
      <c r="E12" s="636"/>
      <c r="F12" s="662"/>
      <c r="G12" s="229"/>
      <c r="H12" s="255"/>
      <c r="I12" s="691"/>
      <c r="J12" s="327"/>
      <c r="K12" s="255"/>
      <c r="L12" s="255"/>
      <c r="M12" s="1062"/>
      <c r="N12" s="677" t="str">
        <f t="shared" si="1"/>
        <v/>
      </c>
      <c r="P12" s="63"/>
    </row>
    <row r="13" spans="1:18" ht="12.95" customHeight="1">
      <c r="B13" s="12"/>
      <c r="C13" s="8"/>
      <c r="D13" s="8"/>
      <c r="E13" s="635">
        <v>612000</v>
      </c>
      <c r="F13" s="661"/>
      <c r="G13" s="8" t="s">
        <v>162</v>
      </c>
      <c r="H13" s="256">
        <f>H14+H15</f>
        <v>39650</v>
      </c>
      <c r="I13" s="692">
        <v>38250</v>
      </c>
      <c r="J13" s="328">
        <v>28968</v>
      </c>
      <c r="K13" s="256">
        <f>K14+K15</f>
        <v>51900</v>
      </c>
      <c r="L13" s="256">
        <f>L14+L15</f>
        <v>0</v>
      </c>
      <c r="M13" s="1061">
        <f>M14+M15</f>
        <v>51900</v>
      </c>
      <c r="N13" s="676">
        <f t="shared" si="1"/>
        <v>135.68627450980392</v>
      </c>
      <c r="P13" s="63"/>
    </row>
    <row r="14" spans="1:18" s="1" customFormat="1" ht="12.95" customHeight="1">
      <c r="A14" s="608"/>
      <c r="B14" s="10"/>
      <c r="C14" s="11"/>
      <c r="D14" s="11"/>
      <c r="E14" s="636">
        <v>612100</v>
      </c>
      <c r="F14" s="662"/>
      <c r="G14" s="13" t="s">
        <v>83</v>
      </c>
      <c r="H14" s="255">
        <f>38200+300+1150</f>
        <v>39650</v>
      </c>
      <c r="I14" s="691">
        <v>38250</v>
      </c>
      <c r="J14" s="327">
        <v>28968</v>
      </c>
      <c r="K14" s="255">
        <f>37900+300+2*70+13560</f>
        <v>51900</v>
      </c>
      <c r="L14" s="255">
        <v>0</v>
      </c>
      <c r="M14" s="1062">
        <f>SUM(K14:L14)</f>
        <v>51900</v>
      </c>
      <c r="N14" s="677">
        <f t="shared" si="1"/>
        <v>135.68627450980392</v>
      </c>
      <c r="P14" s="63"/>
    </row>
    <row r="15" spans="1:18" ht="8.1" customHeight="1">
      <c r="B15" s="10"/>
      <c r="C15" s="11"/>
      <c r="D15" s="11"/>
      <c r="E15" s="636"/>
      <c r="F15" s="662"/>
      <c r="G15" s="11"/>
      <c r="H15" s="30"/>
      <c r="I15" s="688"/>
      <c r="J15" s="323"/>
      <c r="K15" s="593"/>
      <c r="L15" s="593"/>
      <c r="M15" s="1063"/>
      <c r="N15" s="677" t="str">
        <f t="shared" si="1"/>
        <v/>
      </c>
      <c r="P15" s="63"/>
    </row>
    <row r="16" spans="1:18" ht="12.95" customHeight="1">
      <c r="B16" s="12"/>
      <c r="C16" s="8"/>
      <c r="D16" s="8"/>
      <c r="E16" s="635">
        <v>613000</v>
      </c>
      <c r="F16" s="661"/>
      <c r="G16" s="8" t="s">
        <v>164</v>
      </c>
      <c r="H16" s="35">
        <f>SUM(H17:H26)</f>
        <v>278400</v>
      </c>
      <c r="I16" s="689">
        <v>278400</v>
      </c>
      <c r="J16" s="324">
        <v>206784</v>
      </c>
      <c r="K16" s="620">
        <f>SUM(K17:K26)</f>
        <v>276720</v>
      </c>
      <c r="L16" s="620">
        <f>SUM(L17:L26)</f>
        <v>0</v>
      </c>
      <c r="M16" s="1064">
        <f>SUM(M17:M26)</f>
        <v>276720</v>
      </c>
      <c r="N16" s="676">
        <f t="shared" si="1"/>
        <v>99.396551724137922</v>
      </c>
      <c r="P16" s="63"/>
    </row>
    <row r="17" spans="1:17" s="1" customFormat="1" ht="12.95" customHeight="1">
      <c r="A17" s="608"/>
      <c r="B17" s="10"/>
      <c r="C17" s="11"/>
      <c r="D17" s="11"/>
      <c r="E17" s="636">
        <v>613100</v>
      </c>
      <c r="F17" s="662"/>
      <c r="G17" s="11" t="s">
        <v>84</v>
      </c>
      <c r="H17" s="30">
        <v>6500</v>
      </c>
      <c r="I17" s="688">
        <v>6500</v>
      </c>
      <c r="J17" s="323">
        <v>4158</v>
      </c>
      <c r="K17" s="962">
        <v>6500</v>
      </c>
      <c r="L17" s="962">
        <v>0</v>
      </c>
      <c r="M17" s="1062">
        <f t="shared" ref="M17:M26" si="2">SUM(K17:L17)</f>
        <v>6500</v>
      </c>
      <c r="N17" s="677">
        <f t="shared" si="1"/>
        <v>100</v>
      </c>
      <c r="P17" s="63"/>
    </row>
    <row r="18" spans="1:17" ht="12.95" customHeight="1">
      <c r="B18" s="10"/>
      <c r="C18" s="11"/>
      <c r="D18" s="11"/>
      <c r="E18" s="636">
        <v>613200</v>
      </c>
      <c r="F18" s="662"/>
      <c r="G18" s="11" t="s">
        <v>85</v>
      </c>
      <c r="H18" s="30">
        <v>13600</v>
      </c>
      <c r="I18" s="688">
        <v>11800</v>
      </c>
      <c r="J18" s="323">
        <v>3989</v>
      </c>
      <c r="K18" s="962">
        <v>12800</v>
      </c>
      <c r="L18" s="962">
        <v>0</v>
      </c>
      <c r="M18" s="1062">
        <f t="shared" si="2"/>
        <v>12800</v>
      </c>
      <c r="N18" s="677">
        <f t="shared" si="1"/>
        <v>108.47457627118644</v>
      </c>
      <c r="P18" s="63"/>
    </row>
    <row r="19" spans="1:17" ht="12.95" customHeight="1">
      <c r="B19" s="10"/>
      <c r="C19" s="11"/>
      <c r="D19" s="11"/>
      <c r="E19" s="636">
        <v>613300</v>
      </c>
      <c r="F19" s="662"/>
      <c r="G19" s="20" t="s">
        <v>206</v>
      </c>
      <c r="H19" s="30">
        <v>7300</v>
      </c>
      <c r="I19" s="688">
        <v>8600</v>
      </c>
      <c r="J19" s="323">
        <v>6052</v>
      </c>
      <c r="K19" s="962">
        <v>8600</v>
      </c>
      <c r="L19" s="962">
        <v>0</v>
      </c>
      <c r="M19" s="1062">
        <f t="shared" si="2"/>
        <v>8600</v>
      </c>
      <c r="N19" s="677">
        <f t="shared" si="1"/>
        <v>100</v>
      </c>
      <c r="P19" s="63"/>
    </row>
    <row r="20" spans="1:17" ht="12.95" customHeight="1">
      <c r="B20" s="10"/>
      <c r="C20" s="11"/>
      <c r="D20" s="11"/>
      <c r="E20" s="636">
        <v>613400</v>
      </c>
      <c r="F20" s="662"/>
      <c r="G20" s="20" t="s">
        <v>165</v>
      </c>
      <c r="H20" s="57">
        <v>5500</v>
      </c>
      <c r="I20" s="690">
        <v>5500</v>
      </c>
      <c r="J20" s="325">
        <v>2952</v>
      </c>
      <c r="K20" s="982">
        <v>5500</v>
      </c>
      <c r="L20" s="982">
        <v>0</v>
      </c>
      <c r="M20" s="1062">
        <f t="shared" si="2"/>
        <v>5500</v>
      </c>
      <c r="N20" s="677">
        <f t="shared" si="1"/>
        <v>100</v>
      </c>
      <c r="P20" s="63"/>
    </row>
    <row r="21" spans="1:17" ht="12.95" customHeight="1">
      <c r="B21" s="10"/>
      <c r="C21" s="11"/>
      <c r="D21" s="11"/>
      <c r="E21" s="636">
        <v>613500</v>
      </c>
      <c r="F21" s="662"/>
      <c r="G21" s="11" t="s">
        <v>86</v>
      </c>
      <c r="H21" s="57">
        <v>10000</v>
      </c>
      <c r="I21" s="690">
        <v>12680</v>
      </c>
      <c r="J21" s="325">
        <v>9227</v>
      </c>
      <c r="K21" s="982">
        <v>10000</v>
      </c>
      <c r="L21" s="982">
        <v>0</v>
      </c>
      <c r="M21" s="1062">
        <f t="shared" si="2"/>
        <v>10000</v>
      </c>
      <c r="N21" s="677">
        <f t="shared" si="1"/>
        <v>78.864353312302839</v>
      </c>
      <c r="P21" s="63"/>
    </row>
    <row r="22" spans="1:17" ht="12.95" customHeight="1">
      <c r="B22" s="10"/>
      <c r="C22" s="11"/>
      <c r="D22" s="11"/>
      <c r="E22" s="636">
        <v>613600</v>
      </c>
      <c r="F22" s="662"/>
      <c r="G22" s="20" t="s">
        <v>207</v>
      </c>
      <c r="H22" s="30">
        <v>0</v>
      </c>
      <c r="I22" s="688">
        <v>0</v>
      </c>
      <c r="J22" s="323">
        <v>0</v>
      </c>
      <c r="K22" s="962">
        <v>0</v>
      </c>
      <c r="L22" s="962">
        <v>0</v>
      </c>
      <c r="M22" s="1062">
        <f t="shared" si="2"/>
        <v>0</v>
      </c>
      <c r="N22" s="677" t="str">
        <f t="shared" si="1"/>
        <v/>
      </c>
      <c r="P22" s="63"/>
    </row>
    <row r="23" spans="1:17" ht="12.95" customHeight="1">
      <c r="B23" s="10"/>
      <c r="C23" s="11"/>
      <c r="D23" s="11"/>
      <c r="E23" s="636">
        <v>613700</v>
      </c>
      <c r="F23" s="662"/>
      <c r="G23" s="11" t="s">
        <v>87</v>
      </c>
      <c r="H23" s="30">
        <v>8000</v>
      </c>
      <c r="I23" s="688">
        <v>6000</v>
      </c>
      <c r="J23" s="323">
        <v>3842</v>
      </c>
      <c r="K23" s="962">
        <v>6000</v>
      </c>
      <c r="L23" s="962">
        <v>0</v>
      </c>
      <c r="M23" s="1062">
        <f t="shared" si="2"/>
        <v>6000</v>
      </c>
      <c r="N23" s="677">
        <f t="shared" si="1"/>
        <v>100</v>
      </c>
      <c r="P23" s="63"/>
    </row>
    <row r="24" spans="1:17" ht="12.95" customHeight="1">
      <c r="B24" s="10"/>
      <c r="C24" s="11"/>
      <c r="D24" s="11"/>
      <c r="E24" s="636">
        <v>613800</v>
      </c>
      <c r="F24" s="662"/>
      <c r="G24" s="20" t="s">
        <v>166</v>
      </c>
      <c r="H24" s="30">
        <v>2500</v>
      </c>
      <c r="I24" s="688">
        <v>2320</v>
      </c>
      <c r="J24" s="323">
        <v>2315</v>
      </c>
      <c r="K24" s="962">
        <v>2320</v>
      </c>
      <c r="L24" s="962">
        <v>0</v>
      </c>
      <c r="M24" s="1062">
        <f t="shared" si="2"/>
        <v>2320</v>
      </c>
      <c r="N24" s="677">
        <f t="shared" si="1"/>
        <v>100</v>
      </c>
      <c r="P24" s="63"/>
    </row>
    <row r="25" spans="1:17" ht="12.95" customHeight="1">
      <c r="B25" s="10"/>
      <c r="C25" s="11"/>
      <c r="D25" s="11"/>
      <c r="E25" s="636">
        <v>613900</v>
      </c>
      <c r="F25" s="662"/>
      <c r="G25" s="20" t="s">
        <v>167</v>
      </c>
      <c r="H25" s="57">
        <v>225000</v>
      </c>
      <c r="I25" s="690">
        <v>225000</v>
      </c>
      <c r="J25" s="325">
        <v>174249</v>
      </c>
      <c r="K25" s="982">
        <v>225000</v>
      </c>
      <c r="L25" s="982">
        <v>0</v>
      </c>
      <c r="M25" s="1062">
        <f t="shared" si="2"/>
        <v>225000</v>
      </c>
      <c r="N25" s="677">
        <f t="shared" si="1"/>
        <v>100</v>
      </c>
      <c r="O25" s="78"/>
      <c r="P25" s="63"/>
    </row>
    <row r="26" spans="1:17" ht="12.95" customHeight="1">
      <c r="B26" s="10"/>
      <c r="C26" s="11"/>
      <c r="D26" s="11"/>
      <c r="E26" s="636">
        <v>613900</v>
      </c>
      <c r="F26" s="662"/>
      <c r="G26" s="229" t="s">
        <v>548</v>
      </c>
      <c r="H26" s="30">
        <v>0</v>
      </c>
      <c r="I26" s="688">
        <v>0</v>
      </c>
      <c r="J26" s="323">
        <v>0</v>
      </c>
      <c r="K26" s="962">
        <v>0</v>
      </c>
      <c r="L26" s="962">
        <v>0</v>
      </c>
      <c r="M26" s="1062">
        <f t="shared" si="2"/>
        <v>0</v>
      </c>
      <c r="N26" s="677" t="str">
        <f t="shared" si="1"/>
        <v/>
      </c>
      <c r="P26" s="63"/>
      <c r="Q26" s="56"/>
    </row>
    <row r="27" spans="1:17" ht="8.1" customHeight="1">
      <c r="B27" s="10"/>
      <c r="C27" s="11"/>
      <c r="D27" s="11"/>
      <c r="E27" s="636"/>
      <c r="F27" s="662"/>
      <c r="G27" s="11"/>
      <c r="H27" s="30"/>
      <c r="I27" s="688"/>
      <c r="J27" s="323"/>
      <c r="K27" s="593"/>
      <c r="L27" s="593"/>
      <c r="M27" s="1063"/>
      <c r="N27" s="677" t="str">
        <f t="shared" si="1"/>
        <v/>
      </c>
      <c r="P27" s="63"/>
    </row>
    <row r="28" spans="1:17" ht="12.95" customHeight="1">
      <c r="B28" s="12"/>
      <c r="C28" s="8"/>
      <c r="D28" s="8"/>
      <c r="E28" s="635">
        <v>821000</v>
      </c>
      <c r="F28" s="661"/>
      <c r="G28" s="8" t="s">
        <v>90</v>
      </c>
      <c r="H28" s="15">
        <f>SUM(H29:H30)</f>
        <v>10000</v>
      </c>
      <c r="I28" s="687">
        <v>10000</v>
      </c>
      <c r="J28" s="322">
        <v>2490</v>
      </c>
      <c r="K28" s="615">
        <f>SUM(K29:K30)</f>
        <v>10000</v>
      </c>
      <c r="L28" s="615">
        <f>SUM(L29:L30)</f>
        <v>0</v>
      </c>
      <c r="M28" s="1064">
        <f>SUM(M29:M30)</f>
        <v>10000</v>
      </c>
      <c r="N28" s="676">
        <f t="shared" si="1"/>
        <v>100</v>
      </c>
      <c r="P28" s="63"/>
    </row>
    <row r="29" spans="1:17" s="1" customFormat="1" ht="12.95" customHeight="1">
      <c r="A29" s="608"/>
      <c r="B29" s="10"/>
      <c r="C29" s="11"/>
      <c r="D29" s="11"/>
      <c r="E29" s="636">
        <v>821200</v>
      </c>
      <c r="F29" s="662"/>
      <c r="G29" s="11" t="s">
        <v>91</v>
      </c>
      <c r="H29" s="57">
        <v>5000</v>
      </c>
      <c r="I29" s="690">
        <v>5000</v>
      </c>
      <c r="J29" s="325">
        <v>0</v>
      </c>
      <c r="K29" s="595">
        <v>5000</v>
      </c>
      <c r="L29" s="595">
        <v>0</v>
      </c>
      <c r="M29" s="1062">
        <f t="shared" ref="M29:M30" si="3">SUM(K29:L29)</f>
        <v>5000</v>
      </c>
      <c r="N29" s="677">
        <f t="shared" si="1"/>
        <v>100</v>
      </c>
      <c r="P29" s="63"/>
    </row>
    <row r="30" spans="1:17" ht="12.95" customHeight="1">
      <c r="B30" s="10"/>
      <c r="C30" s="11"/>
      <c r="D30" s="11"/>
      <c r="E30" s="636">
        <v>821300</v>
      </c>
      <c r="F30" s="662"/>
      <c r="G30" s="11" t="s">
        <v>92</v>
      </c>
      <c r="H30" s="57">
        <v>5000</v>
      </c>
      <c r="I30" s="690">
        <v>5000</v>
      </c>
      <c r="J30" s="325">
        <v>2490</v>
      </c>
      <c r="K30" s="595">
        <v>5000</v>
      </c>
      <c r="L30" s="595">
        <v>0</v>
      </c>
      <c r="M30" s="1062">
        <f t="shared" si="3"/>
        <v>5000</v>
      </c>
      <c r="N30" s="677">
        <f t="shared" si="1"/>
        <v>100</v>
      </c>
      <c r="O30" s="56"/>
      <c r="P30" s="63"/>
    </row>
    <row r="31" spans="1:17" ht="8.1" customHeight="1">
      <c r="B31" s="10"/>
      <c r="C31" s="11"/>
      <c r="D31" s="11"/>
      <c r="E31" s="636"/>
      <c r="F31" s="662"/>
      <c r="G31" s="11"/>
      <c r="H31" s="30"/>
      <c r="I31" s="30"/>
      <c r="J31" s="323"/>
      <c r="K31" s="593"/>
      <c r="L31" s="593"/>
      <c r="M31" s="1063"/>
      <c r="N31" s="677" t="str">
        <f t="shared" si="1"/>
        <v/>
      </c>
      <c r="P31" s="63"/>
    </row>
    <row r="32" spans="1:17" ht="12.95" customHeight="1">
      <c r="B32" s="12"/>
      <c r="C32" s="8"/>
      <c r="D32" s="8"/>
      <c r="E32" s="635"/>
      <c r="F32" s="661"/>
      <c r="G32" s="8" t="s">
        <v>93</v>
      </c>
      <c r="H32" s="92">
        <v>17</v>
      </c>
      <c r="I32" s="92">
        <v>16</v>
      </c>
      <c r="J32" s="326">
        <v>17</v>
      </c>
      <c r="K32" s="624">
        <v>23</v>
      </c>
      <c r="L32" s="624"/>
      <c r="M32" s="1066">
        <v>23</v>
      </c>
      <c r="N32" s="677"/>
      <c r="P32" s="63"/>
    </row>
    <row r="33" spans="1:16" s="1" customFormat="1" ht="12.95" customHeight="1">
      <c r="A33" s="608"/>
      <c r="B33" s="12"/>
      <c r="C33" s="8"/>
      <c r="D33" s="8"/>
      <c r="E33" s="635"/>
      <c r="F33" s="661"/>
      <c r="G33" s="8" t="s">
        <v>113</v>
      </c>
      <c r="H33" s="15">
        <f t="shared" ref="H33:M33" si="4">H8+H13+H16+H28</f>
        <v>777510</v>
      </c>
      <c r="I33" s="15">
        <f t="shared" si="4"/>
        <v>766880</v>
      </c>
      <c r="J33" s="15">
        <f t="shared" si="4"/>
        <v>568685</v>
      </c>
      <c r="K33" s="615">
        <f t="shared" si="4"/>
        <v>891220</v>
      </c>
      <c r="L33" s="615">
        <f t="shared" si="4"/>
        <v>0</v>
      </c>
      <c r="M33" s="1064">
        <f t="shared" si="4"/>
        <v>891220</v>
      </c>
      <c r="N33" s="676">
        <f t="shared" si="1"/>
        <v>116.21374921760901</v>
      </c>
      <c r="P33" s="63"/>
    </row>
    <row r="34" spans="1:16" s="1" customFormat="1" ht="12.95" customHeight="1">
      <c r="A34" s="608"/>
      <c r="B34" s="12"/>
      <c r="C34" s="8"/>
      <c r="D34" s="8"/>
      <c r="E34" s="635"/>
      <c r="F34" s="661"/>
      <c r="G34" s="8" t="s">
        <v>94</v>
      </c>
      <c r="H34" s="15">
        <f>H33</f>
        <v>777510</v>
      </c>
      <c r="I34" s="615">
        <f t="shared" ref="I34:K35" si="5">I33</f>
        <v>766880</v>
      </c>
      <c r="J34" s="615">
        <f t="shared" si="5"/>
        <v>568685</v>
      </c>
      <c r="K34" s="615">
        <f t="shared" si="5"/>
        <v>891220</v>
      </c>
      <c r="L34" s="615">
        <f>L33</f>
        <v>0</v>
      </c>
      <c r="M34" s="1064">
        <f>M33</f>
        <v>891220</v>
      </c>
      <c r="N34" s="677">
        <f>IF(I34=0,"",M34/I34*100)</f>
        <v>116.21374921760901</v>
      </c>
    </row>
    <row r="35" spans="1:16" s="1" customFormat="1" ht="12.95" customHeight="1">
      <c r="A35" s="608"/>
      <c r="B35" s="12"/>
      <c r="C35" s="8"/>
      <c r="D35" s="8"/>
      <c r="E35" s="635"/>
      <c r="F35" s="661"/>
      <c r="G35" s="8" t="s">
        <v>95</v>
      </c>
      <c r="H35" s="15">
        <f>H34</f>
        <v>777510</v>
      </c>
      <c r="I35" s="615">
        <f t="shared" si="5"/>
        <v>766880</v>
      </c>
      <c r="J35" s="615">
        <f t="shared" si="5"/>
        <v>568685</v>
      </c>
      <c r="K35" s="615">
        <f t="shared" si="5"/>
        <v>891220</v>
      </c>
      <c r="L35" s="615">
        <f>L34</f>
        <v>0</v>
      </c>
      <c r="M35" s="1064">
        <f>M34</f>
        <v>891220</v>
      </c>
      <c r="N35" s="677">
        <f t="shared" si="1"/>
        <v>116.21374921760901</v>
      </c>
    </row>
    <row r="36" spans="1:16" s="1" customFormat="1" ht="8.1" customHeight="1" thickBot="1">
      <c r="A36" s="608"/>
      <c r="B36" s="16"/>
      <c r="C36" s="17"/>
      <c r="D36" s="17"/>
      <c r="E36" s="637"/>
      <c r="F36" s="663"/>
      <c r="G36" s="17"/>
      <c r="H36" s="32"/>
      <c r="I36" s="32"/>
      <c r="J36" s="32"/>
      <c r="K36" s="32"/>
      <c r="L36" s="32"/>
      <c r="M36" s="1067"/>
      <c r="N36" s="679"/>
    </row>
    <row r="37" spans="1:16" ht="12.95" customHeight="1">
      <c r="E37" s="638"/>
      <c r="F37" s="664"/>
      <c r="M37" s="1068"/>
    </row>
    <row r="38" spans="1:16" ht="12.95" customHeight="1">
      <c r="B38" s="56"/>
      <c r="E38" s="638"/>
      <c r="F38" s="664"/>
      <c r="M38" s="1068"/>
    </row>
    <row r="39" spans="1:16" ht="12.95" customHeight="1">
      <c r="E39" s="638"/>
      <c r="F39" s="664"/>
      <c r="M39" s="1068"/>
    </row>
    <row r="40" spans="1:16" ht="12.95" customHeight="1">
      <c r="E40" s="638"/>
      <c r="F40" s="664"/>
      <c r="M40" s="1068"/>
    </row>
    <row r="41" spans="1:16" ht="12.95" customHeight="1">
      <c r="E41" s="638"/>
      <c r="F41" s="664"/>
      <c r="M41" s="1068"/>
    </row>
    <row r="42" spans="1:16" ht="12.95" customHeight="1">
      <c r="E42" s="638"/>
      <c r="F42" s="664"/>
      <c r="M42" s="1068"/>
    </row>
    <row r="43" spans="1:16" ht="12.95" customHeight="1">
      <c r="E43" s="638"/>
      <c r="F43" s="664"/>
      <c r="M43" s="1068"/>
    </row>
    <row r="44" spans="1:16" ht="12.95" customHeight="1">
      <c r="E44" s="638"/>
      <c r="F44" s="664"/>
      <c r="M44" s="1068"/>
    </row>
    <row r="45" spans="1:16" ht="12.95" customHeight="1">
      <c r="E45" s="638"/>
      <c r="F45" s="664"/>
      <c r="M45" s="1068"/>
    </row>
    <row r="46" spans="1:16" ht="12.95" customHeight="1">
      <c r="E46" s="638"/>
      <c r="F46" s="664"/>
      <c r="M46" s="1068"/>
    </row>
    <row r="47" spans="1:16" ht="12.95" customHeight="1">
      <c r="E47" s="638"/>
      <c r="F47" s="664"/>
      <c r="M47" s="1068"/>
    </row>
    <row r="48" spans="1:16" ht="12.95" customHeight="1">
      <c r="E48" s="638"/>
      <c r="F48" s="664"/>
      <c r="M48" s="1068"/>
    </row>
    <row r="49" spans="5:13" ht="12.95" customHeight="1">
      <c r="E49" s="638"/>
      <c r="F49" s="664"/>
      <c r="M49" s="1068"/>
    </row>
    <row r="50" spans="5:13" ht="12.95" customHeight="1">
      <c r="E50" s="638"/>
      <c r="F50" s="664"/>
      <c r="M50" s="1068"/>
    </row>
    <row r="51" spans="5:13" ht="12.95" customHeight="1">
      <c r="E51" s="638"/>
      <c r="F51" s="664"/>
      <c r="M51" s="1068"/>
    </row>
    <row r="52" spans="5:13" ht="12.95" customHeight="1">
      <c r="E52" s="638"/>
      <c r="F52" s="664"/>
      <c r="M52" s="1068"/>
    </row>
    <row r="53" spans="5:13" ht="12.95" customHeight="1">
      <c r="E53" s="638"/>
      <c r="F53" s="664"/>
      <c r="M53" s="1068"/>
    </row>
    <row r="54" spans="5:13" ht="12.95" customHeight="1">
      <c r="E54" s="638"/>
      <c r="F54" s="664"/>
      <c r="M54" s="1068"/>
    </row>
    <row r="55" spans="5:13" ht="12.95" customHeight="1">
      <c r="E55" s="638"/>
      <c r="F55" s="664"/>
      <c r="M55" s="1068"/>
    </row>
    <row r="56" spans="5:13" ht="12.95" customHeight="1">
      <c r="E56" s="638"/>
      <c r="F56" s="664"/>
      <c r="M56" s="1068"/>
    </row>
    <row r="57" spans="5:13" ht="12.95" customHeight="1">
      <c r="E57" s="638"/>
      <c r="F57" s="664"/>
      <c r="M57" s="1068"/>
    </row>
    <row r="58" spans="5:13" ht="12.95" customHeight="1">
      <c r="E58" s="638"/>
      <c r="F58" s="664"/>
      <c r="M58" s="1068"/>
    </row>
    <row r="59" spans="5:13" ht="12.95" customHeight="1">
      <c r="E59" s="638"/>
      <c r="F59" s="664"/>
      <c r="M59" s="1068"/>
    </row>
    <row r="60" spans="5:13" ht="17.100000000000001" customHeight="1">
      <c r="E60" s="638"/>
      <c r="F60" s="664"/>
      <c r="M60" s="1068"/>
    </row>
    <row r="61" spans="5:13" ht="14.25">
      <c r="E61" s="638"/>
      <c r="F61" s="664"/>
      <c r="M61" s="1068"/>
    </row>
    <row r="62" spans="5:13" ht="14.25">
      <c r="E62" s="638"/>
      <c r="F62" s="664"/>
      <c r="M62" s="1068"/>
    </row>
    <row r="63" spans="5:13" ht="14.25">
      <c r="E63" s="638"/>
      <c r="F63" s="664"/>
      <c r="M63" s="1068"/>
    </row>
    <row r="64" spans="5:13" ht="14.25">
      <c r="E64" s="638"/>
      <c r="F64" s="664"/>
      <c r="M64" s="1068"/>
    </row>
    <row r="65" spans="5:13" ht="14.25">
      <c r="E65" s="638"/>
      <c r="F65" s="664"/>
      <c r="M65" s="1068"/>
    </row>
    <row r="66" spans="5:13" ht="14.25">
      <c r="E66" s="638"/>
      <c r="F66" s="664"/>
      <c r="M66" s="1068"/>
    </row>
    <row r="67" spans="5:13" ht="14.25">
      <c r="E67" s="638"/>
      <c r="F67" s="664"/>
      <c r="M67" s="1068"/>
    </row>
    <row r="68" spans="5:13" ht="14.25">
      <c r="E68" s="638"/>
      <c r="F68" s="664"/>
      <c r="M68" s="1068"/>
    </row>
    <row r="69" spans="5:13" ht="14.25">
      <c r="E69" s="638"/>
      <c r="F69" s="664"/>
      <c r="M69" s="1068"/>
    </row>
    <row r="70" spans="5:13" ht="14.25">
      <c r="E70" s="638"/>
      <c r="F70" s="664"/>
      <c r="M70" s="1068"/>
    </row>
    <row r="71" spans="5:13" ht="14.25">
      <c r="E71" s="638"/>
      <c r="F71" s="664"/>
      <c r="M71" s="1068"/>
    </row>
    <row r="72" spans="5:13" ht="14.25">
      <c r="E72" s="638"/>
      <c r="F72" s="664"/>
      <c r="M72" s="1068"/>
    </row>
    <row r="73" spans="5:13" ht="14.25">
      <c r="E73" s="638"/>
      <c r="F73" s="664"/>
      <c r="M73" s="1068"/>
    </row>
    <row r="74" spans="5:13" ht="14.25">
      <c r="E74" s="638"/>
      <c r="F74" s="638"/>
      <c r="M74" s="1068"/>
    </row>
    <row r="75" spans="5:13" ht="14.25">
      <c r="E75" s="638"/>
      <c r="F75" s="638"/>
      <c r="M75" s="1068"/>
    </row>
    <row r="76" spans="5:13" ht="14.25">
      <c r="E76" s="638"/>
      <c r="F76" s="638"/>
      <c r="M76" s="1068"/>
    </row>
    <row r="77" spans="5:13" ht="14.25">
      <c r="E77" s="638"/>
      <c r="F77" s="638"/>
      <c r="M77" s="1068"/>
    </row>
    <row r="78" spans="5:13" ht="14.25">
      <c r="E78" s="638"/>
      <c r="F78" s="638"/>
      <c r="M78" s="1068"/>
    </row>
    <row r="79" spans="5:13" ht="14.25">
      <c r="E79" s="638"/>
      <c r="F79" s="638"/>
      <c r="M79" s="1068"/>
    </row>
    <row r="80" spans="5:13" ht="14.25">
      <c r="E80" s="638"/>
      <c r="F80" s="638"/>
      <c r="M80" s="1068"/>
    </row>
    <row r="81" spans="5:13" ht="14.25">
      <c r="E81" s="638"/>
      <c r="F81" s="638"/>
      <c r="M81" s="1068"/>
    </row>
    <row r="82" spans="5:13" ht="14.25">
      <c r="E82" s="638"/>
      <c r="F82" s="638"/>
      <c r="M82" s="1068"/>
    </row>
    <row r="83" spans="5:13" ht="14.25">
      <c r="E83" s="638"/>
      <c r="F83" s="638"/>
      <c r="M83" s="1068"/>
    </row>
    <row r="84" spans="5:13" ht="14.25">
      <c r="E84" s="638"/>
      <c r="F84" s="638"/>
      <c r="M84" s="1068"/>
    </row>
    <row r="85" spans="5:13" ht="14.25">
      <c r="E85" s="638"/>
      <c r="F85" s="638"/>
      <c r="M85" s="1068"/>
    </row>
    <row r="86" spans="5:13" ht="14.25">
      <c r="E86" s="638"/>
      <c r="F86" s="638"/>
      <c r="M86" s="1068"/>
    </row>
    <row r="87" spans="5:13" ht="14.25">
      <c r="E87" s="638"/>
      <c r="F87" s="638"/>
      <c r="M87" s="1068"/>
    </row>
    <row r="88" spans="5:13" ht="14.25">
      <c r="E88" s="638"/>
      <c r="F88" s="638"/>
      <c r="M88" s="1068"/>
    </row>
    <row r="89" spans="5:13" ht="14.25">
      <c r="E89" s="638"/>
      <c r="F89" s="638"/>
      <c r="M89" s="1068"/>
    </row>
    <row r="90" spans="5:13" ht="14.25">
      <c r="E90" s="638"/>
      <c r="F90" s="638"/>
      <c r="M90" s="1068"/>
    </row>
    <row r="91" spans="5:13">
      <c r="F91" s="638"/>
    </row>
    <row r="92" spans="5:13">
      <c r="F92" s="638"/>
    </row>
    <row r="93" spans="5:13">
      <c r="F93" s="638"/>
    </row>
    <row r="94" spans="5:13">
      <c r="F94" s="638"/>
    </row>
    <row r="95" spans="5:13">
      <c r="F95" s="638"/>
    </row>
    <row r="96" spans="5:13">
      <c r="F96" s="638"/>
    </row>
  </sheetData>
  <mergeCells count="13">
    <mergeCell ref="B2:N2"/>
    <mergeCell ref="G3:H3"/>
    <mergeCell ref="K4:M4"/>
    <mergeCell ref="B4:B5"/>
    <mergeCell ref="C4:C5"/>
    <mergeCell ref="D4:D5"/>
    <mergeCell ref="F4:F5"/>
    <mergeCell ref="E4:E5"/>
    <mergeCell ref="H4:H5"/>
    <mergeCell ref="I4:I5"/>
    <mergeCell ref="J4:J5"/>
    <mergeCell ref="N4:N5"/>
    <mergeCell ref="G4:G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orientation="landscape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R96"/>
  <sheetViews>
    <sheetView topLeftCell="A4" zoomScaleNormal="100" workbookViewId="0">
      <selection activeCell="Q14" sqref="Q14"/>
    </sheetView>
  </sheetViews>
  <sheetFormatPr defaultRowHeight="12.75"/>
  <cols>
    <col min="1" max="1" width="9.140625" style="611"/>
    <col min="2" max="2" width="4.7109375" style="9" customWidth="1"/>
    <col min="3" max="3" width="5.140625" style="9" customWidth="1"/>
    <col min="4" max="4" width="5" style="9" customWidth="1"/>
    <col min="5" max="5" width="8.7109375" style="18" customWidth="1"/>
    <col min="6" max="6" width="8.7109375" style="616" customWidth="1"/>
    <col min="7" max="7" width="50.7109375" style="9" customWidth="1"/>
    <col min="8" max="10" width="14.7109375" style="9" customWidth="1"/>
    <col min="11" max="12" width="14.7109375" style="611" customWidth="1"/>
    <col min="13" max="13" width="15.7109375" style="9" customWidth="1"/>
    <col min="14" max="14" width="7.7109375" style="680" customWidth="1"/>
    <col min="15" max="16384" width="9.140625" style="9"/>
  </cols>
  <sheetData>
    <row r="1" spans="1:16" ht="13.5" thickBot="1"/>
    <row r="2" spans="1:16" s="126" customFormat="1" ht="20.100000000000001" customHeight="1" thickTop="1" thickBot="1">
      <c r="A2" s="1052"/>
      <c r="B2" s="1261" t="s">
        <v>118</v>
      </c>
      <c r="C2" s="1262"/>
      <c r="D2" s="1262"/>
      <c r="E2" s="1262"/>
      <c r="F2" s="1262"/>
      <c r="G2" s="1262"/>
      <c r="H2" s="1262"/>
      <c r="I2" s="1262"/>
      <c r="J2" s="1262"/>
      <c r="K2" s="1262"/>
      <c r="L2" s="1262"/>
      <c r="M2" s="1262"/>
      <c r="N2" s="1056"/>
    </row>
    <row r="3" spans="1:16" s="1" customFormat="1" ht="8.1" customHeight="1" thickTop="1" thickBot="1">
      <c r="A3" s="608"/>
      <c r="E3" s="2"/>
      <c r="F3" s="609"/>
      <c r="G3" s="1264"/>
      <c r="H3" s="1264"/>
      <c r="I3" s="306"/>
      <c r="J3" s="306"/>
      <c r="K3" s="119"/>
      <c r="L3" s="119"/>
      <c r="M3" s="119"/>
      <c r="N3" s="674"/>
    </row>
    <row r="4" spans="1:16" s="1" customFormat="1" ht="39" customHeight="1">
      <c r="A4" s="608"/>
      <c r="B4" s="1268" t="s">
        <v>78</v>
      </c>
      <c r="C4" s="1280" t="s">
        <v>79</v>
      </c>
      <c r="D4" s="1281" t="s">
        <v>110</v>
      </c>
      <c r="E4" s="1282" t="s">
        <v>615</v>
      </c>
      <c r="F4" s="1273" t="s">
        <v>695</v>
      </c>
      <c r="G4" s="1274" t="s">
        <v>80</v>
      </c>
      <c r="H4" s="1283" t="s">
        <v>614</v>
      </c>
      <c r="I4" s="1284" t="s">
        <v>747</v>
      </c>
      <c r="J4" s="1283" t="s">
        <v>667</v>
      </c>
      <c r="K4" s="1265" t="s">
        <v>682</v>
      </c>
      <c r="L4" s="1266"/>
      <c r="M4" s="1267"/>
      <c r="N4" s="1278" t="s">
        <v>756</v>
      </c>
    </row>
    <row r="5" spans="1:16" s="608" customFormat="1" ht="27" customHeight="1">
      <c r="B5" s="1269"/>
      <c r="C5" s="1271"/>
      <c r="D5" s="1271"/>
      <c r="E5" s="1275"/>
      <c r="F5" s="1271"/>
      <c r="G5" s="1275"/>
      <c r="H5" s="1275"/>
      <c r="I5" s="1275"/>
      <c r="J5" s="1275"/>
      <c r="K5" s="1048" t="s">
        <v>753</v>
      </c>
      <c r="L5" s="1048" t="s">
        <v>754</v>
      </c>
      <c r="M5" s="1059" t="s">
        <v>426</v>
      </c>
      <c r="N5" s="1279"/>
    </row>
    <row r="6" spans="1:16" s="2" customFormat="1" ht="12.95" customHeight="1">
      <c r="A6" s="609"/>
      <c r="B6" s="1181">
        <v>1</v>
      </c>
      <c r="C6" s="661">
        <v>2</v>
      </c>
      <c r="D6" s="661">
        <v>3</v>
      </c>
      <c r="E6" s="661">
        <v>4</v>
      </c>
      <c r="F6" s="661">
        <v>5</v>
      </c>
      <c r="G6" s="661">
        <v>6</v>
      </c>
      <c r="H6" s="661">
        <v>7</v>
      </c>
      <c r="I6" s="661">
        <v>8</v>
      </c>
      <c r="J6" s="661">
        <v>9</v>
      </c>
      <c r="K6" s="661">
        <v>10</v>
      </c>
      <c r="L6" s="661">
        <v>11</v>
      </c>
      <c r="M6" s="1201" t="s">
        <v>755</v>
      </c>
      <c r="N6" s="1183">
        <v>13</v>
      </c>
    </row>
    <row r="7" spans="1:16" s="2" customFormat="1" ht="12.95" customHeight="1">
      <c r="A7" s="609"/>
      <c r="B7" s="6" t="s">
        <v>119</v>
      </c>
      <c r="C7" s="7" t="s">
        <v>81</v>
      </c>
      <c r="D7" s="7" t="s">
        <v>82</v>
      </c>
      <c r="E7" s="5"/>
      <c r="F7" s="610"/>
      <c r="G7" s="5"/>
      <c r="H7" s="106"/>
      <c r="I7" s="106"/>
      <c r="J7" s="106"/>
      <c r="K7" s="625"/>
      <c r="L7" s="625"/>
      <c r="M7" s="1076"/>
      <c r="N7" s="675"/>
    </row>
    <row r="8" spans="1:16" s="2" customFormat="1" ht="12.95" customHeight="1">
      <c r="A8" s="609"/>
      <c r="B8" s="6"/>
      <c r="C8" s="7"/>
      <c r="D8" s="7"/>
      <c r="E8" s="635">
        <v>600000</v>
      </c>
      <c r="F8" s="661"/>
      <c r="G8" s="21" t="s">
        <v>120</v>
      </c>
      <c r="H8" s="107">
        <f>H9+H10+H11</f>
        <v>645000</v>
      </c>
      <c r="I8" s="700">
        <v>645000</v>
      </c>
      <c r="J8" s="336">
        <v>467902</v>
      </c>
      <c r="K8" s="336">
        <f>K9+K10+K11</f>
        <v>445000</v>
      </c>
      <c r="L8" s="336">
        <f>L9+L10+L11</f>
        <v>0</v>
      </c>
      <c r="M8" s="1077">
        <f>M9+M10+M11</f>
        <v>445000</v>
      </c>
      <c r="N8" s="676">
        <f>IF(I8=0,"",M8/I8*100)</f>
        <v>68.992248062015506</v>
      </c>
    </row>
    <row r="9" spans="1:16" s="2" customFormat="1" ht="12.95" customHeight="1">
      <c r="A9" s="609"/>
      <c r="B9" s="6"/>
      <c r="C9" s="7"/>
      <c r="D9" s="7"/>
      <c r="E9" s="636">
        <v>600000</v>
      </c>
      <c r="F9" s="662"/>
      <c r="G9" s="41" t="s">
        <v>97</v>
      </c>
      <c r="H9" s="105">
        <v>600000</v>
      </c>
      <c r="I9" s="699">
        <v>600000</v>
      </c>
      <c r="J9" s="335">
        <v>429502</v>
      </c>
      <c r="K9" s="335">
        <v>400000</v>
      </c>
      <c r="L9" s="335">
        <v>0</v>
      </c>
      <c r="M9" s="1078">
        <f t="shared" ref="M9:M11" si="0">SUM(K9:L9)</f>
        <v>400000</v>
      </c>
      <c r="N9" s="677">
        <f>IF(I9=0,"",M9/I9*100)</f>
        <v>66.666666666666657</v>
      </c>
    </row>
    <row r="10" spans="1:16" s="2" customFormat="1" ht="12.95" customHeight="1">
      <c r="A10" s="609"/>
      <c r="B10" s="6"/>
      <c r="C10" s="7"/>
      <c r="D10" s="7"/>
      <c r="E10" s="636">
        <v>600000</v>
      </c>
      <c r="F10" s="662"/>
      <c r="G10" s="41" t="s">
        <v>98</v>
      </c>
      <c r="H10" s="105">
        <v>30000</v>
      </c>
      <c r="I10" s="699">
        <v>30000</v>
      </c>
      <c r="J10" s="335">
        <v>25250</v>
      </c>
      <c r="K10" s="335">
        <v>30000</v>
      </c>
      <c r="L10" s="335">
        <v>0</v>
      </c>
      <c r="M10" s="1078">
        <f t="shared" si="0"/>
        <v>30000</v>
      </c>
      <c r="N10" s="677">
        <f t="shared" ref="N10:N33" si="1">IF(I10=0,"",M10/I10*100)</f>
        <v>100</v>
      </c>
    </row>
    <row r="11" spans="1:16" s="2" customFormat="1" ht="12.95" customHeight="1">
      <c r="A11" s="609"/>
      <c r="B11" s="6"/>
      <c r="C11" s="7"/>
      <c r="D11" s="7"/>
      <c r="E11" s="636">
        <v>600000</v>
      </c>
      <c r="F11" s="662"/>
      <c r="G11" s="41" t="s">
        <v>121</v>
      </c>
      <c r="H11" s="105">
        <v>15000</v>
      </c>
      <c r="I11" s="699">
        <v>15000</v>
      </c>
      <c r="J11" s="335">
        <v>13150</v>
      </c>
      <c r="K11" s="335">
        <v>15000</v>
      </c>
      <c r="L11" s="335">
        <v>0</v>
      </c>
      <c r="M11" s="1078">
        <f t="shared" si="0"/>
        <v>15000</v>
      </c>
      <c r="N11" s="677">
        <f t="shared" si="1"/>
        <v>100</v>
      </c>
    </row>
    <row r="12" spans="1:16" s="2" customFormat="1" ht="8.1" customHeight="1">
      <c r="A12" s="609"/>
      <c r="B12" s="6"/>
      <c r="C12" s="7"/>
      <c r="D12" s="7"/>
      <c r="E12" s="635"/>
      <c r="F12" s="662"/>
      <c r="G12" s="5"/>
      <c r="H12" s="108"/>
      <c r="I12" s="701"/>
      <c r="J12" s="337"/>
      <c r="K12" s="337"/>
      <c r="L12" s="337"/>
      <c r="M12" s="1079"/>
      <c r="N12" s="677" t="str">
        <f t="shared" si="1"/>
        <v/>
      </c>
    </row>
    <row r="13" spans="1:16" s="1" customFormat="1" ht="12.95" customHeight="1">
      <c r="A13" s="608"/>
      <c r="B13" s="12"/>
      <c r="C13" s="8"/>
      <c r="D13" s="8"/>
      <c r="E13" s="635">
        <v>611000</v>
      </c>
      <c r="F13" s="661"/>
      <c r="G13" s="8" t="s">
        <v>163</v>
      </c>
      <c r="H13" s="261">
        <f>SUM(H14:H17)</f>
        <v>355500</v>
      </c>
      <c r="I13" s="706">
        <v>257810</v>
      </c>
      <c r="J13" s="342">
        <v>180649</v>
      </c>
      <c r="K13" s="261">
        <f>SUM(K14:K17)</f>
        <v>273760</v>
      </c>
      <c r="L13" s="261">
        <f>SUM(L14:L17)</f>
        <v>0</v>
      </c>
      <c r="M13" s="1080">
        <f>SUM(M14:M17)</f>
        <v>273760</v>
      </c>
      <c r="N13" s="676">
        <f t="shared" si="1"/>
        <v>106.18672665916759</v>
      </c>
    </row>
    <row r="14" spans="1:16" ht="12.95" customHeight="1">
      <c r="B14" s="10"/>
      <c r="C14" s="11"/>
      <c r="D14" s="11"/>
      <c r="E14" s="636">
        <v>611100</v>
      </c>
      <c r="F14" s="662"/>
      <c r="G14" s="20" t="s">
        <v>204</v>
      </c>
      <c r="H14" s="257">
        <f>107280+1000+16500+3220</f>
        <v>128000</v>
      </c>
      <c r="I14" s="705">
        <v>124300</v>
      </c>
      <c r="J14" s="341">
        <v>91444</v>
      </c>
      <c r="K14" s="257">
        <f>129600+500</f>
        <v>130100</v>
      </c>
      <c r="L14" s="257">
        <v>0</v>
      </c>
      <c r="M14" s="1078">
        <f t="shared" ref="M14:M16" si="2">SUM(K14:L14)</f>
        <v>130100</v>
      </c>
      <c r="N14" s="677">
        <f t="shared" si="1"/>
        <v>104.66613032984715</v>
      </c>
    </row>
    <row r="15" spans="1:16" ht="12.95" customHeight="1">
      <c r="B15" s="10"/>
      <c r="C15" s="11"/>
      <c r="D15" s="11"/>
      <c r="E15" s="636">
        <v>611200</v>
      </c>
      <c r="F15" s="662"/>
      <c r="G15" s="11" t="s">
        <v>205</v>
      </c>
      <c r="H15" s="257">
        <f>20950+1000+3650</f>
        <v>25600</v>
      </c>
      <c r="I15" s="705">
        <v>26520</v>
      </c>
      <c r="J15" s="341">
        <v>17910</v>
      </c>
      <c r="K15" s="257">
        <f>25100+300</f>
        <v>25400</v>
      </c>
      <c r="L15" s="257">
        <v>0</v>
      </c>
      <c r="M15" s="1078">
        <f t="shared" si="2"/>
        <v>25400</v>
      </c>
      <c r="N15" s="677">
        <f t="shared" si="1"/>
        <v>95.776772247360483</v>
      </c>
    </row>
    <row r="16" spans="1:16" ht="12.95" customHeight="1">
      <c r="B16" s="10"/>
      <c r="C16" s="11"/>
      <c r="D16" s="11"/>
      <c r="E16" s="636">
        <v>611200</v>
      </c>
      <c r="F16" s="662" t="s">
        <v>696</v>
      </c>
      <c r="G16" s="686" t="s">
        <v>848</v>
      </c>
      <c r="H16" s="257">
        <f>40400+161500</f>
        <v>201900</v>
      </c>
      <c r="I16" s="705">
        <v>106990</v>
      </c>
      <c r="J16" s="341">
        <v>71295</v>
      </c>
      <c r="K16" s="257">
        <v>118260</v>
      </c>
      <c r="L16" s="257">
        <v>0</v>
      </c>
      <c r="M16" s="1078">
        <f t="shared" si="2"/>
        <v>118260</v>
      </c>
      <c r="N16" s="677">
        <f t="shared" si="1"/>
        <v>110.53369473782597</v>
      </c>
      <c r="P16" s="63"/>
    </row>
    <row r="17" spans="1:15" ht="8.1" customHeight="1">
      <c r="B17" s="10"/>
      <c r="C17" s="11"/>
      <c r="D17" s="11"/>
      <c r="E17" s="636"/>
      <c r="F17" s="662"/>
      <c r="G17" s="20"/>
      <c r="H17" s="261"/>
      <c r="I17" s="706"/>
      <c r="J17" s="342"/>
      <c r="K17" s="261"/>
      <c r="L17" s="261"/>
      <c r="M17" s="1080"/>
      <c r="N17" s="677" t="str">
        <f t="shared" si="1"/>
        <v/>
      </c>
    </row>
    <row r="18" spans="1:15" s="1" customFormat="1" ht="12.95" customHeight="1">
      <c r="A18" s="608"/>
      <c r="B18" s="12"/>
      <c r="C18" s="8"/>
      <c r="D18" s="8"/>
      <c r="E18" s="635">
        <v>612000</v>
      </c>
      <c r="F18" s="662"/>
      <c r="G18" s="8" t="s">
        <v>162</v>
      </c>
      <c r="H18" s="261">
        <f>H19+H20</f>
        <v>13760</v>
      </c>
      <c r="I18" s="706">
        <v>13500</v>
      </c>
      <c r="J18" s="342">
        <v>9716</v>
      </c>
      <c r="K18" s="261">
        <f>K19+K20</f>
        <v>13850</v>
      </c>
      <c r="L18" s="261">
        <f>L19+L20</f>
        <v>0</v>
      </c>
      <c r="M18" s="1080">
        <f>M19+M20</f>
        <v>13850</v>
      </c>
      <c r="N18" s="676">
        <f t="shared" si="1"/>
        <v>102.5925925925926</v>
      </c>
    </row>
    <row r="19" spans="1:15" ht="12.95" customHeight="1">
      <c r="B19" s="10"/>
      <c r="C19" s="11"/>
      <c r="D19" s="11"/>
      <c r="E19" s="636">
        <v>612100</v>
      </c>
      <c r="F19" s="662"/>
      <c r="G19" s="13" t="s">
        <v>83</v>
      </c>
      <c r="H19" s="257">
        <f>11410+200+1800+350</f>
        <v>13760</v>
      </c>
      <c r="I19" s="705">
        <v>13500</v>
      </c>
      <c r="J19" s="341">
        <v>9716</v>
      </c>
      <c r="K19" s="257">
        <f>13790+60</f>
        <v>13850</v>
      </c>
      <c r="L19" s="257">
        <v>0</v>
      </c>
      <c r="M19" s="1078">
        <f>SUM(K19:L19)</f>
        <v>13850</v>
      </c>
      <c r="N19" s="677">
        <f t="shared" si="1"/>
        <v>102.5925925925926</v>
      </c>
    </row>
    <row r="20" spans="1:15" ht="8.1" customHeight="1">
      <c r="B20" s="10"/>
      <c r="C20" s="11"/>
      <c r="D20" s="11"/>
      <c r="E20" s="636"/>
      <c r="F20" s="662"/>
      <c r="G20" s="11"/>
      <c r="H20" s="102"/>
      <c r="I20" s="696"/>
      <c r="J20" s="332"/>
      <c r="K20" s="332"/>
      <c r="L20" s="332"/>
      <c r="M20" s="1078"/>
      <c r="N20" s="677" t="str">
        <f t="shared" si="1"/>
        <v/>
      </c>
    </row>
    <row r="21" spans="1:15" s="1" customFormat="1" ht="12.95" customHeight="1">
      <c r="A21" s="608"/>
      <c r="B21" s="12"/>
      <c r="C21" s="8"/>
      <c r="D21" s="8"/>
      <c r="E21" s="635">
        <v>613000</v>
      </c>
      <c r="F21" s="662"/>
      <c r="G21" s="8" t="s">
        <v>164</v>
      </c>
      <c r="H21" s="103">
        <f>SUM(H22:H32)</f>
        <v>433260</v>
      </c>
      <c r="I21" s="697">
        <v>386930</v>
      </c>
      <c r="J21" s="333">
        <v>278534</v>
      </c>
      <c r="K21" s="333">
        <f>SUM(K22:K32)</f>
        <v>344400</v>
      </c>
      <c r="L21" s="333">
        <f>SUM(L22:L32)</f>
        <v>0</v>
      </c>
      <c r="M21" s="1079">
        <f>SUM(M22:M32)</f>
        <v>344400</v>
      </c>
      <c r="N21" s="676">
        <f t="shared" si="1"/>
        <v>89.008347763161296</v>
      </c>
    </row>
    <row r="22" spans="1:15" ht="12.95" customHeight="1">
      <c r="B22" s="10"/>
      <c r="C22" s="11"/>
      <c r="D22" s="11"/>
      <c r="E22" s="636">
        <v>613100</v>
      </c>
      <c r="F22" s="662"/>
      <c r="G22" s="11" t="s">
        <v>84</v>
      </c>
      <c r="H22" s="102">
        <v>14000</v>
      </c>
      <c r="I22" s="696">
        <v>14000</v>
      </c>
      <c r="J22" s="332">
        <v>11581</v>
      </c>
      <c r="K22" s="332">
        <v>14000</v>
      </c>
      <c r="L22" s="332">
        <v>0</v>
      </c>
      <c r="M22" s="1078">
        <f t="shared" ref="M22:M32" si="3">SUM(K22:L22)</f>
        <v>14000</v>
      </c>
      <c r="N22" s="677">
        <f t="shared" si="1"/>
        <v>100</v>
      </c>
    </row>
    <row r="23" spans="1:15" ht="12.95" customHeight="1">
      <c r="B23" s="10"/>
      <c r="C23" s="11"/>
      <c r="D23" s="11"/>
      <c r="E23" s="636">
        <v>613200</v>
      </c>
      <c r="F23" s="662"/>
      <c r="G23" s="11" t="s">
        <v>85</v>
      </c>
      <c r="H23" s="102">
        <v>0</v>
      </c>
      <c r="I23" s="696">
        <v>0</v>
      </c>
      <c r="J23" s="332">
        <v>0</v>
      </c>
      <c r="K23" s="332">
        <v>0</v>
      </c>
      <c r="L23" s="332">
        <v>0</v>
      </c>
      <c r="M23" s="1078">
        <f t="shared" si="3"/>
        <v>0</v>
      </c>
      <c r="N23" s="677" t="str">
        <f t="shared" si="1"/>
        <v/>
      </c>
    </row>
    <row r="24" spans="1:15" ht="12.95" customHeight="1">
      <c r="B24" s="10"/>
      <c r="C24" s="11"/>
      <c r="D24" s="11"/>
      <c r="E24" s="636">
        <v>613300</v>
      </c>
      <c r="F24" s="662"/>
      <c r="G24" s="20" t="s">
        <v>206</v>
      </c>
      <c r="H24" s="102">
        <v>5500</v>
      </c>
      <c r="I24" s="696">
        <v>5500</v>
      </c>
      <c r="J24" s="332">
        <v>3732</v>
      </c>
      <c r="K24" s="332">
        <v>5500</v>
      </c>
      <c r="L24" s="332">
        <v>0</v>
      </c>
      <c r="M24" s="1078">
        <f t="shared" si="3"/>
        <v>5500</v>
      </c>
      <c r="N24" s="677">
        <f t="shared" si="1"/>
        <v>100</v>
      </c>
    </row>
    <row r="25" spans="1:15" ht="12.95" customHeight="1">
      <c r="B25" s="10"/>
      <c r="C25" s="11"/>
      <c r="D25" s="11"/>
      <c r="E25" s="636">
        <v>613400</v>
      </c>
      <c r="F25" s="662"/>
      <c r="G25" s="11" t="s">
        <v>165</v>
      </c>
      <c r="H25" s="102">
        <v>1500</v>
      </c>
      <c r="I25" s="696">
        <v>1500</v>
      </c>
      <c r="J25" s="332">
        <v>0</v>
      </c>
      <c r="K25" s="332">
        <v>1500</v>
      </c>
      <c r="L25" s="332">
        <v>0</v>
      </c>
      <c r="M25" s="1078">
        <f t="shared" si="3"/>
        <v>1500</v>
      </c>
      <c r="N25" s="677">
        <f t="shared" si="1"/>
        <v>100</v>
      </c>
    </row>
    <row r="26" spans="1:15" ht="12.95" customHeight="1">
      <c r="B26" s="10"/>
      <c r="C26" s="11"/>
      <c r="D26" s="11"/>
      <c r="E26" s="636">
        <v>613500</v>
      </c>
      <c r="F26" s="662"/>
      <c r="G26" s="11" t="s">
        <v>86</v>
      </c>
      <c r="H26" s="104">
        <v>1500</v>
      </c>
      <c r="I26" s="698">
        <v>1500</v>
      </c>
      <c r="J26" s="334">
        <v>1208</v>
      </c>
      <c r="K26" s="334">
        <v>500</v>
      </c>
      <c r="L26" s="334">
        <v>0</v>
      </c>
      <c r="M26" s="1078">
        <f t="shared" si="3"/>
        <v>500</v>
      </c>
      <c r="N26" s="677">
        <f t="shared" si="1"/>
        <v>33.333333333333329</v>
      </c>
    </row>
    <row r="27" spans="1:15" ht="12.95" customHeight="1">
      <c r="B27" s="10"/>
      <c r="C27" s="11"/>
      <c r="D27" s="11"/>
      <c r="E27" s="636">
        <v>613600</v>
      </c>
      <c r="F27" s="662"/>
      <c r="G27" s="20" t="s">
        <v>207</v>
      </c>
      <c r="H27" s="102">
        <v>0</v>
      </c>
      <c r="I27" s="696">
        <v>0</v>
      </c>
      <c r="J27" s="332">
        <v>0</v>
      </c>
      <c r="K27" s="332">
        <v>0</v>
      </c>
      <c r="L27" s="332">
        <v>0</v>
      </c>
      <c r="M27" s="1078">
        <f t="shared" si="3"/>
        <v>0</v>
      </c>
      <c r="N27" s="677" t="str">
        <f t="shared" si="1"/>
        <v/>
      </c>
    </row>
    <row r="28" spans="1:15" ht="12.95" customHeight="1">
      <c r="B28" s="10"/>
      <c r="C28" s="11"/>
      <c r="D28" s="11"/>
      <c r="E28" s="636">
        <v>613700</v>
      </c>
      <c r="F28" s="662"/>
      <c r="G28" s="11" t="s">
        <v>87</v>
      </c>
      <c r="H28" s="102">
        <v>7000</v>
      </c>
      <c r="I28" s="699">
        <v>6000</v>
      </c>
      <c r="J28" s="332">
        <v>192</v>
      </c>
      <c r="K28" s="332">
        <v>4000</v>
      </c>
      <c r="L28" s="332">
        <v>0</v>
      </c>
      <c r="M28" s="1078">
        <f t="shared" si="3"/>
        <v>4000</v>
      </c>
      <c r="N28" s="677">
        <f t="shared" si="1"/>
        <v>66.666666666666657</v>
      </c>
    </row>
    <row r="29" spans="1:15" ht="12.95" customHeight="1">
      <c r="B29" s="10"/>
      <c r="C29" s="11"/>
      <c r="D29" s="11"/>
      <c r="E29" s="636">
        <v>613800</v>
      </c>
      <c r="F29" s="662"/>
      <c r="G29" s="11" t="s">
        <v>166</v>
      </c>
      <c r="H29" s="105">
        <v>3460</v>
      </c>
      <c r="I29" s="699">
        <v>2500</v>
      </c>
      <c r="J29" s="335">
        <v>420</v>
      </c>
      <c r="K29" s="335">
        <v>2500</v>
      </c>
      <c r="L29" s="335">
        <v>0</v>
      </c>
      <c r="M29" s="1078">
        <f t="shared" si="3"/>
        <v>2500</v>
      </c>
      <c r="N29" s="677">
        <f t="shared" si="1"/>
        <v>100</v>
      </c>
    </row>
    <row r="30" spans="1:15" ht="12.95" customHeight="1">
      <c r="B30" s="10"/>
      <c r="C30" s="11"/>
      <c r="D30" s="11"/>
      <c r="E30" s="639">
        <v>613900</v>
      </c>
      <c r="F30" s="662"/>
      <c r="G30" s="14" t="s">
        <v>167</v>
      </c>
      <c r="H30" s="105">
        <v>162100</v>
      </c>
      <c r="I30" s="699">
        <v>177000</v>
      </c>
      <c r="J30" s="335">
        <v>154566</v>
      </c>
      <c r="K30" s="335">
        <v>150000</v>
      </c>
      <c r="L30" s="335">
        <v>0</v>
      </c>
      <c r="M30" s="1078">
        <f t="shared" si="3"/>
        <v>150000</v>
      </c>
      <c r="N30" s="677">
        <f t="shared" si="1"/>
        <v>84.745762711864401</v>
      </c>
      <c r="O30" s="56"/>
    </row>
    <row r="31" spans="1:15" ht="12.95" customHeight="1">
      <c r="B31" s="10"/>
      <c r="C31" s="11"/>
      <c r="D31" s="11"/>
      <c r="E31" s="636">
        <v>613900</v>
      </c>
      <c r="F31" s="662" t="s">
        <v>697</v>
      </c>
      <c r="G31" s="20" t="s">
        <v>213</v>
      </c>
      <c r="H31" s="105">
        <v>29500</v>
      </c>
      <c r="I31" s="699">
        <v>42630</v>
      </c>
      <c r="J31" s="335">
        <v>27140</v>
      </c>
      <c r="K31" s="335">
        <v>44400</v>
      </c>
      <c r="L31" s="335">
        <v>0</v>
      </c>
      <c r="M31" s="1078">
        <f t="shared" si="3"/>
        <v>44400</v>
      </c>
      <c r="N31" s="677">
        <f t="shared" si="1"/>
        <v>104.15200562983816</v>
      </c>
    </row>
    <row r="32" spans="1:15" ht="12.95" customHeight="1">
      <c r="B32" s="10"/>
      <c r="C32" s="11"/>
      <c r="D32" s="11"/>
      <c r="E32" s="636">
        <v>613900</v>
      </c>
      <c r="F32" s="662" t="s">
        <v>696</v>
      </c>
      <c r="G32" s="686" t="s">
        <v>847</v>
      </c>
      <c r="H32" s="105">
        <f>43700+165000</f>
        <v>208700</v>
      </c>
      <c r="I32" s="699">
        <v>136300</v>
      </c>
      <c r="J32" s="335">
        <v>79695</v>
      </c>
      <c r="K32" s="335">
        <v>122000</v>
      </c>
      <c r="L32" s="335">
        <v>0</v>
      </c>
      <c r="M32" s="1078">
        <f t="shared" si="3"/>
        <v>122000</v>
      </c>
      <c r="N32" s="677">
        <f t="shared" si="1"/>
        <v>89.508437270726333</v>
      </c>
    </row>
    <row r="33" spans="1:18" ht="8.1" customHeight="1">
      <c r="B33" s="10"/>
      <c r="C33" s="11"/>
      <c r="D33" s="11"/>
      <c r="E33" s="636"/>
      <c r="F33" s="662"/>
      <c r="G33" s="11"/>
      <c r="H33" s="102"/>
      <c r="I33" s="696"/>
      <c r="J33" s="332"/>
      <c r="K33" s="332"/>
      <c r="L33" s="332"/>
      <c r="M33" s="1078"/>
      <c r="N33" s="677" t="str">
        <f t="shared" si="1"/>
        <v/>
      </c>
    </row>
    <row r="34" spans="1:18" s="1" customFormat="1" ht="12.95" customHeight="1">
      <c r="A34" s="608"/>
      <c r="B34" s="12"/>
      <c r="C34" s="8"/>
      <c r="D34" s="8"/>
      <c r="E34" s="635">
        <v>614000</v>
      </c>
      <c r="F34" s="662"/>
      <c r="G34" s="8" t="s">
        <v>208</v>
      </c>
      <c r="H34" s="108">
        <f>SUM(H35:H45)</f>
        <v>855000</v>
      </c>
      <c r="I34" s="701">
        <v>911000</v>
      </c>
      <c r="J34" s="337">
        <v>647839</v>
      </c>
      <c r="K34" s="337">
        <f>SUM(K35:K45)</f>
        <v>755000</v>
      </c>
      <c r="L34" s="337">
        <f>SUM(L35:L45)</f>
        <v>0</v>
      </c>
      <c r="M34" s="1079">
        <f>SUM(M35:M45)</f>
        <v>755000</v>
      </c>
      <c r="N34" s="676">
        <f>IF(I34=0,"",M34/I34*100)</f>
        <v>82.875960482985732</v>
      </c>
    </row>
    <row r="35" spans="1:18" s="69" customFormat="1" ht="12.95" customHeight="1">
      <c r="B35" s="70"/>
      <c r="C35" s="13"/>
      <c r="D35" s="13"/>
      <c r="E35" s="636">
        <v>614100</v>
      </c>
      <c r="F35" s="662" t="s">
        <v>698</v>
      </c>
      <c r="G35" s="13" t="s">
        <v>282</v>
      </c>
      <c r="H35" s="104">
        <v>100000</v>
      </c>
      <c r="I35" s="698">
        <v>100000</v>
      </c>
      <c r="J35" s="334">
        <v>0</v>
      </c>
      <c r="K35" s="698">
        <v>0</v>
      </c>
      <c r="L35" s="698">
        <v>0</v>
      </c>
      <c r="M35" s="1078">
        <f t="shared" ref="M35:M45" si="4">SUM(K35:L35)</f>
        <v>0</v>
      </c>
      <c r="N35" s="677">
        <f t="shared" ref="N35:N56" si="5">IF(I35=0,"",M35/I35*100)</f>
        <v>0</v>
      </c>
    </row>
    <row r="36" spans="1:18" s="69" customFormat="1" ht="12.95" customHeight="1">
      <c r="B36" s="70"/>
      <c r="C36" s="13"/>
      <c r="D36" s="13"/>
      <c r="E36" s="636">
        <v>614100</v>
      </c>
      <c r="F36" s="662" t="s">
        <v>699</v>
      </c>
      <c r="G36" s="87" t="s">
        <v>283</v>
      </c>
      <c r="H36" s="104">
        <v>200000</v>
      </c>
      <c r="I36" s="698">
        <v>200000</v>
      </c>
      <c r="J36" s="334">
        <v>150000</v>
      </c>
      <c r="K36" s="698">
        <v>200000</v>
      </c>
      <c r="L36" s="698">
        <v>0</v>
      </c>
      <c r="M36" s="1078">
        <f t="shared" si="4"/>
        <v>200000</v>
      </c>
      <c r="N36" s="677">
        <f t="shared" si="5"/>
        <v>100</v>
      </c>
    </row>
    <row r="37" spans="1:18" s="132" customFormat="1" ht="12.95" customHeight="1">
      <c r="B37" s="128"/>
      <c r="C37" s="129"/>
      <c r="D37" s="129"/>
      <c r="E37" s="640">
        <v>614200</v>
      </c>
      <c r="F37" s="662" t="s">
        <v>700</v>
      </c>
      <c r="G37" s="130" t="s">
        <v>655</v>
      </c>
      <c r="H37" s="131">
        <v>150000</v>
      </c>
      <c r="I37" s="704">
        <v>206000</v>
      </c>
      <c r="J37" s="340">
        <v>204500</v>
      </c>
      <c r="K37" s="1058">
        <v>150000</v>
      </c>
      <c r="L37" s="1058">
        <v>0</v>
      </c>
      <c r="M37" s="1078">
        <f t="shared" si="4"/>
        <v>150000</v>
      </c>
      <c r="N37" s="677">
        <f t="shared" si="5"/>
        <v>72.815533980582529</v>
      </c>
      <c r="R37" s="133"/>
    </row>
    <row r="38" spans="1:18" ht="12.95" customHeight="1">
      <c r="B38" s="10"/>
      <c r="C38" s="11"/>
      <c r="D38" s="11"/>
      <c r="E38" s="636">
        <v>614300</v>
      </c>
      <c r="F38" s="662" t="s">
        <v>701</v>
      </c>
      <c r="G38" s="1051" t="s">
        <v>762</v>
      </c>
      <c r="H38" s="109">
        <v>70000</v>
      </c>
      <c r="I38" s="702">
        <v>70000</v>
      </c>
      <c r="J38" s="338">
        <v>70000</v>
      </c>
      <c r="K38" s="702">
        <v>70000</v>
      </c>
      <c r="L38" s="702">
        <v>0</v>
      </c>
      <c r="M38" s="1078">
        <f t="shared" si="4"/>
        <v>70000</v>
      </c>
      <c r="N38" s="677">
        <f t="shared" si="5"/>
        <v>100</v>
      </c>
    </row>
    <row r="39" spans="1:18" ht="12.95" customHeight="1">
      <c r="B39" s="10"/>
      <c r="C39" s="11"/>
      <c r="D39" s="11"/>
      <c r="E39" s="636">
        <v>614300</v>
      </c>
      <c r="F39" s="662" t="s">
        <v>702</v>
      </c>
      <c r="G39" s="81" t="s">
        <v>228</v>
      </c>
      <c r="H39" s="109">
        <v>35000</v>
      </c>
      <c r="I39" s="702">
        <v>35000</v>
      </c>
      <c r="J39" s="338">
        <v>23336</v>
      </c>
      <c r="K39" s="702">
        <v>35000</v>
      </c>
      <c r="L39" s="702">
        <v>0</v>
      </c>
      <c r="M39" s="1078">
        <f t="shared" si="4"/>
        <v>35000</v>
      </c>
      <c r="N39" s="677">
        <f t="shared" si="5"/>
        <v>100</v>
      </c>
    </row>
    <row r="40" spans="1:18" ht="12.95" customHeight="1">
      <c r="B40" s="10"/>
      <c r="C40" s="11"/>
      <c r="D40" s="11"/>
      <c r="E40" s="636">
        <v>614300</v>
      </c>
      <c r="F40" s="662" t="s">
        <v>703</v>
      </c>
      <c r="G40" s="81" t="s">
        <v>277</v>
      </c>
      <c r="H40" s="109">
        <v>40000</v>
      </c>
      <c r="I40" s="702">
        <v>40000</v>
      </c>
      <c r="J40" s="338">
        <v>26668</v>
      </c>
      <c r="K40" s="702">
        <v>40000</v>
      </c>
      <c r="L40" s="702">
        <v>0</v>
      </c>
      <c r="M40" s="1078">
        <f t="shared" si="4"/>
        <v>40000</v>
      </c>
      <c r="N40" s="677">
        <f t="shared" si="5"/>
        <v>100</v>
      </c>
    </row>
    <row r="41" spans="1:18" ht="12.95" customHeight="1">
      <c r="B41" s="10"/>
      <c r="C41" s="11"/>
      <c r="D41" s="11"/>
      <c r="E41" s="636">
        <v>614300</v>
      </c>
      <c r="F41" s="662" t="s">
        <v>704</v>
      </c>
      <c r="G41" s="1050" t="s">
        <v>852</v>
      </c>
      <c r="H41" s="109">
        <v>40000</v>
      </c>
      <c r="I41" s="702">
        <v>40000</v>
      </c>
      <c r="J41" s="338">
        <v>26668</v>
      </c>
      <c r="K41" s="702">
        <v>40000</v>
      </c>
      <c r="L41" s="702">
        <v>0</v>
      </c>
      <c r="M41" s="1078">
        <f t="shared" si="4"/>
        <v>40000</v>
      </c>
      <c r="N41" s="677">
        <f t="shared" si="5"/>
        <v>100</v>
      </c>
    </row>
    <row r="42" spans="1:18" ht="12.95" customHeight="1">
      <c r="B42" s="10"/>
      <c r="C42" s="11"/>
      <c r="D42" s="11"/>
      <c r="E42" s="636">
        <v>614300</v>
      </c>
      <c r="F42" s="662" t="s">
        <v>705</v>
      </c>
      <c r="G42" s="1050" t="s">
        <v>851</v>
      </c>
      <c r="H42" s="109">
        <v>15000</v>
      </c>
      <c r="I42" s="702">
        <v>15000</v>
      </c>
      <c r="J42" s="338">
        <v>10000</v>
      </c>
      <c r="K42" s="702">
        <v>15000</v>
      </c>
      <c r="L42" s="702">
        <v>0</v>
      </c>
      <c r="M42" s="1078">
        <f t="shared" si="4"/>
        <v>15000</v>
      </c>
      <c r="N42" s="677">
        <f t="shared" si="5"/>
        <v>100</v>
      </c>
    </row>
    <row r="43" spans="1:18" ht="12.95" customHeight="1">
      <c r="B43" s="10"/>
      <c r="C43" s="11"/>
      <c r="D43" s="11"/>
      <c r="E43" s="636">
        <v>614300</v>
      </c>
      <c r="F43" s="662" t="s">
        <v>706</v>
      </c>
      <c r="G43" s="81" t="s">
        <v>230</v>
      </c>
      <c r="H43" s="109">
        <v>30000</v>
      </c>
      <c r="I43" s="702">
        <v>30000</v>
      </c>
      <c r="J43" s="338">
        <v>20000</v>
      </c>
      <c r="K43" s="702">
        <v>30000</v>
      </c>
      <c r="L43" s="702">
        <v>0</v>
      </c>
      <c r="M43" s="1078">
        <f t="shared" si="4"/>
        <v>30000</v>
      </c>
      <c r="N43" s="677">
        <f t="shared" si="5"/>
        <v>100</v>
      </c>
    </row>
    <row r="44" spans="1:18" ht="12.95" customHeight="1">
      <c r="B44" s="10"/>
      <c r="C44" s="11"/>
      <c r="D44" s="11"/>
      <c r="E44" s="636">
        <v>614300</v>
      </c>
      <c r="F44" s="662" t="s">
        <v>707</v>
      </c>
      <c r="G44" s="81" t="s">
        <v>653</v>
      </c>
      <c r="H44" s="109">
        <v>15000</v>
      </c>
      <c r="I44" s="702">
        <v>15000</v>
      </c>
      <c r="J44" s="338">
        <v>10000</v>
      </c>
      <c r="K44" s="702">
        <v>15000</v>
      </c>
      <c r="L44" s="702">
        <v>0</v>
      </c>
      <c r="M44" s="1078">
        <f t="shared" si="4"/>
        <v>15000</v>
      </c>
      <c r="N44" s="677">
        <f t="shared" ref="N44" si="6">IF(I44=0,"",M44/I44*100)</f>
        <v>100</v>
      </c>
    </row>
    <row r="45" spans="1:18" ht="12.95" customHeight="1">
      <c r="B45" s="10"/>
      <c r="C45" s="11"/>
      <c r="D45" s="11"/>
      <c r="E45" s="636">
        <v>614300</v>
      </c>
      <c r="F45" s="662" t="s">
        <v>708</v>
      </c>
      <c r="G45" s="200" t="s">
        <v>96</v>
      </c>
      <c r="H45" s="109">
        <v>160000</v>
      </c>
      <c r="I45" s="702">
        <v>160000</v>
      </c>
      <c r="J45" s="338">
        <v>106667</v>
      </c>
      <c r="K45" s="702">
        <v>160000</v>
      </c>
      <c r="L45" s="702">
        <v>0</v>
      </c>
      <c r="M45" s="1078">
        <f t="shared" si="4"/>
        <v>160000</v>
      </c>
      <c r="N45" s="677">
        <f t="shared" si="5"/>
        <v>100</v>
      </c>
    </row>
    <row r="46" spans="1:18" ht="8.1" customHeight="1">
      <c r="B46" s="10"/>
      <c r="C46" s="11"/>
      <c r="D46" s="11"/>
      <c r="E46" s="636"/>
      <c r="F46" s="662"/>
      <c r="G46" s="81"/>
      <c r="H46" s="109"/>
      <c r="I46" s="702"/>
      <c r="J46" s="338"/>
      <c r="K46" s="338"/>
      <c r="L46" s="338"/>
      <c r="M46" s="1078"/>
      <c r="N46" s="677" t="str">
        <f t="shared" si="5"/>
        <v/>
      </c>
    </row>
    <row r="47" spans="1:18" ht="12.95" customHeight="1">
      <c r="B47" s="10"/>
      <c r="C47" s="11"/>
      <c r="D47" s="11"/>
      <c r="E47" s="635">
        <v>615000</v>
      </c>
      <c r="F47" s="662"/>
      <c r="G47" s="8" t="s">
        <v>89</v>
      </c>
      <c r="H47" s="108">
        <f>H48</f>
        <v>700000</v>
      </c>
      <c r="I47" s="701">
        <v>600000</v>
      </c>
      <c r="J47" s="337">
        <v>0</v>
      </c>
      <c r="K47" s="337">
        <f>K48</f>
        <v>400000</v>
      </c>
      <c r="L47" s="337">
        <f>L48</f>
        <v>0</v>
      </c>
      <c r="M47" s="1079">
        <f>M48</f>
        <v>400000</v>
      </c>
      <c r="N47" s="676">
        <f t="shared" si="5"/>
        <v>66.666666666666657</v>
      </c>
    </row>
    <row r="48" spans="1:18" ht="12.95" customHeight="1">
      <c r="B48" s="10"/>
      <c r="C48" s="11"/>
      <c r="D48" s="11"/>
      <c r="E48" s="636">
        <v>615100</v>
      </c>
      <c r="F48" s="662"/>
      <c r="G48" s="13" t="s">
        <v>89</v>
      </c>
      <c r="H48" s="104">
        <v>700000</v>
      </c>
      <c r="I48" s="702">
        <v>600000</v>
      </c>
      <c r="J48" s="334">
        <v>0</v>
      </c>
      <c r="K48" s="334">
        <v>400000</v>
      </c>
      <c r="L48" s="334">
        <v>0</v>
      </c>
      <c r="M48" s="1078">
        <f>SUM(K48:L48)</f>
        <v>400000</v>
      </c>
      <c r="N48" s="677">
        <f t="shared" si="5"/>
        <v>66.666666666666657</v>
      </c>
    </row>
    <row r="49" spans="1:14" ht="8.1" customHeight="1">
      <c r="B49" s="10"/>
      <c r="C49" s="11"/>
      <c r="D49" s="11"/>
      <c r="E49" s="636"/>
      <c r="F49" s="662"/>
      <c r="G49" s="14"/>
      <c r="H49" s="105"/>
      <c r="I49" s="699"/>
      <c r="J49" s="335"/>
      <c r="K49" s="335"/>
      <c r="L49" s="335"/>
      <c r="M49" s="1078"/>
      <c r="N49" s="677" t="str">
        <f t="shared" si="5"/>
        <v/>
      </c>
    </row>
    <row r="50" spans="1:14" ht="12.95" customHeight="1">
      <c r="B50" s="12"/>
      <c r="C50" s="8"/>
      <c r="D50" s="8"/>
      <c r="E50" s="635">
        <v>821000</v>
      </c>
      <c r="F50" s="662"/>
      <c r="G50" s="8" t="s">
        <v>90</v>
      </c>
      <c r="H50" s="15">
        <f>SUM(H51:H53)</f>
        <v>210000</v>
      </c>
      <c r="I50" s="693">
        <v>145000</v>
      </c>
      <c r="J50" s="329">
        <v>4215</v>
      </c>
      <c r="K50" s="615">
        <f>SUM(K51:K53)</f>
        <v>55000</v>
      </c>
      <c r="L50" s="615">
        <f>SUM(L51:L53)</f>
        <v>0</v>
      </c>
      <c r="M50" s="1064">
        <f>SUM(M51:M53)</f>
        <v>55000</v>
      </c>
      <c r="N50" s="676">
        <f t="shared" si="5"/>
        <v>37.931034482758619</v>
      </c>
    </row>
    <row r="51" spans="1:14" ht="12.95" customHeight="1">
      <c r="B51" s="10"/>
      <c r="C51" s="11"/>
      <c r="D51" s="11"/>
      <c r="E51" s="636">
        <v>821200</v>
      </c>
      <c r="F51" s="662"/>
      <c r="G51" s="11" t="s">
        <v>91</v>
      </c>
      <c r="H51" s="57">
        <v>0</v>
      </c>
      <c r="I51" s="694">
        <v>0</v>
      </c>
      <c r="J51" s="330">
        <v>0</v>
      </c>
      <c r="K51" s="595">
        <v>0</v>
      </c>
      <c r="L51" s="595">
        <v>0</v>
      </c>
      <c r="M51" s="1078">
        <f t="shared" ref="M51:M53" si="7">SUM(K51:L51)</f>
        <v>0</v>
      </c>
      <c r="N51" s="677" t="str">
        <f t="shared" si="5"/>
        <v/>
      </c>
    </row>
    <row r="52" spans="1:14" ht="12.95" customHeight="1">
      <c r="B52" s="10"/>
      <c r="C52" s="11"/>
      <c r="D52" s="11"/>
      <c r="E52" s="636">
        <v>821300</v>
      </c>
      <c r="F52" s="662"/>
      <c r="G52" s="11" t="s">
        <v>92</v>
      </c>
      <c r="H52" s="88">
        <v>10000</v>
      </c>
      <c r="I52" s="695">
        <v>10000</v>
      </c>
      <c r="J52" s="331">
        <v>4215</v>
      </c>
      <c r="K52" s="623">
        <v>5000</v>
      </c>
      <c r="L52" s="623">
        <v>0</v>
      </c>
      <c r="M52" s="1078">
        <f t="shared" si="7"/>
        <v>5000</v>
      </c>
      <c r="N52" s="677">
        <f t="shared" si="5"/>
        <v>50</v>
      </c>
    </row>
    <row r="53" spans="1:14" ht="12.95" customHeight="1">
      <c r="B53" s="10"/>
      <c r="C53" s="11"/>
      <c r="D53" s="11"/>
      <c r="E53" s="636">
        <v>821500</v>
      </c>
      <c r="F53" s="662"/>
      <c r="G53" s="11" t="s">
        <v>534</v>
      </c>
      <c r="H53" s="113">
        <v>200000</v>
      </c>
      <c r="I53" s="703">
        <v>135000</v>
      </c>
      <c r="J53" s="339">
        <v>0</v>
      </c>
      <c r="K53" s="113">
        <v>50000</v>
      </c>
      <c r="L53" s="113">
        <v>0</v>
      </c>
      <c r="M53" s="1078">
        <f t="shared" si="7"/>
        <v>50000</v>
      </c>
      <c r="N53" s="677">
        <f t="shared" si="5"/>
        <v>37.037037037037038</v>
      </c>
    </row>
    <row r="54" spans="1:14" s="1" customFormat="1" ht="8.1" customHeight="1">
      <c r="A54" s="608"/>
      <c r="B54" s="10"/>
      <c r="C54" s="11"/>
      <c r="D54" s="11"/>
      <c r="E54" s="636"/>
      <c r="F54" s="662"/>
      <c r="G54" s="11"/>
      <c r="H54" s="15"/>
      <c r="I54" s="15"/>
      <c r="J54" s="329"/>
      <c r="K54" s="615"/>
      <c r="L54" s="615"/>
      <c r="M54" s="1064"/>
      <c r="N54" s="677" t="str">
        <f t="shared" si="5"/>
        <v/>
      </c>
    </row>
    <row r="55" spans="1:14" ht="12.95" customHeight="1">
      <c r="B55" s="12"/>
      <c r="C55" s="8"/>
      <c r="D55" s="8"/>
      <c r="E55" s="635"/>
      <c r="F55" s="662"/>
      <c r="G55" s="8" t="s">
        <v>93</v>
      </c>
      <c r="H55" s="15">
        <v>6</v>
      </c>
      <c r="I55" s="15">
        <v>6</v>
      </c>
      <c r="J55" s="329">
        <v>6</v>
      </c>
      <c r="K55" s="615">
        <v>6</v>
      </c>
      <c r="L55" s="615"/>
      <c r="M55" s="1064">
        <v>6</v>
      </c>
      <c r="N55" s="677"/>
    </row>
    <row r="56" spans="1:14" ht="12.95" customHeight="1">
      <c r="B56" s="12"/>
      <c r="C56" s="8"/>
      <c r="D56" s="8"/>
      <c r="E56" s="635"/>
      <c r="F56" s="662"/>
      <c r="G56" s="8" t="s">
        <v>113</v>
      </c>
      <c r="H56" s="15">
        <f t="shared" ref="H56:M56" si="8">H8+H13+H18+H21+H34+H47+H50</f>
        <v>3212520</v>
      </c>
      <c r="I56" s="15">
        <f t="shared" si="8"/>
        <v>2959240</v>
      </c>
      <c r="J56" s="15">
        <f t="shared" si="8"/>
        <v>1588855</v>
      </c>
      <c r="K56" s="615">
        <f t="shared" si="8"/>
        <v>2287010</v>
      </c>
      <c r="L56" s="615">
        <f t="shared" si="8"/>
        <v>0</v>
      </c>
      <c r="M56" s="1064">
        <f t="shared" si="8"/>
        <v>2287010</v>
      </c>
      <c r="N56" s="676">
        <f t="shared" si="5"/>
        <v>77.283694462091617</v>
      </c>
    </row>
    <row r="57" spans="1:14" ht="12.95" customHeight="1">
      <c r="B57" s="12"/>
      <c r="C57" s="8"/>
      <c r="D57" s="8"/>
      <c r="E57" s="635"/>
      <c r="F57" s="662"/>
      <c r="G57" s="8" t="s">
        <v>94</v>
      </c>
      <c r="H57" s="11"/>
      <c r="I57" s="11"/>
      <c r="J57" s="11"/>
      <c r="K57" s="613"/>
      <c r="L57" s="613"/>
      <c r="M57" s="1074"/>
      <c r="N57" s="678"/>
    </row>
    <row r="58" spans="1:14" ht="12.95" customHeight="1">
      <c r="B58" s="12"/>
      <c r="C58" s="8"/>
      <c r="D58" s="8"/>
      <c r="E58" s="635"/>
      <c r="F58" s="662"/>
      <c r="G58" s="8" t="s">
        <v>95</v>
      </c>
      <c r="H58" s="11"/>
      <c r="I58" s="11"/>
      <c r="J58" s="11"/>
      <c r="K58" s="613"/>
      <c r="L58" s="613"/>
      <c r="M58" s="1074"/>
      <c r="N58" s="678"/>
    </row>
    <row r="59" spans="1:14" s="1" customFormat="1" ht="8.1" customHeight="1" thickBot="1">
      <c r="A59" s="608"/>
      <c r="B59" s="16"/>
      <c r="C59" s="17"/>
      <c r="D59" s="17"/>
      <c r="E59" s="637"/>
      <c r="F59" s="663"/>
      <c r="G59" s="17"/>
      <c r="H59" s="17"/>
      <c r="I59" s="17"/>
      <c r="J59" s="17"/>
      <c r="K59" s="17"/>
      <c r="L59" s="17"/>
      <c r="M59" s="1071"/>
      <c r="N59" s="679"/>
    </row>
    <row r="60" spans="1:14" s="1" customFormat="1" ht="15.95" customHeight="1">
      <c r="A60" s="608"/>
      <c r="B60" s="9"/>
      <c r="C60" s="9"/>
      <c r="D60" s="9"/>
      <c r="E60" s="638"/>
      <c r="F60" s="664"/>
      <c r="G60" s="9"/>
      <c r="H60" s="9"/>
      <c r="I60" s="9"/>
      <c r="J60" s="9"/>
      <c r="K60" s="611"/>
      <c r="L60" s="611"/>
      <c r="M60" s="1068"/>
      <c r="N60" s="680"/>
    </row>
    <row r="61" spans="1:14" s="1" customFormat="1" ht="15.95" customHeight="1">
      <c r="A61" s="608"/>
      <c r="B61" s="9"/>
      <c r="C61" s="9"/>
      <c r="D61" s="9"/>
      <c r="E61" s="638"/>
      <c r="F61" s="664"/>
      <c r="G61" s="9"/>
      <c r="H61" s="9"/>
      <c r="I61" s="9"/>
      <c r="J61" s="9"/>
      <c r="K61" s="611"/>
      <c r="L61" s="611"/>
      <c r="M61" s="1068"/>
      <c r="N61" s="680"/>
    </row>
    <row r="62" spans="1:14" s="1" customFormat="1" ht="12.95" customHeight="1">
      <c r="A62" s="608"/>
      <c r="B62" s="9"/>
      <c r="C62" s="9"/>
      <c r="D62" s="9"/>
      <c r="E62" s="638"/>
      <c r="F62" s="664"/>
      <c r="G62" s="9"/>
      <c r="H62" s="9"/>
      <c r="I62" s="9"/>
      <c r="J62" s="9"/>
      <c r="K62" s="611"/>
      <c r="L62" s="611"/>
      <c r="M62" s="1068"/>
      <c r="N62" s="680"/>
    </row>
    <row r="63" spans="1:14" ht="12.95" customHeight="1">
      <c r="E63" s="638"/>
      <c r="F63" s="664"/>
      <c r="M63" s="1068"/>
    </row>
    <row r="64" spans="1:14" ht="14.25">
      <c r="E64" s="638"/>
      <c r="F64" s="664"/>
      <c r="M64" s="1068"/>
    </row>
    <row r="65" spans="5:13" ht="14.25">
      <c r="E65" s="638"/>
      <c r="F65" s="664"/>
      <c r="M65" s="1068"/>
    </row>
    <row r="66" spans="5:13" ht="14.25">
      <c r="E66" s="638"/>
      <c r="F66" s="664"/>
      <c r="M66" s="1068"/>
    </row>
    <row r="67" spans="5:13" ht="14.25">
      <c r="E67" s="638"/>
      <c r="F67" s="664"/>
      <c r="M67" s="1068"/>
    </row>
    <row r="68" spans="5:13" ht="14.25">
      <c r="E68" s="638"/>
      <c r="F68" s="664"/>
      <c r="M68" s="1068"/>
    </row>
    <row r="69" spans="5:13" ht="14.25">
      <c r="E69" s="638"/>
      <c r="F69" s="664"/>
      <c r="M69" s="1068"/>
    </row>
    <row r="70" spans="5:13" ht="14.25">
      <c r="E70" s="638"/>
      <c r="F70" s="664"/>
      <c r="M70" s="1068"/>
    </row>
    <row r="71" spans="5:13" ht="14.25">
      <c r="E71" s="638"/>
      <c r="F71" s="664"/>
      <c r="M71" s="1068"/>
    </row>
    <row r="72" spans="5:13" ht="14.25">
      <c r="E72" s="638"/>
      <c r="F72" s="664"/>
      <c r="M72" s="1068"/>
    </row>
    <row r="73" spans="5:13" ht="14.25">
      <c r="E73" s="638"/>
      <c r="F73" s="664"/>
      <c r="M73" s="1068"/>
    </row>
    <row r="74" spans="5:13" ht="14.25">
      <c r="E74" s="638"/>
      <c r="F74" s="638"/>
      <c r="M74" s="1068"/>
    </row>
    <row r="75" spans="5:13" ht="14.25">
      <c r="E75" s="638"/>
      <c r="F75" s="638"/>
      <c r="M75" s="1068"/>
    </row>
    <row r="76" spans="5:13" ht="14.25">
      <c r="E76" s="638"/>
      <c r="F76" s="638"/>
      <c r="M76" s="1068"/>
    </row>
    <row r="77" spans="5:13" ht="14.25">
      <c r="E77" s="638"/>
      <c r="F77" s="638"/>
      <c r="M77" s="1068"/>
    </row>
    <row r="78" spans="5:13" ht="14.25">
      <c r="E78" s="638"/>
      <c r="F78" s="638"/>
      <c r="M78" s="1068"/>
    </row>
    <row r="79" spans="5:13" ht="14.25">
      <c r="E79" s="638"/>
      <c r="F79" s="638"/>
      <c r="M79" s="1068"/>
    </row>
    <row r="80" spans="5:13" ht="14.25">
      <c r="E80" s="638"/>
      <c r="F80" s="638"/>
      <c r="M80" s="1068"/>
    </row>
    <row r="81" spans="5:13" ht="14.25">
      <c r="E81" s="638"/>
      <c r="F81" s="638"/>
      <c r="M81" s="1068"/>
    </row>
    <row r="82" spans="5:13" ht="14.25">
      <c r="E82" s="638"/>
      <c r="F82" s="638"/>
      <c r="M82" s="1068"/>
    </row>
    <row r="83" spans="5:13" ht="14.25">
      <c r="E83" s="638"/>
      <c r="F83" s="638"/>
      <c r="M83" s="1068"/>
    </row>
    <row r="84" spans="5:13" ht="14.25">
      <c r="E84" s="638"/>
      <c r="F84" s="638"/>
      <c r="M84" s="1068"/>
    </row>
    <row r="85" spans="5:13" ht="14.25">
      <c r="E85" s="638"/>
      <c r="F85" s="638"/>
      <c r="M85" s="1068"/>
    </row>
    <row r="86" spans="5:13" ht="14.25">
      <c r="E86" s="638"/>
      <c r="F86" s="638"/>
      <c r="M86" s="1068"/>
    </row>
    <row r="87" spans="5:13" ht="14.25">
      <c r="E87" s="638"/>
      <c r="F87" s="638"/>
      <c r="M87" s="1068"/>
    </row>
    <row r="88" spans="5:13" ht="14.25">
      <c r="E88" s="638"/>
      <c r="F88" s="638"/>
      <c r="M88" s="1068"/>
    </row>
    <row r="89" spans="5:13" ht="14.25">
      <c r="E89" s="638"/>
      <c r="F89" s="638"/>
      <c r="M89" s="1068"/>
    </row>
    <row r="90" spans="5:13" ht="14.25">
      <c r="E90" s="638"/>
      <c r="F90" s="638"/>
      <c r="M90" s="1068"/>
    </row>
    <row r="91" spans="5:13">
      <c r="F91" s="638"/>
    </row>
    <row r="92" spans="5:13">
      <c r="F92" s="638"/>
    </row>
    <row r="93" spans="5:13">
      <c r="F93" s="638"/>
    </row>
    <row r="94" spans="5:13">
      <c r="F94" s="638"/>
    </row>
    <row r="95" spans="5:13">
      <c r="F95" s="638"/>
    </row>
    <row r="96" spans="5:13">
      <c r="F96" s="638"/>
    </row>
  </sheetData>
  <mergeCells count="13">
    <mergeCell ref="N4:N5"/>
    <mergeCell ref="G4:G5"/>
    <mergeCell ref="B2:M2"/>
    <mergeCell ref="G3:H3"/>
    <mergeCell ref="K4:M4"/>
    <mergeCell ref="B4:B5"/>
    <mergeCell ref="C4:C5"/>
    <mergeCell ref="D4:D5"/>
    <mergeCell ref="F4:F5"/>
    <mergeCell ref="E4:E5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Q96"/>
  <sheetViews>
    <sheetView zoomScaleNormal="100" workbookViewId="0">
      <selection activeCell="Q14" sqref="Q14"/>
    </sheetView>
  </sheetViews>
  <sheetFormatPr defaultRowHeight="12.75"/>
  <cols>
    <col min="1" max="1" width="9.140625" style="611"/>
    <col min="2" max="2" width="4.7109375" style="9" customWidth="1"/>
    <col min="3" max="3" width="5.140625" style="9" customWidth="1"/>
    <col min="4" max="4" width="5" style="9" customWidth="1"/>
    <col min="5" max="5" width="8.7109375" style="18" customWidth="1"/>
    <col min="6" max="6" width="8.7109375" style="616" customWidth="1"/>
    <col min="7" max="7" width="50.7109375" style="9" customWidth="1"/>
    <col min="8" max="10" width="14.7109375" style="9" customWidth="1"/>
    <col min="11" max="12" width="14.7109375" style="611" customWidth="1"/>
    <col min="13" max="13" width="15.7109375" style="9" customWidth="1"/>
    <col min="14" max="14" width="7.7109375" style="680" customWidth="1"/>
    <col min="15" max="16384" width="9.140625" style="9"/>
  </cols>
  <sheetData>
    <row r="1" spans="1:17" ht="13.5" thickBot="1"/>
    <row r="2" spans="1:17" s="1052" customFormat="1" ht="20.100000000000001" customHeight="1" thickTop="1" thickBot="1">
      <c r="B2" s="1261" t="s">
        <v>122</v>
      </c>
      <c r="C2" s="1262"/>
      <c r="D2" s="1262"/>
      <c r="E2" s="1262"/>
      <c r="F2" s="1262"/>
      <c r="G2" s="1262"/>
      <c r="H2" s="1262"/>
      <c r="I2" s="1262"/>
      <c r="J2" s="1262"/>
      <c r="K2" s="1262"/>
      <c r="L2" s="1262"/>
      <c r="M2" s="1262"/>
      <c r="N2" s="1056"/>
    </row>
    <row r="3" spans="1:17" s="1" customFormat="1" ht="8.1" customHeight="1" thickTop="1" thickBot="1">
      <c r="A3" s="608"/>
      <c r="E3" s="2"/>
      <c r="F3" s="609"/>
      <c r="G3" s="1264"/>
      <c r="H3" s="1264"/>
      <c r="I3" s="306"/>
      <c r="J3" s="306"/>
      <c r="K3" s="119"/>
      <c r="L3" s="119"/>
      <c r="M3" s="119"/>
      <c r="N3" s="674"/>
    </row>
    <row r="4" spans="1:17" s="1" customFormat="1" ht="39" customHeight="1">
      <c r="A4" s="608"/>
      <c r="B4" s="1268" t="s">
        <v>78</v>
      </c>
      <c r="C4" s="1280" t="s">
        <v>79</v>
      </c>
      <c r="D4" s="1281" t="s">
        <v>110</v>
      </c>
      <c r="E4" s="1282" t="s">
        <v>615</v>
      </c>
      <c r="F4" s="1273" t="s">
        <v>695</v>
      </c>
      <c r="G4" s="1274" t="s">
        <v>80</v>
      </c>
      <c r="H4" s="1283" t="s">
        <v>614</v>
      </c>
      <c r="I4" s="1284" t="s">
        <v>747</v>
      </c>
      <c r="J4" s="1283" t="s">
        <v>667</v>
      </c>
      <c r="K4" s="1265" t="s">
        <v>682</v>
      </c>
      <c r="L4" s="1266"/>
      <c r="M4" s="1267"/>
      <c r="N4" s="1278" t="s">
        <v>756</v>
      </c>
    </row>
    <row r="5" spans="1:17" s="608" customFormat="1" ht="27" customHeight="1">
      <c r="B5" s="1269"/>
      <c r="C5" s="1271"/>
      <c r="D5" s="1271"/>
      <c r="E5" s="1275"/>
      <c r="F5" s="1271"/>
      <c r="G5" s="1275"/>
      <c r="H5" s="1275"/>
      <c r="I5" s="1275"/>
      <c r="J5" s="1275"/>
      <c r="K5" s="1048" t="s">
        <v>753</v>
      </c>
      <c r="L5" s="1048" t="s">
        <v>754</v>
      </c>
      <c r="M5" s="1059" t="s">
        <v>426</v>
      </c>
      <c r="N5" s="1279"/>
    </row>
    <row r="6" spans="1:17" s="2" customFormat="1" ht="12.95" customHeight="1">
      <c r="A6" s="609"/>
      <c r="B6" s="1181">
        <v>1</v>
      </c>
      <c r="C6" s="661">
        <v>2</v>
      </c>
      <c r="D6" s="661">
        <v>3</v>
      </c>
      <c r="E6" s="661">
        <v>4</v>
      </c>
      <c r="F6" s="661">
        <v>5</v>
      </c>
      <c r="G6" s="661">
        <v>6</v>
      </c>
      <c r="H6" s="661">
        <v>7</v>
      </c>
      <c r="I6" s="661">
        <v>8</v>
      </c>
      <c r="J6" s="661">
        <v>9</v>
      </c>
      <c r="K6" s="661">
        <v>10</v>
      </c>
      <c r="L6" s="661">
        <v>11</v>
      </c>
      <c r="M6" s="1201" t="s">
        <v>755</v>
      </c>
      <c r="N6" s="1183">
        <v>13</v>
      </c>
    </row>
    <row r="7" spans="1:17" s="2" customFormat="1" ht="12.95" customHeight="1">
      <c r="A7" s="609"/>
      <c r="B7" s="6" t="s">
        <v>119</v>
      </c>
      <c r="C7" s="7" t="s">
        <v>81</v>
      </c>
      <c r="D7" s="7" t="s">
        <v>117</v>
      </c>
      <c r="E7" s="5"/>
      <c r="F7" s="610"/>
      <c r="G7" s="5"/>
      <c r="H7" s="5"/>
      <c r="I7" s="5"/>
      <c r="J7" s="5"/>
      <c r="K7" s="610"/>
      <c r="L7" s="610"/>
      <c r="M7" s="1060"/>
      <c r="N7" s="675"/>
    </row>
    <row r="8" spans="1:17" s="1" customFormat="1" ht="12.95" customHeight="1">
      <c r="A8" s="608"/>
      <c r="B8" s="12"/>
      <c r="C8" s="8"/>
      <c r="D8" s="8"/>
      <c r="E8" s="635">
        <v>611000</v>
      </c>
      <c r="F8" s="661"/>
      <c r="G8" s="8" t="s">
        <v>163</v>
      </c>
      <c r="H8" s="256">
        <f>SUM(H9:H12)</f>
        <v>55690</v>
      </c>
      <c r="I8" s="712">
        <v>24370</v>
      </c>
      <c r="J8" s="349">
        <v>15474</v>
      </c>
      <c r="K8" s="256">
        <f>SUM(K9:K12)</f>
        <v>54300</v>
      </c>
      <c r="L8" s="256">
        <f>SUM(L9:L12)</f>
        <v>0</v>
      </c>
      <c r="M8" s="1061">
        <f>SUM(M9:M12)</f>
        <v>54300</v>
      </c>
      <c r="N8" s="676">
        <f>IF(I8=0,"",M8/I8*100)</f>
        <v>222.81493639720966</v>
      </c>
    </row>
    <row r="9" spans="1:17" ht="12.95" customHeight="1">
      <c r="B9" s="10"/>
      <c r="C9" s="11"/>
      <c r="D9" s="11"/>
      <c r="E9" s="636">
        <v>611100</v>
      </c>
      <c r="F9" s="662"/>
      <c r="G9" s="20" t="s">
        <v>204</v>
      </c>
      <c r="H9" s="255">
        <f>16760+300+18940+9100+510+840</f>
        <v>46450</v>
      </c>
      <c r="I9" s="711">
        <v>19600</v>
      </c>
      <c r="J9" s="348">
        <v>12734</v>
      </c>
      <c r="K9" s="255">
        <f>17550+200+25500</f>
        <v>43250</v>
      </c>
      <c r="L9" s="255">
        <v>0</v>
      </c>
      <c r="M9" s="1062">
        <f>SUM(K9:L9)</f>
        <v>43250</v>
      </c>
      <c r="N9" s="677">
        <f>IF(I9=0,"",M9/I9*100)</f>
        <v>220.66326530612247</v>
      </c>
    </row>
    <row r="10" spans="1:17" ht="12.95" customHeight="1">
      <c r="B10" s="10"/>
      <c r="C10" s="11"/>
      <c r="D10" s="11"/>
      <c r="E10" s="636">
        <v>611200</v>
      </c>
      <c r="F10" s="662"/>
      <c r="G10" s="11" t="s">
        <v>205</v>
      </c>
      <c r="H10" s="255">
        <f>3640+200+2*2700</f>
        <v>9240</v>
      </c>
      <c r="I10" s="711">
        <v>4770</v>
      </c>
      <c r="J10" s="348">
        <v>2740</v>
      </c>
      <c r="K10" s="255">
        <f>3650+7400</f>
        <v>11050</v>
      </c>
      <c r="L10" s="255">
        <v>0</v>
      </c>
      <c r="M10" s="1062">
        <f t="shared" ref="M10:M11" si="0">SUM(K10:L10)</f>
        <v>11050</v>
      </c>
      <c r="N10" s="677">
        <f t="shared" ref="N10:N33" si="1">IF(I10=0,"",M10/I10*100)</f>
        <v>231.65618448637315</v>
      </c>
    </row>
    <row r="11" spans="1:17" ht="12.95" customHeight="1">
      <c r="B11" s="10"/>
      <c r="C11" s="11"/>
      <c r="D11" s="11"/>
      <c r="E11" s="636">
        <v>611200</v>
      </c>
      <c r="F11" s="662"/>
      <c r="G11" s="229" t="s">
        <v>547</v>
      </c>
      <c r="H11" s="255">
        <v>0</v>
      </c>
      <c r="I11" s="711">
        <v>0</v>
      </c>
      <c r="J11" s="348">
        <v>0</v>
      </c>
      <c r="K11" s="255">
        <v>0</v>
      </c>
      <c r="L11" s="255">
        <v>0</v>
      </c>
      <c r="M11" s="1062">
        <f t="shared" si="0"/>
        <v>0</v>
      </c>
      <c r="N11" s="677" t="str">
        <f t="shared" si="1"/>
        <v/>
      </c>
      <c r="P11" s="63"/>
    </row>
    <row r="12" spans="1:17" ht="8.1" customHeight="1">
      <c r="B12" s="10"/>
      <c r="C12" s="11"/>
      <c r="D12" s="11"/>
      <c r="E12" s="636"/>
      <c r="F12" s="662"/>
      <c r="G12" s="20"/>
      <c r="H12" s="255"/>
      <c r="I12" s="711"/>
      <c r="J12" s="348"/>
      <c r="K12" s="255"/>
      <c r="L12" s="255"/>
      <c r="M12" s="1062"/>
      <c r="N12" s="677" t="str">
        <f t="shared" si="1"/>
        <v/>
      </c>
    </row>
    <row r="13" spans="1:17" s="1" customFormat="1" ht="12.95" customHeight="1">
      <c r="A13" s="608"/>
      <c r="B13" s="12"/>
      <c r="C13" s="8"/>
      <c r="D13" s="8"/>
      <c r="E13" s="635">
        <v>612000</v>
      </c>
      <c r="F13" s="661"/>
      <c r="G13" s="8" t="s">
        <v>162</v>
      </c>
      <c r="H13" s="256">
        <f>H14</f>
        <v>6350</v>
      </c>
      <c r="I13" s="712">
        <v>2160</v>
      </c>
      <c r="J13" s="349">
        <v>1358</v>
      </c>
      <c r="K13" s="256">
        <f>K14</f>
        <v>4800</v>
      </c>
      <c r="L13" s="256">
        <f>L14</f>
        <v>0</v>
      </c>
      <c r="M13" s="1061">
        <f>M14</f>
        <v>4800</v>
      </c>
      <c r="N13" s="676">
        <f t="shared" si="1"/>
        <v>222.22222222222223</v>
      </c>
      <c r="Q13" s="69"/>
    </row>
    <row r="14" spans="1:17" ht="12.95" customHeight="1">
      <c r="B14" s="10"/>
      <c r="C14" s="11"/>
      <c r="D14" s="11"/>
      <c r="E14" s="636">
        <v>612100</v>
      </c>
      <c r="F14" s="662"/>
      <c r="G14" s="13" t="s">
        <v>83</v>
      </c>
      <c r="H14" s="255">
        <f>3020+100+2080+1000+60+90</f>
        <v>6350</v>
      </c>
      <c r="I14" s="711">
        <v>2160</v>
      </c>
      <c r="J14" s="348">
        <v>1358</v>
      </c>
      <c r="K14" s="255">
        <f>1900+100+2800</f>
        <v>4800</v>
      </c>
      <c r="L14" s="255">
        <v>0</v>
      </c>
      <c r="M14" s="1062">
        <f>SUM(K14:L14)</f>
        <v>4800</v>
      </c>
      <c r="N14" s="677">
        <f t="shared" si="1"/>
        <v>222.22222222222223</v>
      </c>
      <c r="Q14" s="56"/>
    </row>
    <row r="15" spans="1:17" ht="8.1" customHeight="1">
      <c r="B15" s="10"/>
      <c r="C15" s="11"/>
      <c r="D15" s="11"/>
      <c r="E15" s="636"/>
      <c r="F15" s="662"/>
      <c r="G15" s="11"/>
      <c r="H15" s="30"/>
      <c r="I15" s="708"/>
      <c r="J15" s="344"/>
      <c r="K15" s="593"/>
      <c r="L15" s="593"/>
      <c r="M15" s="1063"/>
      <c r="N15" s="677" t="str">
        <f t="shared" si="1"/>
        <v/>
      </c>
    </row>
    <row r="16" spans="1:17" s="1" customFormat="1" ht="12.95" customHeight="1">
      <c r="A16" s="608"/>
      <c r="B16" s="12"/>
      <c r="C16" s="8"/>
      <c r="D16" s="8"/>
      <c r="E16" s="635">
        <v>613000</v>
      </c>
      <c r="F16" s="661"/>
      <c r="G16" s="8" t="s">
        <v>164</v>
      </c>
      <c r="H16" s="35">
        <f>SUM(H17:H26)</f>
        <v>4000</v>
      </c>
      <c r="I16" s="709">
        <v>4350</v>
      </c>
      <c r="J16" s="345">
        <v>3237</v>
      </c>
      <c r="K16" s="620">
        <f>SUM(K17:K26)</f>
        <v>4600</v>
      </c>
      <c r="L16" s="620">
        <f>SUM(L17:L26)</f>
        <v>0</v>
      </c>
      <c r="M16" s="1064">
        <f>SUM(M17:M26)</f>
        <v>4600</v>
      </c>
      <c r="N16" s="676">
        <f t="shared" si="1"/>
        <v>105.74712643678161</v>
      </c>
    </row>
    <row r="17" spans="1:15" ht="12.95" customHeight="1">
      <c r="B17" s="10"/>
      <c r="C17" s="11"/>
      <c r="D17" s="11"/>
      <c r="E17" s="636">
        <v>613100</v>
      </c>
      <c r="F17" s="662"/>
      <c r="G17" s="11" t="s">
        <v>84</v>
      </c>
      <c r="H17" s="30">
        <v>500</v>
      </c>
      <c r="I17" s="708">
        <v>500</v>
      </c>
      <c r="J17" s="344">
        <v>278</v>
      </c>
      <c r="K17" s="962">
        <v>1500</v>
      </c>
      <c r="L17" s="962">
        <v>0</v>
      </c>
      <c r="M17" s="1062">
        <f t="shared" ref="M17:M26" si="2">SUM(K17:L17)</f>
        <v>1500</v>
      </c>
      <c r="N17" s="677">
        <f t="shared" si="1"/>
        <v>300</v>
      </c>
    </row>
    <row r="18" spans="1:15" ht="12.95" customHeight="1">
      <c r="B18" s="10"/>
      <c r="C18" s="11"/>
      <c r="D18" s="11"/>
      <c r="E18" s="636">
        <v>613200</v>
      </c>
      <c r="F18" s="662"/>
      <c r="G18" s="11" t="s">
        <v>85</v>
      </c>
      <c r="H18" s="30">
        <v>0</v>
      </c>
      <c r="I18" s="708">
        <v>0</v>
      </c>
      <c r="J18" s="344">
        <v>0</v>
      </c>
      <c r="K18" s="962">
        <v>0</v>
      </c>
      <c r="L18" s="962">
        <v>0</v>
      </c>
      <c r="M18" s="1062">
        <f t="shared" si="2"/>
        <v>0</v>
      </c>
      <c r="N18" s="677" t="str">
        <f t="shared" si="1"/>
        <v/>
      </c>
    </row>
    <row r="19" spans="1:15" ht="12.95" customHeight="1">
      <c r="B19" s="10"/>
      <c r="C19" s="11"/>
      <c r="D19" s="11"/>
      <c r="E19" s="636">
        <v>613300</v>
      </c>
      <c r="F19" s="662"/>
      <c r="G19" s="20" t="s">
        <v>206</v>
      </c>
      <c r="H19" s="30">
        <v>1100</v>
      </c>
      <c r="I19" s="708">
        <v>1100</v>
      </c>
      <c r="J19" s="344">
        <v>610</v>
      </c>
      <c r="K19" s="962">
        <v>1700</v>
      </c>
      <c r="L19" s="962">
        <v>0</v>
      </c>
      <c r="M19" s="1062">
        <f t="shared" si="2"/>
        <v>1700</v>
      </c>
      <c r="N19" s="677">
        <f t="shared" si="1"/>
        <v>154.54545454545453</v>
      </c>
    </row>
    <row r="20" spans="1:15" ht="12.95" customHeight="1">
      <c r="B20" s="10"/>
      <c r="C20" s="11"/>
      <c r="D20" s="11"/>
      <c r="E20" s="636">
        <v>613400</v>
      </c>
      <c r="F20" s="662"/>
      <c r="G20" s="11" t="s">
        <v>165</v>
      </c>
      <c r="H20" s="30">
        <v>0</v>
      </c>
      <c r="I20" s="708">
        <v>0</v>
      </c>
      <c r="J20" s="344">
        <v>0</v>
      </c>
      <c r="K20" s="962">
        <v>0</v>
      </c>
      <c r="L20" s="962">
        <v>0</v>
      </c>
      <c r="M20" s="1062">
        <f t="shared" si="2"/>
        <v>0</v>
      </c>
      <c r="N20" s="677" t="str">
        <f t="shared" si="1"/>
        <v/>
      </c>
    </row>
    <row r="21" spans="1:15" ht="12.95" customHeight="1">
      <c r="B21" s="10"/>
      <c r="C21" s="11"/>
      <c r="D21" s="11"/>
      <c r="E21" s="636">
        <v>613500</v>
      </c>
      <c r="F21" s="662"/>
      <c r="G21" s="11" t="s">
        <v>86</v>
      </c>
      <c r="H21" s="30">
        <v>0</v>
      </c>
      <c r="I21" s="708">
        <v>0</v>
      </c>
      <c r="J21" s="344">
        <v>0</v>
      </c>
      <c r="K21" s="962">
        <v>0</v>
      </c>
      <c r="L21" s="962">
        <v>0</v>
      </c>
      <c r="M21" s="1062">
        <f t="shared" si="2"/>
        <v>0</v>
      </c>
      <c r="N21" s="677" t="str">
        <f t="shared" si="1"/>
        <v/>
      </c>
    </row>
    <row r="22" spans="1:15" ht="12.95" customHeight="1">
      <c r="B22" s="10"/>
      <c r="C22" s="11"/>
      <c r="D22" s="11"/>
      <c r="E22" s="636">
        <v>613600</v>
      </c>
      <c r="F22" s="662"/>
      <c r="G22" s="20" t="s">
        <v>207</v>
      </c>
      <c r="H22" s="30">
        <v>0</v>
      </c>
      <c r="I22" s="708">
        <v>0</v>
      </c>
      <c r="J22" s="344">
        <v>0</v>
      </c>
      <c r="K22" s="962">
        <v>0</v>
      </c>
      <c r="L22" s="962">
        <v>0</v>
      </c>
      <c r="M22" s="1062">
        <f t="shared" si="2"/>
        <v>0</v>
      </c>
      <c r="N22" s="677" t="str">
        <f t="shared" si="1"/>
        <v/>
      </c>
    </row>
    <row r="23" spans="1:15" ht="12.95" customHeight="1">
      <c r="B23" s="10"/>
      <c r="C23" s="11"/>
      <c r="D23" s="11"/>
      <c r="E23" s="636">
        <v>613700</v>
      </c>
      <c r="F23" s="662"/>
      <c r="G23" s="11" t="s">
        <v>87</v>
      </c>
      <c r="H23" s="30">
        <v>400</v>
      </c>
      <c r="I23" s="708">
        <v>0</v>
      </c>
      <c r="J23" s="344">
        <v>0</v>
      </c>
      <c r="K23" s="962">
        <v>400</v>
      </c>
      <c r="L23" s="962">
        <v>0</v>
      </c>
      <c r="M23" s="1062">
        <f t="shared" si="2"/>
        <v>400</v>
      </c>
      <c r="N23" s="677" t="str">
        <f t="shared" si="1"/>
        <v/>
      </c>
    </row>
    <row r="24" spans="1:15" ht="12.95" customHeight="1">
      <c r="B24" s="10"/>
      <c r="C24" s="11"/>
      <c r="D24" s="11"/>
      <c r="E24" s="636">
        <v>613800</v>
      </c>
      <c r="F24" s="662"/>
      <c r="G24" s="11" t="s">
        <v>166</v>
      </c>
      <c r="H24" s="30">
        <v>0</v>
      </c>
      <c r="I24" s="708">
        <v>0</v>
      </c>
      <c r="J24" s="344">
        <v>0</v>
      </c>
      <c r="K24" s="962">
        <v>0</v>
      </c>
      <c r="L24" s="962">
        <v>0</v>
      </c>
      <c r="M24" s="1062">
        <f t="shared" si="2"/>
        <v>0</v>
      </c>
      <c r="N24" s="677" t="str">
        <f t="shared" si="1"/>
        <v/>
      </c>
      <c r="O24" s="56"/>
    </row>
    <row r="25" spans="1:15" ht="12.95" customHeight="1">
      <c r="B25" s="10"/>
      <c r="C25" s="11"/>
      <c r="D25" s="11"/>
      <c r="E25" s="636">
        <v>613900</v>
      </c>
      <c r="F25" s="662"/>
      <c r="G25" s="11" t="s">
        <v>167</v>
      </c>
      <c r="H25" s="57">
        <v>2000</v>
      </c>
      <c r="I25" s="710">
        <v>2750</v>
      </c>
      <c r="J25" s="346">
        <v>2349</v>
      </c>
      <c r="K25" s="982">
        <v>1000</v>
      </c>
      <c r="L25" s="982">
        <v>0</v>
      </c>
      <c r="M25" s="1062">
        <f t="shared" si="2"/>
        <v>1000</v>
      </c>
      <c r="N25" s="677">
        <f t="shared" si="1"/>
        <v>36.363636363636367</v>
      </c>
    </row>
    <row r="26" spans="1:15" ht="12.95" customHeight="1">
      <c r="B26" s="10"/>
      <c r="C26" s="11"/>
      <c r="D26" s="11"/>
      <c r="E26" s="636">
        <v>613900</v>
      </c>
      <c r="F26" s="662"/>
      <c r="G26" s="229" t="s">
        <v>548</v>
      </c>
      <c r="H26" s="30">
        <v>0</v>
      </c>
      <c r="I26" s="708">
        <v>0</v>
      </c>
      <c r="J26" s="344">
        <v>0</v>
      </c>
      <c r="K26" s="962">
        <v>0</v>
      </c>
      <c r="L26" s="962">
        <v>0</v>
      </c>
      <c r="M26" s="1062">
        <f t="shared" si="2"/>
        <v>0</v>
      </c>
      <c r="N26" s="677" t="str">
        <f t="shared" si="1"/>
        <v/>
      </c>
    </row>
    <row r="27" spans="1:15" ht="8.1" customHeight="1">
      <c r="B27" s="10"/>
      <c r="C27" s="11"/>
      <c r="D27" s="11"/>
      <c r="E27" s="636"/>
      <c r="F27" s="662"/>
      <c r="G27" s="11"/>
      <c r="H27" s="15"/>
      <c r="I27" s="707"/>
      <c r="J27" s="343"/>
      <c r="K27" s="615"/>
      <c r="L27" s="615"/>
      <c r="M27" s="1064"/>
      <c r="N27" s="677" t="str">
        <f t="shared" si="1"/>
        <v/>
      </c>
    </row>
    <row r="28" spans="1:15" s="1" customFormat="1" ht="12.95" customHeight="1">
      <c r="A28" s="608"/>
      <c r="B28" s="12"/>
      <c r="C28" s="8"/>
      <c r="D28" s="8"/>
      <c r="E28" s="646">
        <v>614000</v>
      </c>
      <c r="F28" s="673"/>
      <c r="G28" s="8" t="s">
        <v>208</v>
      </c>
      <c r="H28" s="15">
        <f>H29</f>
        <v>20000</v>
      </c>
      <c r="I28" s="707">
        <v>20000</v>
      </c>
      <c r="J28" s="343">
        <v>0</v>
      </c>
      <c r="K28" s="615">
        <f>K29</f>
        <v>20000</v>
      </c>
      <c r="L28" s="615">
        <f>L29</f>
        <v>0</v>
      </c>
      <c r="M28" s="1064">
        <f>M29</f>
        <v>20000</v>
      </c>
      <c r="N28" s="676">
        <f t="shared" si="1"/>
        <v>100</v>
      </c>
    </row>
    <row r="29" spans="1:15" ht="12.95" customHeight="1">
      <c r="B29" s="10"/>
      <c r="C29" s="11"/>
      <c r="D29" s="24"/>
      <c r="E29" s="684">
        <v>614200</v>
      </c>
      <c r="F29" s="670" t="s">
        <v>709</v>
      </c>
      <c r="G29" s="42" t="s">
        <v>99</v>
      </c>
      <c r="H29" s="57">
        <v>20000</v>
      </c>
      <c r="I29" s="710">
        <v>20000</v>
      </c>
      <c r="J29" s="346">
        <v>0</v>
      </c>
      <c r="K29" s="595">
        <v>20000</v>
      </c>
      <c r="L29" s="595"/>
      <c r="M29" s="1062">
        <f>SUM(K29:L29)</f>
        <v>20000</v>
      </c>
      <c r="N29" s="677">
        <f t="shared" si="1"/>
        <v>100</v>
      </c>
    </row>
    <row r="30" spans="1:15" ht="8.1" customHeight="1">
      <c r="B30" s="10"/>
      <c r="C30" s="11"/>
      <c r="D30" s="11"/>
      <c r="E30" s="644"/>
      <c r="F30" s="669"/>
      <c r="G30" s="11"/>
      <c r="H30" s="30"/>
      <c r="I30" s="708"/>
      <c r="J30" s="344"/>
      <c r="K30" s="593"/>
      <c r="L30" s="593"/>
      <c r="M30" s="1063"/>
      <c r="N30" s="677" t="str">
        <f t="shared" si="1"/>
        <v/>
      </c>
    </row>
    <row r="31" spans="1:15" s="1" customFormat="1" ht="12.95" customHeight="1">
      <c r="A31" s="608"/>
      <c r="B31" s="12"/>
      <c r="C31" s="8"/>
      <c r="D31" s="8"/>
      <c r="E31" s="635">
        <v>821000</v>
      </c>
      <c r="F31" s="661"/>
      <c r="G31" s="8" t="s">
        <v>90</v>
      </c>
      <c r="H31" s="15">
        <f>SUM(H32:H33)</f>
        <v>1000</v>
      </c>
      <c r="I31" s="707">
        <v>0</v>
      </c>
      <c r="J31" s="343">
        <v>0</v>
      </c>
      <c r="K31" s="615">
        <f>SUM(K32:K33)</f>
        <v>1000</v>
      </c>
      <c r="L31" s="615">
        <f>SUM(L32:L33)</f>
        <v>0</v>
      </c>
      <c r="M31" s="1064">
        <f>SUM(M32:M33)</f>
        <v>1000</v>
      </c>
      <c r="N31" s="676" t="str">
        <f t="shared" si="1"/>
        <v/>
      </c>
    </row>
    <row r="32" spans="1:15" ht="12.95" customHeight="1">
      <c r="B32" s="10"/>
      <c r="C32" s="11"/>
      <c r="D32" s="11"/>
      <c r="E32" s="636">
        <v>821200</v>
      </c>
      <c r="F32" s="662"/>
      <c r="G32" s="11" t="s">
        <v>91</v>
      </c>
      <c r="H32" s="57">
        <v>0</v>
      </c>
      <c r="I32" s="710">
        <v>0</v>
      </c>
      <c r="J32" s="346">
        <v>0</v>
      </c>
      <c r="K32" s="595">
        <v>0</v>
      </c>
      <c r="L32" s="595">
        <v>0</v>
      </c>
      <c r="M32" s="1062">
        <f t="shared" ref="M32:M33" si="3">SUM(K32:L32)</f>
        <v>0</v>
      </c>
      <c r="N32" s="677" t="str">
        <f t="shared" si="1"/>
        <v/>
      </c>
    </row>
    <row r="33" spans="1:14" ht="12.95" customHeight="1">
      <c r="B33" s="10"/>
      <c r="C33" s="11"/>
      <c r="D33" s="11"/>
      <c r="E33" s="636">
        <v>821300</v>
      </c>
      <c r="F33" s="662"/>
      <c r="G33" s="11" t="s">
        <v>92</v>
      </c>
      <c r="H33" s="30">
        <v>1000</v>
      </c>
      <c r="I33" s="708">
        <v>0</v>
      </c>
      <c r="J33" s="344">
        <v>0</v>
      </c>
      <c r="K33" s="593">
        <v>1000</v>
      </c>
      <c r="L33" s="593">
        <v>0</v>
      </c>
      <c r="M33" s="1062">
        <f t="shared" si="3"/>
        <v>1000</v>
      </c>
      <c r="N33" s="677" t="str">
        <f t="shared" si="1"/>
        <v/>
      </c>
    </row>
    <row r="34" spans="1:14" ht="8.1" customHeight="1">
      <c r="B34" s="10"/>
      <c r="C34" s="11"/>
      <c r="D34" s="11"/>
      <c r="E34" s="636"/>
      <c r="F34" s="662"/>
      <c r="G34" s="11"/>
      <c r="H34" s="30"/>
      <c r="I34" s="30"/>
      <c r="J34" s="344"/>
      <c r="K34" s="593"/>
      <c r="L34" s="593"/>
      <c r="M34" s="1063"/>
      <c r="N34" s="677" t="str">
        <f>IF(I34=0,"",M34/I34*100)</f>
        <v/>
      </c>
    </row>
    <row r="35" spans="1:14" s="1" customFormat="1" ht="12.95" customHeight="1">
      <c r="A35" s="608"/>
      <c r="B35" s="12"/>
      <c r="C35" s="8"/>
      <c r="D35" s="8"/>
      <c r="E35" s="635"/>
      <c r="F35" s="661"/>
      <c r="G35" s="8" t="s">
        <v>93</v>
      </c>
      <c r="H35" s="79">
        <v>3</v>
      </c>
      <c r="I35" s="79">
        <v>2</v>
      </c>
      <c r="J35" s="347">
        <v>1</v>
      </c>
      <c r="K35" s="622">
        <v>2</v>
      </c>
      <c r="L35" s="622"/>
      <c r="M35" s="1064">
        <v>2</v>
      </c>
      <c r="N35" s="677"/>
    </row>
    <row r="36" spans="1:14" s="1" customFormat="1" ht="12.95" customHeight="1">
      <c r="A36" s="608"/>
      <c r="B36" s="12"/>
      <c r="C36" s="8"/>
      <c r="D36" s="8"/>
      <c r="E36" s="635"/>
      <c r="F36" s="661"/>
      <c r="G36" s="8" t="s">
        <v>113</v>
      </c>
      <c r="H36" s="15">
        <f>H31+H28+H16+H13+H8</f>
        <v>87040</v>
      </c>
      <c r="I36" s="15">
        <f>I31+I28+I16+I13+I8</f>
        <v>50880</v>
      </c>
      <c r="J36" s="15">
        <f t="shared" ref="J36" si="4">J31+J28+J16+J13+J8</f>
        <v>20069</v>
      </c>
      <c r="K36" s="615">
        <f>K31+K28+K16+K13+K8</f>
        <v>84700</v>
      </c>
      <c r="L36" s="615">
        <f>L31+L28+L16+L13+L8</f>
        <v>0</v>
      </c>
      <c r="M36" s="1064">
        <f>M31+M28+M16+M13+M8</f>
        <v>84700</v>
      </c>
      <c r="N36" s="676">
        <f>IF(I36=0,"",M36/I36*100)</f>
        <v>166.47012578616352</v>
      </c>
    </row>
    <row r="37" spans="1:14" s="1" customFormat="1" ht="12.95" customHeight="1">
      <c r="A37" s="608"/>
      <c r="B37" s="12"/>
      <c r="C37" s="8"/>
      <c r="D37" s="8"/>
      <c r="E37" s="635"/>
      <c r="F37" s="661"/>
      <c r="G37" s="8" t="s">
        <v>94</v>
      </c>
      <c r="H37" s="15"/>
      <c r="I37" s="15"/>
      <c r="J37" s="15"/>
      <c r="K37" s="615"/>
      <c r="L37" s="615"/>
      <c r="M37" s="1064"/>
      <c r="N37" s="683"/>
    </row>
    <row r="38" spans="1:14" s="1" customFormat="1" ht="12.95" customHeight="1">
      <c r="A38" s="608"/>
      <c r="B38" s="12"/>
      <c r="C38" s="8"/>
      <c r="D38" s="8"/>
      <c r="E38" s="635"/>
      <c r="F38" s="661"/>
      <c r="G38" s="8" t="s">
        <v>95</v>
      </c>
      <c r="H38" s="30"/>
      <c r="I38" s="30"/>
      <c r="J38" s="30"/>
      <c r="K38" s="593"/>
      <c r="L38" s="593"/>
      <c r="M38" s="1063"/>
      <c r="N38" s="678"/>
    </row>
    <row r="39" spans="1:14" ht="8.1" customHeight="1" thickBot="1">
      <c r="B39" s="16"/>
      <c r="C39" s="17"/>
      <c r="D39" s="17"/>
      <c r="E39" s="637"/>
      <c r="F39" s="663"/>
      <c r="G39" s="17"/>
      <c r="H39" s="17"/>
      <c r="I39" s="17"/>
      <c r="J39" s="17"/>
      <c r="K39" s="17"/>
      <c r="L39" s="17"/>
      <c r="M39" s="1071"/>
      <c r="N39" s="679"/>
    </row>
    <row r="40" spans="1:14" ht="12.95" customHeight="1">
      <c r="E40" s="638"/>
      <c r="F40" s="664"/>
      <c r="M40" s="1068"/>
    </row>
    <row r="41" spans="1:14" ht="12.95" customHeight="1">
      <c r="B41" s="56"/>
      <c r="E41" s="638"/>
      <c r="F41" s="664"/>
      <c r="M41" s="1068"/>
    </row>
    <row r="42" spans="1:14" ht="12.95" customHeight="1">
      <c r="E42" s="638"/>
      <c r="F42" s="664"/>
      <c r="M42" s="1068"/>
    </row>
    <row r="43" spans="1:14" ht="12.95" customHeight="1">
      <c r="E43" s="638"/>
      <c r="F43" s="664"/>
      <c r="M43" s="1068"/>
    </row>
    <row r="44" spans="1:14" ht="12.95" customHeight="1">
      <c r="E44" s="638"/>
      <c r="F44" s="664"/>
      <c r="M44" s="1068"/>
    </row>
    <row r="45" spans="1:14" ht="12.95" customHeight="1">
      <c r="E45" s="638"/>
      <c r="F45" s="664"/>
      <c r="M45" s="1068"/>
    </row>
    <row r="46" spans="1:14" ht="12.95" customHeight="1">
      <c r="E46" s="638"/>
      <c r="F46" s="664"/>
      <c r="M46" s="1068"/>
    </row>
    <row r="47" spans="1:14" ht="12.95" customHeight="1">
      <c r="E47" s="638"/>
      <c r="F47" s="664"/>
      <c r="M47" s="1068"/>
    </row>
    <row r="48" spans="1:14" ht="12.95" customHeight="1">
      <c r="E48" s="638"/>
      <c r="F48" s="664"/>
      <c r="M48" s="1068"/>
    </row>
    <row r="49" spans="5:13" ht="12.95" customHeight="1">
      <c r="E49" s="638"/>
      <c r="F49" s="664"/>
      <c r="M49" s="1068"/>
    </row>
    <row r="50" spans="5:13" ht="12.95" customHeight="1">
      <c r="E50" s="638"/>
      <c r="F50" s="664"/>
      <c r="M50" s="1068"/>
    </row>
    <row r="51" spans="5:13" ht="12.95" customHeight="1">
      <c r="E51" s="638"/>
      <c r="F51" s="664"/>
      <c r="M51" s="1068"/>
    </row>
    <row r="52" spans="5:13" ht="12.95" customHeight="1">
      <c r="E52" s="638"/>
      <c r="F52" s="664"/>
      <c r="M52" s="1068"/>
    </row>
    <row r="53" spans="5:13" ht="12.95" customHeight="1">
      <c r="E53" s="638"/>
      <c r="F53" s="664"/>
      <c r="M53" s="1068"/>
    </row>
    <row r="54" spans="5:13" ht="12.95" customHeight="1">
      <c r="E54" s="638"/>
      <c r="F54" s="664"/>
      <c r="M54" s="1068"/>
    </row>
    <row r="55" spans="5:13" ht="12.95" customHeight="1">
      <c r="E55" s="638"/>
      <c r="F55" s="664"/>
      <c r="M55" s="1068"/>
    </row>
    <row r="56" spans="5:13" ht="12.95" customHeight="1">
      <c r="E56" s="638"/>
      <c r="F56" s="664"/>
      <c r="M56" s="1068"/>
    </row>
    <row r="57" spans="5:13" ht="12.95" customHeight="1">
      <c r="E57" s="638"/>
      <c r="F57" s="664"/>
      <c r="M57" s="1068"/>
    </row>
    <row r="58" spans="5:13" ht="12.95" customHeight="1">
      <c r="E58" s="638"/>
      <c r="F58" s="664"/>
      <c r="M58" s="1068"/>
    </row>
    <row r="59" spans="5:13" ht="12.95" customHeight="1">
      <c r="E59" s="638"/>
      <c r="F59" s="664"/>
      <c r="M59" s="1068"/>
    </row>
    <row r="60" spans="5:13" ht="17.100000000000001" customHeight="1">
      <c r="E60" s="638"/>
      <c r="F60" s="664"/>
      <c r="M60" s="1068"/>
    </row>
    <row r="61" spans="5:13" ht="14.25">
      <c r="E61" s="638"/>
      <c r="F61" s="664"/>
      <c r="M61" s="1068"/>
    </row>
    <row r="62" spans="5:13" ht="14.25">
      <c r="E62" s="638"/>
      <c r="F62" s="664"/>
      <c r="M62" s="1068"/>
    </row>
    <row r="63" spans="5:13" ht="14.25">
      <c r="E63" s="638"/>
      <c r="F63" s="664"/>
      <c r="M63" s="1068"/>
    </row>
    <row r="64" spans="5:13" ht="14.25">
      <c r="E64" s="638"/>
      <c r="F64" s="664"/>
      <c r="M64" s="1068"/>
    </row>
    <row r="65" spans="5:13" ht="14.25">
      <c r="E65" s="638"/>
      <c r="F65" s="664"/>
      <c r="M65" s="1068"/>
    </row>
    <row r="66" spans="5:13" ht="14.25">
      <c r="E66" s="638"/>
      <c r="F66" s="664"/>
      <c r="M66" s="1068"/>
    </row>
    <row r="67" spans="5:13" ht="14.25">
      <c r="E67" s="638"/>
      <c r="F67" s="664"/>
      <c r="M67" s="1068"/>
    </row>
    <row r="68" spans="5:13" ht="14.25">
      <c r="E68" s="638"/>
      <c r="F68" s="664"/>
      <c r="M68" s="1068"/>
    </row>
    <row r="69" spans="5:13" ht="14.25">
      <c r="E69" s="638"/>
      <c r="F69" s="664"/>
      <c r="M69" s="1068"/>
    </row>
    <row r="70" spans="5:13" ht="14.25">
      <c r="E70" s="638"/>
      <c r="F70" s="664"/>
      <c r="M70" s="1068"/>
    </row>
    <row r="71" spans="5:13" ht="14.25">
      <c r="E71" s="638"/>
      <c r="F71" s="664"/>
      <c r="M71" s="1068"/>
    </row>
    <row r="72" spans="5:13" ht="14.25">
      <c r="E72" s="638"/>
      <c r="F72" s="664"/>
      <c r="M72" s="1068"/>
    </row>
    <row r="73" spans="5:13" ht="14.25">
      <c r="E73" s="638"/>
      <c r="F73" s="664"/>
      <c r="M73" s="1068"/>
    </row>
    <row r="74" spans="5:13" ht="14.25">
      <c r="E74" s="638"/>
      <c r="F74" s="638"/>
      <c r="M74" s="1068"/>
    </row>
    <row r="75" spans="5:13" ht="14.25">
      <c r="E75" s="638"/>
      <c r="F75" s="638"/>
      <c r="M75" s="1068"/>
    </row>
    <row r="76" spans="5:13" ht="14.25">
      <c r="E76" s="638"/>
      <c r="F76" s="638"/>
      <c r="M76" s="1068"/>
    </row>
    <row r="77" spans="5:13" ht="14.25">
      <c r="E77" s="638"/>
      <c r="F77" s="638"/>
      <c r="M77" s="1068"/>
    </row>
    <row r="78" spans="5:13" ht="14.25">
      <c r="E78" s="638"/>
      <c r="F78" s="638"/>
      <c r="M78" s="1068"/>
    </row>
    <row r="79" spans="5:13" ht="14.25">
      <c r="E79" s="638"/>
      <c r="F79" s="638"/>
      <c r="M79" s="1068"/>
    </row>
    <row r="80" spans="5:13" ht="14.25">
      <c r="E80" s="638"/>
      <c r="F80" s="638"/>
      <c r="M80" s="1068"/>
    </row>
    <row r="81" spans="5:13" ht="14.25">
      <c r="E81" s="638"/>
      <c r="F81" s="638"/>
      <c r="M81" s="1068"/>
    </row>
    <row r="82" spans="5:13" ht="14.25">
      <c r="E82" s="638"/>
      <c r="F82" s="638"/>
      <c r="M82" s="1068"/>
    </row>
    <row r="83" spans="5:13" ht="14.25">
      <c r="E83" s="638"/>
      <c r="F83" s="638"/>
      <c r="M83" s="1068"/>
    </row>
    <row r="84" spans="5:13" ht="14.25">
      <c r="E84" s="638"/>
      <c r="F84" s="638"/>
      <c r="M84" s="1068"/>
    </row>
    <row r="85" spans="5:13" ht="14.25">
      <c r="E85" s="638"/>
      <c r="F85" s="638"/>
      <c r="M85" s="1068"/>
    </row>
    <row r="86" spans="5:13" ht="14.25">
      <c r="E86" s="638"/>
      <c r="F86" s="638"/>
      <c r="M86" s="1068"/>
    </row>
    <row r="87" spans="5:13" ht="14.25">
      <c r="E87" s="638"/>
      <c r="F87" s="638"/>
      <c r="M87" s="1068"/>
    </row>
    <row r="88" spans="5:13" ht="14.25">
      <c r="E88" s="638"/>
      <c r="F88" s="638"/>
      <c r="M88" s="1068"/>
    </row>
    <row r="89" spans="5:13" ht="14.25">
      <c r="E89" s="638"/>
      <c r="F89" s="638"/>
      <c r="M89" s="1068"/>
    </row>
    <row r="90" spans="5:13" ht="14.25">
      <c r="E90" s="638"/>
      <c r="F90" s="638"/>
      <c r="M90" s="1068"/>
    </row>
    <row r="91" spans="5:13">
      <c r="F91" s="638"/>
    </row>
    <row r="92" spans="5:13">
      <c r="F92" s="638"/>
    </row>
    <row r="93" spans="5:13">
      <c r="F93" s="638"/>
    </row>
    <row r="94" spans="5:13">
      <c r="F94" s="638"/>
    </row>
    <row r="95" spans="5:13">
      <c r="F95" s="638"/>
    </row>
    <row r="96" spans="5:13">
      <c r="F96" s="638"/>
    </row>
  </sheetData>
  <mergeCells count="13">
    <mergeCell ref="N4:N5"/>
    <mergeCell ref="G4:G5"/>
    <mergeCell ref="B2:M2"/>
    <mergeCell ref="G3:H3"/>
    <mergeCell ref="K4:M4"/>
    <mergeCell ref="B4:B5"/>
    <mergeCell ref="C4:C5"/>
    <mergeCell ref="D4:D5"/>
    <mergeCell ref="F4:F5"/>
    <mergeCell ref="E4:E5"/>
    <mergeCell ref="H4:H5"/>
    <mergeCell ref="I4:I5"/>
    <mergeCell ref="J4:J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45</vt:i4>
      </vt:variant>
      <vt:variant>
        <vt:lpstr>Imenovani rasponi</vt:lpstr>
      </vt:variant>
      <vt:variant>
        <vt:i4>13</vt:i4>
      </vt:variant>
    </vt:vector>
  </HeadingPairs>
  <TitlesOfParts>
    <vt:vector size="58" baseType="lpstr">
      <vt:lpstr>Naslovnica</vt:lpstr>
      <vt:lpstr>Sadrzaj</vt:lpstr>
      <vt:lpstr>Uvod</vt:lpstr>
      <vt:lpstr>Prihodi</vt:lpstr>
      <vt:lpstr>Rashodi</vt:lpstr>
      <vt:lpstr>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Sumarno</vt:lpstr>
      <vt:lpstr>Funkcijska</vt:lpstr>
      <vt:lpstr>Kap.pror.</vt:lpstr>
      <vt:lpstr>Kraj</vt:lpstr>
      <vt:lpstr>Funkcijska!Ispis_naslova</vt:lpstr>
      <vt:lpstr>Prihodi!Ispis_naslova</vt:lpstr>
      <vt:lpstr>Rashodi!Ispis_naslova</vt:lpstr>
      <vt:lpstr>'15'!Podrucje_ispisa</vt:lpstr>
      <vt:lpstr>'16'!Podrucje_ispisa</vt:lpstr>
      <vt:lpstr>'17'!Podrucje_ispisa</vt:lpstr>
      <vt:lpstr>'21'!Podrucje_ispisa</vt:lpstr>
      <vt:lpstr>Funkcijska!Podrucje_ispisa</vt:lpstr>
      <vt:lpstr>Kraj!Podrucje_ispisa</vt:lpstr>
      <vt:lpstr>Prihodi!Podrucje_ispisa</vt:lpstr>
      <vt:lpstr>Rashodi!Podrucje_ispisa</vt:lpstr>
      <vt:lpstr>Sadrzaj!Podrucje_ispisa</vt:lpstr>
      <vt:lpstr>Uvod!Podrucje_ispisa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operater</dc:creator>
  <cp:lastModifiedBy>Ružica Živković</cp:lastModifiedBy>
  <cp:lastPrinted>2018-12-20T08:22:34Z</cp:lastPrinted>
  <dcterms:created xsi:type="dcterms:W3CDTF">2004-07-23T11:14:23Z</dcterms:created>
  <dcterms:modified xsi:type="dcterms:W3CDTF">2019-01-07T09:00:54Z</dcterms:modified>
</cp:coreProperties>
</file>