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7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-210" yWindow="5385" windowWidth="28845" windowHeight="7290" tabRatio="964"/>
  </bookViews>
  <sheets>
    <sheet name="Naslovnica" sheetId="65120" r:id="rId1"/>
    <sheet name="Sadrzaj" sheetId="65121" r:id="rId2"/>
    <sheet name="Uvod" sheetId="304" r:id="rId3"/>
    <sheet name="CODE" sheetId="65119" state="veryHidden" r:id="rId4"/>
    <sheet name="Prihodi" sheetId="65139" r:id="rId5"/>
    <sheet name="Rashodi" sheetId="300" r:id="rId6"/>
    <sheet name="1" sheetId="16" r:id="rId7"/>
    <sheet name="3" sheetId="65065" r:id="rId8"/>
    <sheet name="4 (S)" sheetId="65066" r:id="rId9"/>
    <sheet name="5" sheetId="65067" r:id="rId10"/>
    <sheet name="6" sheetId="65099" r:id="rId11"/>
    <sheet name="7" sheetId="65123" r:id="rId12"/>
    <sheet name="4 (N)" sheetId="65140" r:id="rId13"/>
    <sheet name="8" sheetId="65068" r:id="rId14"/>
    <sheet name="9" sheetId="65069" r:id="rId15"/>
    <sheet name="10" sheetId="65070" r:id="rId16"/>
    <sheet name="11" sheetId="65071" r:id="rId17"/>
    <sheet name="12" sheetId="65074" r:id="rId18"/>
    <sheet name="13" sheetId="65100" r:id="rId19"/>
    <sheet name="14" sheetId="65115" r:id="rId20"/>
    <sheet name="15" sheetId="65075" r:id="rId21"/>
    <sheet name="16" sheetId="65076" r:id="rId22"/>
    <sheet name="17" sheetId="65077" r:id="rId23"/>
    <sheet name="18" sheetId="65078" r:id="rId24"/>
    <sheet name="19" sheetId="65079" r:id="rId25"/>
    <sheet name="20" sheetId="65080" r:id="rId26"/>
    <sheet name="21" sheetId="65082" r:id="rId27"/>
    <sheet name="22" sheetId="65081" r:id="rId28"/>
    <sheet name="23" sheetId="65122" r:id="rId29"/>
    <sheet name="24" sheetId="65083" r:id="rId30"/>
    <sheet name="25" sheetId="65084" r:id="rId31"/>
    <sheet name="26" sheetId="65085" r:id="rId32"/>
    <sheet name="27" sheetId="65086" r:id="rId33"/>
    <sheet name="28" sheetId="65087" r:id="rId34"/>
    <sheet name="29" sheetId="65088" r:id="rId35"/>
    <sheet name="30" sheetId="65089" r:id="rId36"/>
    <sheet name="31" sheetId="65093" r:id="rId37"/>
    <sheet name="32" sheetId="65094" r:id="rId38"/>
    <sheet name="33" sheetId="65095" r:id="rId39"/>
    <sheet name="34" sheetId="65096" r:id="rId40"/>
    <sheet name="35" sheetId="65097" r:id="rId41"/>
    <sheet name="36" sheetId="65098" r:id="rId42"/>
    <sheet name="37" sheetId="65105" r:id="rId43"/>
    <sheet name="Sumarno" sheetId="65124" r:id="rId44"/>
    <sheet name="Funkcijska" sheetId="65137" r:id="rId45"/>
    <sheet name="Kap.pror." sheetId="65125" r:id="rId46"/>
    <sheet name="Kraj" sheetId="65061" r:id="rId47"/>
  </sheets>
  <definedNames>
    <definedName name="ACCOUNTEDPERIODTYPE1" localSheetId="12">#REF!</definedName>
    <definedName name="ACCOUNTEDPERIODTYPE1">#REF!</definedName>
    <definedName name="APPSUSERNAME1" localSheetId="12">#REF!</definedName>
    <definedName name="APPSUSERNAME1">#REF!</definedName>
    <definedName name="BUDGETORGID1" localSheetId="12">#REF!</definedName>
    <definedName name="BUDGETORGID1">#REF!</definedName>
    <definedName name="BUDGETORGNAME1" localSheetId="12">#REF!</definedName>
    <definedName name="BUDGETORGNAME1">#REF!</definedName>
    <definedName name="CHARTOFACCOUNTSID1" localSheetId="12">#REF!</definedName>
    <definedName name="CHARTOFACCOUNTSID1">#REF!</definedName>
    <definedName name="CONNECTSTRING1" localSheetId="12">#REF!</definedName>
    <definedName name="CONNECTSTRING1">#REF!</definedName>
    <definedName name="CREATESUMMARYJNLS1" localSheetId="12">#REF!</definedName>
    <definedName name="CREATESUMMARYJNLS1">#REF!</definedName>
    <definedName name="CRITERIACOLUMN1" localSheetId="12">#REF!</definedName>
    <definedName name="CRITERIACOLUMN1">#REF!</definedName>
    <definedName name="DBNAME1" localSheetId="12">#REF!</definedName>
    <definedName name="DBNAME1">#REF!</definedName>
    <definedName name="DBUSERNAME1" localSheetId="12">#REF!</definedName>
    <definedName name="DBUSERNAME1">#REF!</definedName>
    <definedName name="DELETELOGICTYPE1" localSheetId="12">#REF!</definedName>
    <definedName name="DELETELOGICTYPE1">#REF!</definedName>
    <definedName name="FFAPPCOLNAME1_1" localSheetId="12">#REF!</definedName>
    <definedName name="FFAPPCOLNAME1_1">#REF!</definedName>
    <definedName name="FFAPPCOLNAME2_1" localSheetId="12">#REF!</definedName>
    <definedName name="FFAPPCOLNAME2_1">#REF!</definedName>
    <definedName name="FFAPPCOLNAME3_1" localSheetId="12">#REF!</definedName>
    <definedName name="FFAPPCOLNAME3_1">#REF!</definedName>
    <definedName name="FFAPPCOLNAME4_1" localSheetId="12">#REF!</definedName>
    <definedName name="FFAPPCOLNAME4_1">#REF!</definedName>
    <definedName name="FFAPPCOLNAME5_1" localSheetId="12">#REF!</definedName>
    <definedName name="FFAPPCOLNAME5_1">#REF!</definedName>
    <definedName name="FFAPPCOLNAME6_1" localSheetId="12">#REF!</definedName>
    <definedName name="FFAPPCOLNAME6_1">#REF!</definedName>
    <definedName name="FFSEGMENT1_1" localSheetId="12">#REF!</definedName>
    <definedName name="FFSEGMENT1_1">#REF!</definedName>
    <definedName name="FFSEGMENT2_1" localSheetId="12">#REF!</definedName>
    <definedName name="FFSEGMENT2_1">#REF!</definedName>
    <definedName name="FFSEGMENT3_1" localSheetId="12">#REF!</definedName>
    <definedName name="FFSEGMENT3_1">#REF!</definedName>
    <definedName name="FFSEGMENT4_1" localSheetId="12">#REF!</definedName>
    <definedName name="FFSEGMENT4_1">#REF!</definedName>
    <definedName name="FFSEGMENT5_1" localSheetId="12">#REF!</definedName>
    <definedName name="FFSEGMENT5_1">#REF!</definedName>
    <definedName name="FFSEGMENT6_1" localSheetId="12">#REF!</definedName>
    <definedName name="FFSEGMENT6_1">#REF!</definedName>
    <definedName name="FFSEGSEPARATOR1" localSheetId="12">#REF!</definedName>
    <definedName name="FFSEGSEPARATOR1">#REF!</definedName>
    <definedName name="FIELDNAMECOLUMN1" localSheetId="12">#REF!</definedName>
    <definedName name="FIELDNAMECOLUMN1">#REF!</definedName>
    <definedName name="FIELDNAMEROW1" localSheetId="12">#REF!</definedName>
    <definedName name="FIELDNAMEROW1">#REF!</definedName>
    <definedName name="FIRSTDATAROW1" localSheetId="12">#REF!</definedName>
    <definedName name="FIRSTDATAROW1">#REF!</definedName>
    <definedName name="FNDNAM1" localSheetId="12">#REF!</definedName>
    <definedName name="FNDNAM1">#REF!</definedName>
    <definedName name="FNDUSERID1" localSheetId="12">#REF!</definedName>
    <definedName name="FNDUSERID1">#REF!</definedName>
    <definedName name="FUNCTIONALCURRENCY1" localSheetId="12">#REF!</definedName>
    <definedName name="FUNCTIONALCURRENCY1">#REF!</definedName>
    <definedName name="GWYUID1" localSheetId="12">#REF!</definedName>
    <definedName name="GWYUID1">#REF!</definedName>
    <definedName name="IMPORTDFF1" localSheetId="12">#REF!</definedName>
    <definedName name="IMPORTDFF1">#REF!</definedName>
    <definedName name="_xlnm.Print_Titles" localSheetId="44">Funkcijska!$1:$6</definedName>
    <definedName name="_xlnm.Print_Titles" localSheetId="4">Prihodi!$2:$4</definedName>
    <definedName name="_xlnm.Print_Titles" localSheetId="5">Rashodi!$1:$6</definedName>
    <definedName name="LABELTEXTCOLUMN1" localSheetId="12">#REF!</definedName>
    <definedName name="LABELTEXTCOLUMN1">#REF!</definedName>
    <definedName name="LABELTEXTROW1" localSheetId="12">#REF!</definedName>
    <definedName name="LABELTEXTROW1">#REF!</definedName>
    <definedName name="NOOFFFSEGMENTS1" localSheetId="12">#REF!</definedName>
    <definedName name="NOOFFFSEGMENTS1">#REF!</definedName>
    <definedName name="NUMBEROFDETAILFIELDS1" localSheetId="12">#REF!</definedName>
    <definedName name="NUMBEROFDETAILFIELDS1">#REF!</definedName>
    <definedName name="NUMBEROFHEADERFIELDS1" localSheetId="12">#REF!</definedName>
    <definedName name="NUMBEROFHEADERFIELDS1">#REF!</definedName>
    <definedName name="PERIODSETNAME1" localSheetId="12">#REF!</definedName>
    <definedName name="PERIODSETNAME1">#REF!</definedName>
    <definedName name="_xlnm.Print_Area" localSheetId="20">'15'!$A$1:$O$46</definedName>
    <definedName name="_xlnm.Print_Area" localSheetId="21">'16'!$A$1:$O$58</definedName>
    <definedName name="_xlnm.Print_Area" localSheetId="22">'17'!$A$1:$O$43</definedName>
    <definedName name="_xlnm.Print_Area" localSheetId="26">'21'!$A$1:$O$36</definedName>
    <definedName name="_xlnm.Print_Area" localSheetId="44">Funkcijska!$A$7:$G$106</definedName>
    <definedName name="_xlnm.Print_Area" localSheetId="46">Kraj!$A$1:$H$23</definedName>
    <definedName name="_xlnm.Print_Area" localSheetId="4">Prihodi!$B$4:$H$234</definedName>
    <definedName name="_xlnm.Print_Area" localSheetId="5">Rashodi!$C$7:$L$131</definedName>
    <definedName name="_xlnm.Print_Area" localSheetId="1">Sadrzaj!$A$1:$U$33</definedName>
    <definedName name="_xlnm.Print_Area" localSheetId="2">Uvod!$A$1:$G$46</definedName>
    <definedName name="POSTERRORSTOSUSP1" localSheetId="12">#REF!</definedName>
    <definedName name="POSTERRORSTOSUSP1">#REF!</definedName>
    <definedName name="RESPONSIBILITYAPPLICATIONID1" localSheetId="12">#REF!</definedName>
    <definedName name="RESPONSIBILITYAPPLICATIONID1">#REF!</definedName>
    <definedName name="RESPONSIBILITYID1" localSheetId="12">#REF!</definedName>
    <definedName name="RESPONSIBILITYID1">#REF!</definedName>
    <definedName name="RESPONSIBILITYNAME1" localSheetId="12">#REF!</definedName>
    <definedName name="RESPONSIBILITYNAME1">#REF!</definedName>
    <definedName name="ROWSTOUPLOAD1" localSheetId="12">#REF!</definedName>
    <definedName name="ROWSTOUPLOAD1">#REF!</definedName>
    <definedName name="SETOFBOOKSID1" localSheetId="12">#REF!</definedName>
    <definedName name="SETOFBOOKSID1">#REF!</definedName>
    <definedName name="SETOFBOOKSNAME1" localSheetId="12">#REF!</definedName>
    <definedName name="SETOFBOOKSNAME1">#REF!</definedName>
    <definedName name="STARTJOURNALIMPORT1" localSheetId="12">#REF!</definedName>
    <definedName name="STARTJOURNALIMPORT1">#REF!</definedName>
    <definedName name="TEMPLATENUMBER1" localSheetId="12">#REF!</definedName>
    <definedName name="TEMPLATENUMBER1">#REF!</definedName>
    <definedName name="TEMPLATESTYLE1" localSheetId="12">#REF!</definedName>
    <definedName name="TEMPLATESTYLE1">#REF!</definedName>
    <definedName name="TEMPLATETYPE1" localSheetId="12">#REF!</definedName>
    <definedName name="TEMPLATETYPE1">#REF!</definedName>
  </definedNames>
  <calcPr calcId="125725"/>
</workbook>
</file>

<file path=xl/calcChain.xml><?xml version="1.0" encoding="utf-8"?>
<calcChain xmlns="http://schemas.openxmlformats.org/spreadsheetml/2006/main">
  <c r="L28" i="65098"/>
  <c r="L16"/>
  <c r="L13"/>
  <c r="L8"/>
  <c r="E7" i="65137"/>
  <c r="G177" i="65139" l="1"/>
  <c r="L32" i="65065"/>
  <c r="L16"/>
  <c r="F70" i="65137"/>
  <c r="F69"/>
  <c r="N37" i="65076"/>
  <c r="M37"/>
  <c r="L37"/>
  <c r="G141" i="65139"/>
  <c r="G39"/>
  <c r="G44"/>
  <c r="G41"/>
  <c r="G40"/>
  <c r="G45"/>
  <c r="L27" i="65076"/>
  <c r="L31" i="65075"/>
  <c r="M31"/>
  <c r="K102" i="300" l="1"/>
  <c r="J102"/>
  <c r="I102"/>
  <c r="H102"/>
  <c r="G102"/>
  <c r="L102" s="1"/>
  <c r="F102"/>
  <c r="K101"/>
  <c r="J101"/>
  <c r="I101"/>
  <c r="H101"/>
  <c r="G101"/>
  <c r="L101" s="1"/>
  <c r="F101"/>
  <c r="K117"/>
  <c r="J117"/>
  <c r="I117"/>
  <c r="H117"/>
  <c r="G117"/>
  <c r="L117" s="1"/>
  <c r="F117"/>
  <c r="K116"/>
  <c r="J116"/>
  <c r="I116"/>
  <c r="H116"/>
  <c r="G116"/>
  <c r="L116" s="1"/>
  <c r="F116"/>
  <c r="N47" i="65076"/>
  <c r="M47"/>
  <c r="L47"/>
  <c r="K47"/>
  <c r="J47"/>
  <c r="I47"/>
  <c r="N49"/>
  <c r="O49" s="1"/>
  <c r="N48"/>
  <c r="O48" s="1"/>
  <c r="L48"/>
  <c r="L39"/>
  <c r="N39" s="1"/>
  <c r="O39" s="1"/>
  <c r="L38"/>
  <c r="N38" s="1"/>
  <c r="O38" s="1"/>
  <c r="G158" i="65139" l="1"/>
  <c r="G157"/>
  <c r="G78"/>
  <c r="G106"/>
  <c r="M32" i="65079"/>
  <c r="L30" i="65065"/>
  <c r="G176" i="65139" l="1"/>
  <c r="H177"/>
  <c r="L9" i="65068"/>
  <c r="L14"/>
  <c r="L10"/>
  <c r="F123" i="65139"/>
  <c r="E123"/>
  <c r="D123"/>
  <c r="H233"/>
  <c r="H232"/>
  <c r="H231"/>
  <c r="G230"/>
  <c r="F230"/>
  <c r="E230"/>
  <c r="H230" s="1"/>
  <c r="D230"/>
  <c r="H229"/>
  <c r="G228"/>
  <c r="F228"/>
  <c r="E228"/>
  <c r="H228" s="1"/>
  <c r="D228"/>
  <c r="G227"/>
  <c r="F227"/>
  <c r="E227"/>
  <c r="H227" s="1"/>
  <c r="D227"/>
  <c r="G226"/>
  <c r="F226"/>
  <c r="E226"/>
  <c r="H226" s="1"/>
  <c r="D226"/>
  <c r="G225"/>
  <c r="F225"/>
  <c r="E225"/>
  <c r="H225" s="1"/>
  <c r="D225"/>
  <c r="H224"/>
  <c r="H222"/>
  <c r="H221"/>
  <c r="H220"/>
  <c r="G219"/>
  <c r="F219"/>
  <c r="E219"/>
  <c r="H219" s="1"/>
  <c r="D219"/>
  <c r="H218"/>
  <c r="H217"/>
  <c r="H216"/>
  <c r="H215"/>
  <c r="H214"/>
  <c r="G214"/>
  <c r="F214"/>
  <c r="E214"/>
  <c r="D214"/>
  <c r="H213"/>
  <c r="H212"/>
  <c r="G212"/>
  <c r="F212"/>
  <c r="F211" s="1"/>
  <c r="F197" s="1"/>
  <c r="F190" s="1"/>
  <c r="E212"/>
  <c r="D212"/>
  <c r="D211" s="1"/>
  <c r="D197" s="1"/>
  <c r="D190" s="1"/>
  <c r="G211"/>
  <c r="E211"/>
  <c r="H211" s="1"/>
  <c r="H210"/>
  <c r="G209"/>
  <c r="F209"/>
  <c r="E209"/>
  <c r="H209" s="1"/>
  <c r="D209"/>
  <c r="H208"/>
  <c r="H207"/>
  <c r="H206"/>
  <c r="H205"/>
  <c r="H204"/>
  <c r="H203"/>
  <c r="H202"/>
  <c r="H201"/>
  <c r="G200"/>
  <c r="F200"/>
  <c r="E200"/>
  <c r="H200" s="1"/>
  <c r="D200"/>
  <c r="H199"/>
  <c r="G198"/>
  <c r="F198"/>
  <c r="E198"/>
  <c r="H198" s="1"/>
  <c r="D198"/>
  <c r="G197"/>
  <c r="E197"/>
  <c r="H197" s="1"/>
  <c r="H196"/>
  <c r="H195"/>
  <c r="H194"/>
  <c r="G193"/>
  <c r="F193"/>
  <c r="E193"/>
  <c r="H193" s="1"/>
  <c r="D193"/>
  <c r="G192"/>
  <c r="F192"/>
  <c r="E192"/>
  <c r="H192" s="1"/>
  <c r="D192"/>
  <c r="G191"/>
  <c r="F191"/>
  <c r="E191"/>
  <c r="H191" s="1"/>
  <c r="D191"/>
  <c r="G190"/>
  <c r="E190"/>
  <c r="H190" s="1"/>
  <c r="H189"/>
  <c r="H188"/>
  <c r="H187"/>
  <c r="G186"/>
  <c r="F186"/>
  <c r="E186"/>
  <c r="H186" s="1"/>
  <c r="D186"/>
  <c r="G185"/>
  <c r="F185"/>
  <c r="E185"/>
  <c r="H185" s="1"/>
  <c r="D185"/>
  <c r="H184"/>
  <c r="E183"/>
  <c r="H183" s="1"/>
  <c r="D183"/>
  <c r="H182"/>
  <c r="E182"/>
  <c r="D182"/>
  <c r="G181"/>
  <c r="F181"/>
  <c r="E181"/>
  <c r="H181" s="1"/>
  <c r="D181"/>
  <c r="H180"/>
  <c r="G179"/>
  <c r="E179"/>
  <c r="H179" s="1"/>
  <c r="D179"/>
  <c r="H178"/>
  <c r="H176"/>
  <c r="E176"/>
  <c r="D176"/>
  <c r="D173" s="1"/>
  <c r="D172" s="1"/>
  <c r="D171" s="1"/>
  <c r="D170" s="1"/>
  <c r="H175"/>
  <c r="H174"/>
  <c r="G173"/>
  <c r="G172" s="1"/>
  <c r="G171" s="1"/>
  <c r="G170" s="1"/>
  <c r="F173"/>
  <c r="E173"/>
  <c r="H173" s="1"/>
  <c r="F172"/>
  <c r="F171" s="1"/>
  <c r="F170" s="1"/>
  <c r="H169"/>
  <c r="H168"/>
  <c r="G167"/>
  <c r="F167"/>
  <c r="E167"/>
  <c r="H167" s="1"/>
  <c r="D167"/>
  <c r="H166"/>
  <c r="G165"/>
  <c r="G164" s="1"/>
  <c r="G163" s="1"/>
  <c r="F165"/>
  <c r="E165"/>
  <c r="H165" s="1"/>
  <c r="D165"/>
  <c r="F164"/>
  <c r="F163" s="1"/>
  <c r="F162" s="1"/>
  <c r="D164"/>
  <c r="D163" s="1"/>
  <c r="H161"/>
  <c r="H159"/>
  <c r="H158"/>
  <c r="E157"/>
  <c r="E154" s="1"/>
  <c r="D157"/>
  <c r="H156"/>
  <c r="H155"/>
  <c r="G154"/>
  <c r="G153" s="1"/>
  <c r="F154"/>
  <c r="F153" s="1"/>
  <c r="D154"/>
  <c r="D153" s="1"/>
  <c r="H152"/>
  <c r="H151"/>
  <c r="H150"/>
  <c r="H149"/>
  <c r="G148"/>
  <c r="F148"/>
  <c r="E148"/>
  <c r="H148" s="1"/>
  <c r="D148"/>
  <c r="H147"/>
  <c r="H146"/>
  <c r="H145"/>
  <c r="H144"/>
  <c r="H143"/>
  <c r="H142"/>
  <c r="H141"/>
  <c r="G140"/>
  <c r="H140" s="1"/>
  <c r="F140"/>
  <c r="E140"/>
  <c r="D140"/>
  <c r="H139"/>
  <c r="H138"/>
  <c r="G137"/>
  <c r="H137" s="1"/>
  <c r="G136"/>
  <c r="H136" s="1"/>
  <c r="H135"/>
  <c r="H134"/>
  <c r="G133"/>
  <c r="G132" s="1"/>
  <c r="F133"/>
  <c r="E133"/>
  <c r="H133" s="1"/>
  <c r="D133"/>
  <c r="F132"/>
  <c r="D132"/>
  <c r="E131"/>
  <c r="H131" s="1"/>
  <c r="D131"/>
  <c r="H130"/>
  <c r="G129"/>
  <c r="F129"/>
  <c r="E129"/>
  <c r="H129" s="1"/>
  <c r="D129"/>
  <c r="H128"/>
  <c r="G127"/>
  <c r="F127"/>
  <c r="E127"/>
  <c r="H127" s="1"/>
  <c r="D127"/>
  <c r="H126"/>
  <c r="G125"/>
  <c r="F125"/>
  <c r="E125"/>
  <c r="H125" s="1"/>
  <c r="D125"/>
  <c r="H124"/>
  <c r="G123"/>
  <c r="H123" s="1"/>
  <c r="F122"/>
  <c r="D122"/>
  <c r="E122"/>
  <c r="H121"/>
  <c r="G120"/>
  <c r="F120"/>
  <c r="E120"/>
  <c r="H120" s="1"/>
  <c r="D120"/>
  <c r="H119"/>
  <c r="H118"/>
  <c r="H117"/>
  <c r="G117"/>
  <c r="H116"/>
  <c r="G116"/>
  <c r="H115"/>
  <c r="G115"/>
  <c r="F115"/>
  <c r="E115"/>
  <c r="D115"/>
  <c r="H114"/>
  <c r="G113"/>
  <c r="H113" s="1"/>
  <c r="H112"/>
  <c r="H111"/>
  <c r="H110"/>
  <c r="H109"/>
  <c r="H108"/>
  <c r="H107"/>
  <c r="G107"/>
  <c r="H106"/>
  <c r="G105"/>
  <c r="G104" s="1"/>
  <c r="F105"/>
  <c r="E105"/>
  <c r="H105" s="1"/>
  <c r="D105"/>
  <c r="F104"/>
  <c r="D104"/>
  <c r="H103"/>
  <c r="H102"/>
  <c r="G102"/>
  <c r="H101"/>
  <c r="H100"/>
  <c r="H99"/>
  <c r="G99"/>
  <c r="F99"/>
  <c r="F98" s="1"/>
  <c r="E99"/>
  <c r="D99"/>
  <c r="D98" s="1"/>
  <c r="H97"/>
  <c r="H96"/>
  <c r="H95"/>
  <c r="H94"/>
  <c r="G93"/>
  <c r="G92" s="1"/>
  <c r="F93"/>
  <c r="E93"/>
  <c r="H93" s="1"/>
  <c r="D93"/>
  <c r="F92"/>
  <c r="D92"/>
  <c r="H91"/>
  <c r="H90"/>
  <c r="G89"/>
  <c r="F89"/>
  <c r="E89"/>
  <c r="H89" s="1"/>
  <c r="D89"/>
  <c r="H88"/>
  <c r="G87"/>
  <c r="H87" s="1"/>
  <c r="H86"/>
  <c r="H85"/>
  <c r="G84"/>
  <c r="G82" s="1"/>
  <c r="F84"/>
  <c r="E84"/>
  <c r="H84" s="1"/>
  <c r="D84"/>
  <c r="H83"/>
  <c r="F82"/>
  <c r="E82"/>
  <c r="D82"/>
  <c r="F81"/>
  <c r="D81"/>
  <c r="H80"/>
  <c r="G79"/>
  <c r="H79" s="1"/>
  <c r="F79"/>
  <c r="E79"/>
  <c r="D79"/>
  <c r="H78"/>
  <c r="G77"/>
  <c r="H77" s="1"/>
  <c r="F77"/>
  <c r="F76" s="1"/>
  <c r="E77"/>
  <c r="D77"/>
  <c r="D76" s="1"/>
  <c r="H75"/>
  <c r="G74"/>
  <c r="F74"/>
  <c r="E74"/>
  <c r="H74" s="1"/>
  <c r="D74"/>
  <c r="H73"/>
  <c r="H72"/>
  <c r="H71"/>
  <c r="G71"/>
  <c r="F71"/>
  <c r="E71"/>
  <c r="D71"/>
  <c r="H70"/>
  <c r="H69"/>
  <c r="H68"/>
  <c r="H67"/>
  <c r="G67"/>
  <c r="F67"/>
  <c r="E67"/>
  <c r="D67"/>
  <c r="H66"/>
  <c r="H65"/>
  <c r="H64"/>
  <c r="G63"/>
  <c r="H63" s="1"/>
  <c r="F63"/>
  <c r="F62" s="1"/>
  <c r="F61" s="1"/>
  <c r="E63"/>
  <c r="D63"/>
  <c r="D62" s="1"/>
  <c r="D61" s="1"/>
  <c r="G62"/>
  <c r="E62"/>
  <c r="H60"/>
  <c r="H59"/>
  <c r="H58"/>
  <c r="H57"/>
  <c r="G56"/>
  <c r="G55" s="1"/>
  <c r="F56"/>
  <c r="E56"/>
  <c r="H56" s="1"/>
  <c r="D56"/>
  <c r="F55"/>
  <c r="D55"/>
  <c r="H54"/>
  <c r="H53"/>
  <c r="G52"/>
  <c r="F52"/>
  <c r="E52"/>
  <c r="H52" s="1"/>
  <c r="D52"/>
  <c r="H51"/>
  <c r="E50"/>
  <c r="H50" s="1"/>
  <c r="D50"/>
  <c r="H49"/>
  <c r="G48"/>
  <c r="G47" s="1"/>
  <c r="G46" s="1"/>
  <c r="F48"/>
  <c r="E48"/>
  <c r="H48" s="1"/>
  <c r="D48"/>
  <c r="F47"/>
  <c r="F46" s="1"/>
  <c r="D47"/>
  <c r="D46" s="1"/>
  <c r="H45"/>
  <c r="H44"/>
  <c r="G43"/>
  <c r="H43" s="1"/>
  <c r="H42"/>
  <c r="H41"/>
  <c r="H40"/>
  <c r="H39"/>
  <c r="G38"/>
  <c r="G37" s="1"/>
  <c r="F38"/>
  <c r="E38"/>
  <c r="H38" s="1"/>
  <c r="D38"/>
  <c r="F37"/>
  <c r="D37"/>
  <c r="H36"/>
  <c r="H35"/>
  <c r="G35"/>
  <c r="F35"/>
  <c r="E35"/>
  <c r="D35"/>
  <c r="H34"/>
  <c r="G33"/>
  <c r="H33" s="1"/>
  <c r="F33"/>
  <c r="E33"/>
  <c r="D33"/>
  <c r="H32"/>
  <c r="H31"/>
  <c r="H30"/>
  <c r="H29"/>
  <c r="G28"/>
  <c r="G27" s="1"/>
  <c r="F28"/>
  <c r="E28"/>
  <c r="H28" s="1"/>
  <c r="D28"/>
  <c r="F27"/>
  <c r="D27"/>
  <c r="H26"/>
  <c r="H25"/>
  <c r="H24"/>
  <c r="H23"/>
  <c r="H22"/>
  <c r="H21"/>
  <c r="G20"/>
  <c r="G19" s="1"/>
  <c r="F20"/>
  <c r="E20"/>
  <c r="H20" s="1"/>
  <c r="D20"/>
  <c r="F19"/>
  <c r="D19"/>
  <c r="H18"/>
  <c r="H17"/>
  <c r="G16"/>
  <c r="G15" s="1"/>
  <c r="F16"/>
  <c r="E16"/>
  <c r="H16" s="1"/>
  <c r="D16"/>
  <c r="F15"/>
  <c r="D15"/>
  <c r="H14"/>
  <c r="H13"/>
  <c r="G12"/>
  <c r="H12" s="1"/>
  <c r="F12"/>
  <c r="E12"/>
  <c r="D12"/>
  <c r="H11"/>
  <c r="H10"/>
  <c r="H9"/>
  <c r="H8"/>
  <c r="G7"/>
  <c r="G6" s="1"/>
  <c r="F7"/>
  <c r="E7"/>
  <c r="H7" s="1"/>
  <c r="D7"/>
  <c r="F6"/>
  <c r="F5" s="1"/>
  <c r="F160" s="1"/>
  <c r="F223" s="1"/>
  <c r="F234" s="1"/>
  <c r="D6"/>
  <c r="D5" s="1"/>
  <c r="D160" s="1"/>
  <c r="G122" l="1"/>
  <c r="H122"/>
  <c r="H62"/>
  <c r="G5"/>
  <c r="H82"/>
  <c r="G98"/>
  <c r="D162"/>
  <c r="D223"/>
  <c r="D234" s="1"/>
  <c r="G81"/>
  <c r="G162"/>
  <c r="H154"/>
  <c r="E153"/>
  <c r="H153" s="1"/>
  <c r="H157"/>
  <c r="E6"/>
  <c r="E15"/>
  <c r="H15" s="1"/>
  <c r="E19"/>
  <c r="H19" s="1"/>
  <c r="E27"/>
  <c r="H27" s="1"/>
  <c r="E37"/>
  <c r="H37" s="1"/>
  <c r="E47"/>
  <c r="E55"/>
  <c r="H55" s="1"/>
  <c r="E81"/>
  <c r="E92"/>
  <c r="H92" s="1"/>
  <c r="E104"/>
  <c r="E132"/>
  <c r="H132" s="1"/>
  <c r="E164"/>
  <c r="E172"/>
  <c r="G76" l="1"/>
  <c r="G61" s="1"/>
  <c r="G160" s="1"/>
  <c r="G223" s="1"/>
  <c r="G234" s="1"/>
  <c r="H164"/>
  <c r="E163"/>
  <c r="H104"/>
  <c r="E98"/>
  <c r="H98" s="1"/>
  <c r="H81"/>
  <c r="E76"/>
  <c r="H6"/>
  <c r="H172"/>
  <c r="E171"/>
  <c r="H47"/>
  <c r="E46"/>
  <c r="H46" s="1"/>
  <c r="L19" i="65065"/>
  <c r="L14"/>
  <c r="L15"/>
  <c r="L9" i="65071"/>
  <c r="L10"/>
  <c r="L9" i="65078"/>
  <c r="L9" i="65094"/>
  <c r="L10"/>
  <c r="L14"/>
  <c r="L14" i="65098"/>
  <c r="L9"/>
  <c r="L10"/>
  <c r="L14" i="65105"/>
  <c r="L9"/>
  <c r="L10"/>
  <c r="L10" i="65089"/>
  <c r="L10" i="65088"/>
  <c r="L10" i="65085"/>
  <c r="L10" i="65084"/>
  <c r="L10" i="65083"/>
  <c r="L10" i="65081"/>
  <c r="L14" i="65087"/>
  <c r="L9"/>
  <c r="L10"/>
  <c r="L14" i="65086"/>
  <c r="L9"/>
  <c r="L10"/>
  <c r="L14" i="65084"/>
  <c r="L9"/>
  <c r="L14" i="65083"/>
  <c r="L9"/>
  <c r="L14" i="65122"/>
  <c r="L9"/>
  <c r="L10"/>
  <c r="L14" i="65081"/>
  <c r="L9"/>
  <c r="L14" i="65082"/>
  <c r="L9"/>
  <c r="L10"/>
  <c r="L10" i="65078"/>
  <c r="L14" i="65069"/>
  <c r="L9"/>
  <c r="L10"/>
  <c r="L14" i="65096"/>
  <c r="L10"/>
  <c r="L9"/>
  <c r="L17" i="65076"/>
  <c r="L13"/>
  <c r="L12"/>
  <c r="H171" i="65139" l="1"/>
  <c r="E170"/>
  <c r="H170" s="1"/>
  <c r="H76"/>
  <c r="E61"/>
  <c r="H61" s="1"/>
  <c r="H163"/>
  <c r="E162"/>
  <c r="H162" s="1"/>
  <c r="E5"/>
  <c r="L14" i="65093"/>
  <c r="L10"/>
  <c r="L9"/>
  <c r="L14" i="65079"/>
  <c r="L10"/>
  <c r="L9"/>
  <c r="L14" i="65078"/>
  <c r="L14" i="65077"/>
  <c r="L10"/>
  <c r="L9"/>
  <c r="L14" i="65075"/>
  <c r="L10"/>
  <c r="L9"/>
  <c r="L14" i="65070"/>
  <c r="L10"/>
  <c r="L9"/>
  <c r="L14" i="65123"/>
  <c r="L10"/>
  <c r="L9"/>
  <c r="L14" i="16"/>
  <c r="L10"/>
  <c r="L9"/>
  <c r="L14" i="65097"/>
  <c r="L10"/>
  <c r="L9"/>
  <c r="L14" i="65095"/>
  <c r="L10"/>
  <c r="L9"/>
  <c r="L14" i="65089"/>
  <c r="L9"/>
  <c r="L14" i="65088"/>
  <c r="L9"/>
  <c r="L14" i="65085"/>
  <c r="L9"/>
  <c r="E160" i="65139" l="1"/>
  <c r="H5"/>
  <c r="L14" i="65080"/>
  <c r="L10"/>
  <c r="L9"/>
  <c r="L14" i="65115"/>
  <c r="L10"/>
  <c r="L9"/>
  <c r="L14" i="65100"/>
  <c r="L10"/>
  <c r="L9"/>
  <c r="L14" i="65074"/>
  <c r="L10"/>
  <c r="L9"/>
  <c r="L14" i="65071"/>
  <c r="L10" i="65099"/>
  <c r="L14"/>
  <c r="L9"/>
  <c r="L10" i="65067"/>
  <c r="L14"/>
  <c r="L9"/>
  <c r="L10" i="65140"/>
  <c r="L14"/>
  <c r="L9"/>
  <c r="L31" i="65077"/>
  <c r="L9" i="65076"/>
  <c r="L11" i="65065"/>
  <c r="L10"/>
  <c r="H160" i="65139" l="1"/>
  <c r="E223"/>
  <c r="E234" l="1"/>
  <c r="H234" s="1"/>
  <c r="H223"/>
  <c r="L25" i="65095" l="1"/>
  <c r="L46" i="65080"/>
  <c r="J41" i="300"/>
  <c r="I41"/>
  <c r="H41"/>
  <c r="G41"/>
  <c r="L41" s="1"/>
  <c r="F41"/>
  <c r="N27" i="65070"/>
  <c r="O27" s="1"/>
  <c r="L25" i="65105"/>
  <c r="L25" i="65098"/>
  <c r="L25" i="65094"/>
  <c r="L25" i="65093"/>
  <c r="L25" i="65089"/>
  <c r="L25" i="65088"/>
  <c r="L25" i="65087"/>
  <c r="L25" i="65086"/>
  <c r="L25" i="65085"/>
  <c r="L25" i="65084"/>
  <c r="L25" i="65083"/>
  <c r="L25" i="65122"/>
  <c r="L25" i="65081"/>
  <c r="L25" i="65082"/>
  <c r="L26" i="65080"/>
  <c r="L25" i="65079"/>
  <c r="L26" i="65078"/>
  <c r="L28" i="65076"/>
  <c r="L25" i="65115"/>
  <c r="M46" i="65080"/>
  <c r="K41" i="300" l="1"/>
  <c r="L26" i="65070"/>
  <c r="L17" i="65069" l="1"/>
  <c r="L23"/>
  <c r="L30"/>
  <c r="L25"/>
  <c r="L25" i="65100"/>
  <c r="L25" i="65074"/>
  <c r="L25" i="65071"/>
  <c r="L25" i="65068"/>
  <c r="L25" i="65140"/>
  <c r="L25" i="65123"/>
  <c r="L25" i="65099"/>
  <c r="L25" i="65067"/>
  <c r="L17" i="65105"/>
  <c r="L28"/>
  <c r="L16"/>
  <c r="L13"/>
  <c r="L8"/>
  <c r="L17" i="65098"/>
  <c r="L28" i="65097"/>
  <c r="L16"/>
  <c r="L13"/>
  <c r="L8"/>
  <c r="L17" i="65096"/>
  <c r="L28"/>
  <c r="L16"/>
  <c r="L13"/>
  <c r="L8"/>
  <c r="L17" i="65095"/>
  <c r="L32"/>
  <c r="L28"/>
  <c r="L16"/>
  <c r="L13"/>
  <c r="L8"/>
  <c r="L17" i="65094"/>
  <c r="L28"/>
  <c r="L16"/>
  <c r="L13"/>
  <c r="L8"/>
  <c r="L17" i="65093"/>
  <c r="L31"/>
  <c r="L28"/>
  <c r="L16"/>
  <c r="L13"/>
  <c r="L8"/>
  <c r="L28" i="65089"/>
  <c r="L16"/>
  <c r="L13"/>
  <c r="L8"/>
  <c r="L28" i="65088"/>
  <c r="L16"/>
  <c r="L13"/>
  <c r="L8"/>
  <c r="L28" i="65087"/>
  <c r="L16"/>
  <c r="L13"/>
  <c r="L8"/>
  <c r="L28" i="65086"/>
  <c r="L16"/>
  <c r="L13"/>
  <c r="L8"/>
  <c r="L28" i="65085"/>
  <c r="L16"/>
  <c r="L13"/>
  <c r="L8"/>
  <c r="L28" i="65084"/>
  <c r="L16"/>
  <c r="L13"/>
  <c r="L8"/>
  <c r="L28" i="65083"/>
  <c r="L16"/>
  <c r="L13"/>
  <c r="L8"/>
  <c r="L28" i="65122"/>
  <c r="L16"/>
  <c r="L13"/>
  <c r="L8"/>
  <c r="L28" i="65081"/>
  <c r="L16"/>
  <c r="L13"/>
  <c r="L8"/>
  <c r="L28" i="65082"/>
  <c r="L16"/>
  <c r="L13"/>
  <c r="L8"/>
  <c r="M47" i="65080"/>
  <c r="L17"/>
  <c r="L49"/>
  <c r="L45"/>
  <c r="L42"/>
  <c r="L30"/>
  <c r="L16"/>
  <c r="L13"/>
  <c r="L8"/>
  <c r="L17" i="65079"/>
  <c r="L38"/>
  <c r="L34"/>
  <c r="L28"/>
  <c r="L16"/>
  <c r="L13"/>
  <c r="L8"/>
  <c r="L17" i="65078"/>
  <c r="L33"/>
  <c r="L29"/>
  <c r="L16"/>
  <c r="L13"/>
  <c r="L8"/>
  <c r="L17" i="65077"/>
  <c r="L33"/>
  <c r="L28"/>
  <c r="L16"/>
  <c r="L13"/>
  <c r="L8"/>
  <c r="L20" i="65076"/>
  <c r="L43"/>
  <c r="L32"/>
  <c r="L23"/>
  <c r="L19"/>
  <c r="L16"/>
  <c r="L11"/>
  <c r="L8"/>
  <c r="L36" i="65075"/>
  <c r="L33"/>
  <c r="L29"/>
  <c r="L16"/>
  <c r="L13"/>
  <c r="L8"/>
  <c r="L17" i="65115"/>
  <c r="L28"/>
  <c r="L16"/>
  <c r="L13"/>
  <c r="L8"/>
  <c r="L28" i="65100"/>
  <c r="L16"/>
  <c r="L13"/>
  <c r="L8"/>
  <c r="L17" i="65074"/>
  <c r="L28"/>
  <c r="L16"/>
  <c r="L13"/>
  <c r="L8"/>
  <c r="L17" i="65071"/>
  <c r="L29"/>
  <c r="L16"/>
  <c r="L13"/>
  <c r="L8"/>
  <c r="L17" i="65070"/>
  <c r="L30"/>
  <c r="L16"/>
  <c r="L13"/>
  <c r="L8"/>
  <c r="L28" i="65069"/>
  <c r="L16"/>
  <c r="L13"/>
  <c r="L8"/>
  <c r="L29" i="65068"/>
  <c r="L28"/>
  <c r="L26"/>
  <c r="L22"/>
  <c r="L16" s="1"/>
  <c r="L13"/>
  <c r="L11"/>
  <c r="L8"/>
  <c r="L17" i="65140"/>
  <c r="L32"/>
  <c r="L31"/>
  <c r="L28"/>
  <c r="L26"/>
  <c r="L24"/>
  <c r="L22"/>
  <c r="L21"/>
  <c r="L20"/>
  <c r="L18"/>
  <c r="L16"/>
  <c r="L13"/>
  <c r="L11"/>
  <c r="L8" s="1"/>
  <c r="L17" i="65123"/>
  <c r="L29"/>
  <c r="L28"/>
  <c r="L26"/>
  <c r="L24"/>
  <c r="L22"/>
  <c r="L21"/>
  <c r="L18"/>
  <c r="L16"/>
  <c r="L13"/>
  <c r="L11"/>
  <c r="L8" s="1"/>
  <c r="L17" i="65099"/>
  <c r="L29"/>
  <c r="L28"/>
  <c r="L26"/>
  <c r="L24"/>
  <c r="L22"/>
  <c r="L21"/>
  <c r="L18"/>
  <c r="L16"/>
  <c r="L13"/>
  <c r="L11"/>
  <c r="L8" s="1"/>
  <c r="L17" i="65067"/>
  <c r="L29"/>
  <c r="L28"/>
  <c r="L26"/>
  <c r="L24"/>
  <c r="L23"/>
  <c r="L22"/>
  <c r="L21"/>
  <c r="L20"/>
  <c r="L19"/>
  <c r="L18"/>
  <c r="L16" s="1"/>
  <c r="L13"/>
  <c r="L11"/>
  <c r="L8"/>
  <c r="L22" i="65065"/>
  <c r="L49"/>
  <c r="L46"/>
  <c r="L34"/>
  <c r="L21"/>
  <c r="L18"/>
  <c r="L13"/>
  <c r="L8"/>
  <c r="L17" i="16"/>
  <c r="L28"/>
  <c r="L26"/>
  <c r="L16"/>
  <c r="L13"/>
  <c r="L11"/>
  <c r="L8" s="1"/>
  <c r="E86" i="65137" l="1"/>
  <c r="E72"/>
  <c r="E70"/>
  <c r="E69"/>
  <c r="E65"/>
  <c r="E64"/>
  <c r="E63"/>
  <c r="E62"/>
  <c r="E32"/>
  <c r="E26"/>
  <c r="E24"/>
  <c r="E11"/>
  <c r="E77"/>
  <c r="E61"/>
  <c r="E54"/>
  <c r="E47"/>
  <c r="E40"/>
  <c r="E17"/>
  <c r="K28" i="65105"/>
  <c r="K16"/>
  <c r="K13"/>
  <c r="K8"/>
  <c r="J28"/>
  <c r="J16"/>
  <c r="J14"/>
  <c r="J13"/>
  <c r="J10"/>
  <c r="J9"/>
  <c r="J8" s="1"/>
  <c r="I28"/>
  <c r="I16"/>
  <c r="I14"/>
  <c r="I13"/>
  <c r="I10"/>
  <c r="I9"/>
  <c r="I8" s="1"/>
  <c r="K28" i="65098"/>
  <c r="K16"/>
  <c r="K13"/>
  <c r="K8"/>
  <c r="J28"/>
  <c r="J16"/>
  <c r="J14"/>
  <c r="J13" s="1"/>
  <c r="J10"/>
  <c r="J9"/>
  <c r="J8"/>
  <c r="I28"/>
  <c r="I16"/>
  <c r="I14"/>
  <c r="I13"/>
  <c r="I10"/>
  <c r="I9"/>
  <c r="I8" s="1"/>
  <c r="K28" i="65097"/>
  <c r="K16"/>
  <c r="K13"/>
  <c r="K8"/>
  <c r="J28"/>
  <c r="J16"/>
  <c r="J14"/>
  <c r="J13"/>
  <c r="J10"/>
  <c r="J9"/>
  <c r="J8" s="1"/>
  <c r="I28"/>
  <c r="I16"/>
  <c r="I14"/>
  <c r="I13"/>
  <c r="I10"/>
  <c r="I9"/>
  <c r="I8" s="1"/>
  <c r="K28" i="65096"/>
  <c r="K16"/>
  <c r="K13"/>
  <c r="K8"/>
  <c r="J28" l="1"/>
  <c r="J16"/>
  <c r="J14"/>
  <c r="J13"/>
  <c r="J10"/>
  <c r="J9"/>
  <c r="J8" s="1"/>
  <c r="I28"/>
  <c r="I16"/>
  <c r="I14"/>
  <c r="I13"/>
  <c r="I10"/>
  <c r="I9"/>
  <c r="I8" s="1"/>
  <c r="K32" i="65095"/>
  <c r="K28"/>
  <c r="K16"/>
  <c r="K13"/>
  <c r="K8"/>
  <c r="J32"/>
  <c r="J28"/>
  <c r="J16"/>
  <c r="J14"/>
  <c r="J13" s="1"/>
  <c r="J10"/>
  <c r="J9"/>
  <c r="J8"/>
  <c r="I32"/>
  <c r="I28"/>
  <c r="I16"/>
  <c r="I14"/>
  <c r="I13" s="1"/>
  <c r="I10"/>
  <c r="I9"/>
  <c r="I8"/>
  <c r="K28" i="65094"/>
  <c r="K16"/>
  <c r="K13"/>
  <c r="K8"/>
  <c r="J28"/>
  <c r="J25"/>
  <c r="J16" s="1"/>
  <c r="J14"/>
  <c r="J13" s="1"/>
  <c r="J10"/>
  <c r="J9"/>
  <c r="J8"/>
  <c r="I28"/>
  <c r="I25"/>
  <c r="I16"/>
  <c r="I14"/>
  <c r="I13"/>
  <c r="I10"/>
  <c r="I9"/>
  <c r="I8" s="1"/>
  <c r="K31" i="65093"/>
  <c r="K28"/>
  <c r="K16"/>
  <c r="K13"/>
  <c r="K8"/>
  <c r="J31"/>
  <c r="J28"/>
  <c r="J16"/>
  <c r="J14"/>
  <c r="J13"/>
  <c r="J10"/>
  <c r="J9"/>
  <c r="J8" s="1"/>
  <c r="I31"/>
  <c r="I28"/>
  <c r="I16"/>
  <c r="I14"/>
  <c r="I13" s="1"/>
  <c r="I10"/>
  <c r="I9"/>
  <c r="I8"/>
  <c r="K28" i="65089"/>
  <c r="K16"/>
  <c r="K13"/>
  <c r="K8"/>
  <c r="J28"/>
  <c r="J23"/>
  <c r="J16" s="1"/>
  <c r="J14"/>
  <c r="J13" s="1"/>
  <c r="J10"/>
  <c r="J9"/>
  <c r="J8"/>
  <c r="I28"/>
  <c r="I23"/>
  <c r="I16" s="1"/>
  <c r="I14"/>
  <c r="I13" s="1"/>
  <c r="I10"/>
  <c r="I9"/>
  <c r="I8"/>
  <c r="K28" i="65088"/>
  <c r="K16"/>
  <c r="K13"/>
  <c r="K8"/>
  <c r="J28"/>
  <c r="J16"/>
  <c r="J14"/>
  <c r="J13"/>
  <c r="J10"/>
  <c r="J9"/>
  <c r="J8" s="1"/>
  <c r="I28"/>
  <c r="I16"/>
  <c r="I14"/>
  <c r="I13"/>
  <c r="I10"/>
  <c r="I9"/>
  <c r="I8" s="1"/>
  <c r="K28" i="65087"/>
  <c r="K16"/>
  <c r="K13"/>
  <c r="K8"/>
  <c r="J28"/>
  <c r="J16"/>
  <c r="J14"/>
  <c r="J13"/>
  <c r="J10"/>
  <c r="J9"/>
  <c r="J8" s="1"/>
  <c r="I28"/>
  <c r="I16"/>
  <c r="I14"/>
  <c r="I13"/>
  <c r="I10"/>
  <c r="I9"/>
  <c r="I8" s="1"/>
  <c r="K28" i="65086"/>
  <c r="K16"/>
  <c r="K13"/>
  <c r="K8"/>
  <c r="J28"/>
  <c r="J16"/>
  <c r="J14"/>
  <c r="J13"/>
  <c r="J10"/>
  <c r="J9"/>
  <c r="J8" s="1"/>
  <c r="I28"/>
  <c r="I16"/>
  <c r="I14"/>
  <c r="I13"/>
  <c r="I10"/>
  <c r="I9"/>
  <c r="I8" s="1"/>
  <c r="K28" i="65085"/>
  <c r="K16"/>
  <c r="K13"/>
  <c r="K8"/>
  <c r="J28"/>
  <c r="J23"/>
  <c r="J16" s="1"/>
  <c r="J14"/>
  <c r="J13" s="1"/>
  <c r="J10"/>
  <c r="J9"/>
  <c r="J8"/>
  <c r="I28"/>
  <c r="I23"/>
  <c r="I16"/>
  <c r="I14"/>
  <c r="I13"/>
  <c r="I10"/>
  <c r="I9"/>
  <c r="I8" s="1"/>
  <c r="K28" i="65084"/>
  <c r="K16"/>
  <c r="K13"/>
  <c r="K8"/>
  <c r="J28"/>
  <c r="J16"/>
  <c r="J14"/>
  <c r="J13" s="1"/>
  <c r="J10"/>
  <c r="J9"/>
  <c r="J8" s="1"/>
  <c r="I28"/>
  <c r="I16"/>
  <c r="I14"/>
  <c r="I13"/>
  <c r="I10"/>
  <c r="I9"/>
  <c r="I8" s="1"/>
  <c r="K28" i="65083"/>
  <c r="K16"/>
  <c r="K13"/>
  <c r="K8"/>
  <c r="J28"/>
  <c r="J23"/>
  <c r="J18"/>
  <c r="J16"/>
  <c r="J14"/>
  <c r="J13"/>
  <c r="J10"/>
  <c r="J9"/>
  <c r="J8" s="1"/>
  <c r="I28"/>
  <c r="I23"/>
  <c r="I18"/>
  <c r="I16" s="1"/>
  <c r="I14"/>
  <c r="I13"/>
  <c r="I10"/>
  <c r="I9"/>
  <c r="I8" s="1"/>
  <c r="K28" i="65122"/>
  <c r="K16"/>
  <c r="K13"/>
  <c r="K8"/>
  <c r="J28"/>
  <c r="J16"/>
  <c r="J14"/>
  <c r="J13"/>
  <c r="J10"/>
  <c r="J9"/>
  <c r="J8" s="1"/>
  <c r="I28"/>
  <c r="I16"/>
  <c r="I14"/>
  <c r="I13" s="1"/>
  <c r="I10"/>
  <c r="I9"/>
  <c r="I8" s="1"/>
  <c r="K28" i="65081"/>
  <c r="K16"/>
  <c r="K13"/>
  <c r="K8"/>
  <c r="J28"/>
  <c r="J16"/>
  <c r="J14"/>
  <c r="J13"/>
  <c r="J10"/>
  <c r="J9"/>
  <c r="J8" s="1"/>
  <c r="I28"/>
  <c r="I16"/>
  <c r="I14"/>
  <c r="I13"/>
  <c r="I10"/>
  <c r="I9"/>
  <c r="I8" s="1"/>
  <c r="K28" i="65082"/>
  <c r="K16"/>
  <c r="K13"/>
  <c r="K8"/>
  <c r="J28"/>
  <c r="J18"/>
  <c r="J16" s="1"/>
  <c r="J14"/>
  <c r="J13" s="1"/>
  <c r="J10"/>
  <c r="J9"/>
  <c r="J8"/>
  <c r="I28"/>
  <c r="I18"/>
  <c r="I16" s="1"/>
  <c r="I14"/>
  <c r="I13"/>
  <c r="I10"/>
  <c r="I9"/>
  <c r="I8" s="1"/>
  <c r="K49" i="65080"/>
  <c r="K45"/>
  <c r="K42"/>
  <c r="K30"/>
  <c r="K16"/>
  <c r="K13"/>
  <c r="K8"/>
  <c r="J49"/>
  <c r="J45"/>
  <c r="J42"/>
  <c r="J30"/>
  <c r="J16"/>
  <c r="J14"/>
  <c r="J13" s="1"/>
  <c r="J10"/>
  <c r="J9"/>
  <c r="J8"/>
  <c r="I49"/>
  <c r="I45"/>
  <c r="I42"/>
  <c r="I30"/>
  <c r="I16"/>
  <c r="I14"/>
  <c r="I13" s="1"/>
  <c r="I10"/>
  <c r="I9"/>
  <c r="I8"/>
  <c r="K38" i="65079"/>
  <c r="K34"/>
  <c r="K28"/>
  <c r="K16"/>
  <c r="K13"/>
  <c r="K8"/>
  <c r="J38"/>
  <c r="J34"/>
  <c r="J28"/>
  <c r="J16"/>
  <c r="J14"/>
  <c r="J13"/>
  <c r="J10"/>
  <c r="J9"/>
  <c r="J8" s="1"/>
  <c r="I38"/>
  <c r="I34"/>
  <c r="I28"/>
  <c r="I16"/>
  <c r="I14"/>
  <c r="I13"/>
  <c r="I10"/>
  <c r="I9"/>
  <c r="I8" s="1"/>
  <c r="K33" i="65078"/>
  <c r="K29"/>
  <c r="K16"/>
  <c r="K13"/>
  <c r="K8"/>
  <c r="J33"/>
  <c r="J29"/>
  <c r="J16"/>
  <c r="J14"/>
  <c r="J13"/>
  <c r="J10"/>
  <c r="J9"/>
  <c r="J8"/>
  <c r="I33"/>
  <c r="I29"/>
  <c r="I16"/>
  <c r="I14"/>
  <c r="I13"/>
  <c r="I10"/>
  <c r="I9"/>
  <c r="I8" s="1"/>
  <c r="K33" i="65077"/>
  <c r="K28"/>
  <c r="K16"/>
  <c r="K13"/>
  <c r="K8"/>
  <c r="J33"/>
  <c r="J28"/>
  <c r="J16"/>
  <c r="J14"/>
  <c r="J13" s="1"/>
  <c r="J10"/>
  <c r="J9"/>
  <c r="J8"/>
  <c r="I33"/>
  <c r="I28"/>
  <c r="I16"/>
  <c r="I14"/>
  <c r="I13"/>
  <c r="I10"/>
  <c r="I9"/>
  <c r="I8" s="1"/>
  <c r="K43" i="65076"/>
  <c r="K37"/>
  <c r="K32"/>
  <c r="K19"/>
  <c r="K16"/>
  <c r="K11"/>
  <c r="K8"/>
  <c r="J43"/>
  <c r="J37"/>
  <c r="J32"/>
  <c r="J23"/>
  <c r="J19"/>
  <c r="J17"/>
  <c r="J16"/>
  <c r="J13"/>
  <c r="J12"/>
  <c r="J11" s="1"/>
  <c r="J8"/>
  <c r="I43"/>
  <c r="I37"/>
  <c r="I32"/>
  <c r="I23"/>
  <c r="I19"/>
  <c r="I17"/>
  <c r="I16"/>
  <c r="I13"/>
  <c r="I12"/>
  <c r="I11" s="1"/>
  <c r="I8"/>
  <c r="K36" i="65075"/>
  <c r="K33"/>
  <c r="K29"/>
  <c r="K16"/>
  <c r="K13"/>
  <c r="K8"/>
  <c r="J36"/>
  <c r="J33"/>
  <c r="J29"/>
  <c r="J16"/>
  <c r="J14"/>
  <c r="J13"/>
  <c r="J10"/>
  <c r="J9"/>
  <c r="J8" s="1"/>
  <c r="I36"/>
  <c r="I33"/>
  <c r="I29"/>
  <c r="I16"/>
  <c r="I14"/>
  <c r="I13"/>
  <c r="I10"/>
  <c r="I9"/>
  <c r="I8" s="1"/>
  <c r="K28" i="65115"/>
  <c r="K16"/>
  <c r="K13"/>
  <c r="K8"/>
  <c r="J28"/>
  <c r="J16"/>
  <c r="J14"/>
  <c r="J13"/>
  <c r="J10"/>
  <c r="J9"/>
  <c r="J8" s="1"/>
  <c r="I28"/>
  <c r="I16"/>
  <c r="I14"/>
  <c r="I13"/>
  <c r="I10"/>
  <c r="I9"/>
  <c r="I8" s="1"/>
  <c r="K28" i="65100"/>
  <c r="K16"/>
  <c r="K13"/>
  <c r="K8"/>
  <c r="J28"/>
  <c r="J16"/>
  <c r="J14"/>
  <c r="J13"/>
  <c r="J10"/>
  <c r="J9"/>
  <c r="J8" s="1"/>
  <c r="I28"/>
  <c r="I16"/>
  <c r="I14"/>
  <c r="I13"/>
  <c r="I10"/>
  <c r="I9"/>
  <c r="I8" s="1"/>
  <c r="K28" i="65074"/>
  <c r="K16"/>
  <c r="K13"/>
  <c r="K8"/>
  <c r="J28"/>
  <c r="J16"/>
  <c r="J14"/>
  <c r="J13"/>
  <c r="J10"/>
  <c r="J9"/>
  <c r="J8" s="1"/>
  <c r="I28"/>
  <c r="I16"/>
  <c r="I14"/>
  <c r="I13"/>
  <c r="I10"/>
  <c r="I9"/>
  <c r="I8" s="1"/>
  <c r="K29" i="65071"/>
  <c r="K16"/>
  <c r="K13"/>
  <c r="K8"/>
  <c r="J29"/>
  <c r="J16"/>
  <c r="J14"/>
  <c r="J13"/>
  <c r="J10"/>
  <c r="J9"/>
  <c r="J8" s="1"/>
  <c r="I29"/>
  <c r="I16"/>
  <c r="I14"/>
  <c r="I13"/>
  <c r="I10"/>
  <c r="I9"/>
  <c r="I8" s="1"/>
  <c r="K30" i="65070"/>
  <c r="K16"/>
  <c r="K13"/>
  <c r="K8"/>
  <c r="J30"/>
  <c r="J16"/>
  <c r="J14"/>
  <c r="J13"/>
  <c r="J10"/>
  <c r="J9"/>
  <c r="J8" s="1"/>
  <c r="I30"/>
  <c r="I16"/>
  <c r="I14"/>
  <c r="I13"/>
  <c r="I10"/>
  <c r="I9"/>
  <c r="I8" s="1"/>
  <c r="K28" i="65069"/>
  <c r="K16"/>
  <c r="K13"/>
  <c r="K8"/>
  <c r="J28"/>
  <c r="J16"/>
  <c r="J14"/>
  <c r="J13"/>
  <c r="J10"/>
  <c r="J9"/>
  <c r="J8" s="1"/>
  <c r="I28"/>
  <c r="I16"/>
  <c r="I14"/>
  <c r="I13" s="1"/>
  <c r="I10"/>
  <c r="I9"/>
  <c r="I8"/>
  <c r="K28" i="65068"/>
  <c r="K16"/>
  <c r="K13"/>
  <c r="K8"/>
  <c r="J29"/>
  <c r="J28"/>
  <c r="J26"/>
  <c r="J22"/>
  <c r="J16" s="1"/>
  <c r="J13"/>
  <c r="J11"/>
  <c r="J8"/>
  <c r="J32" i="65140"/>
  <c r="J31"/>
  <c r="J28"/>
  <c r="J26"/>
  <c r="J24"/>
  <c r="J22"/>
  <c r="J21"/>
  <c r="J20"/>
  <c r="J18"/>
  <c r="J16"/>
  <c r="J13"/>
  <c r="J11"/>
  <c r="J8" s="1"/>
  <c r="K28" i="65123"/>
  <c r="K16"/>
  <c r="K13"/>
  <c r="K8"/>
  <c r="J29"/>
  <c r="J28" s="1"/>
  <c r="J26"/>
  <c r="J24"/>
  <c r="J22"/>
  <c r="J21"/>
  <c r="J18"/>
  <c r="J16" s="1"/>
  <c r="J13"/>
  <c r="J11"/>
  <c r="J8"/>
  <c r="K28" i="65099"/>
  <c r="K16"/>
  <c r="K13"/>
  <c r="K8"/>
  <c r="J29"/>
  <c r="J28"/>
  <c r="J26"/>
  <c r="J24"/>
  <c r="J22"/>
  <c r="J21"/>
  <c r="J18"/>
  <c r="J16"/>
  <c r="J13"/>
  <c r="J11"/>
  <c r="J8" s="1"/>
  <c r="I8"/>
  <c r="I11"/>
  <c r="I13"/>
  <c r="I18"/>
  <c r="I16" s="1"/>
  <c r="I21"/>
  <c r="I22"/>
  <c r="I24"/>
  <c r="I26"/>
  <c r="I28"/>
  <c r="I29"/>
  <c r="K28" i="65067"/>
  <c r="K16"/>
  <c r="K13"/>
  <c r="K8"/>
  <c r="J29"/>
  <c r="J28"/>
  <c r="J26"/>
  <c r="J24"/>
  <c r="J23"/>
  <c r="J22"/>
  <c r="J21"/>
  <c r="J20"/>
  <c r="J19"/>
  <c r="J18"/>
  <c r="J16" s="1"/>
  <c r="J13"/>
  <c r="J11"/>
  <c r="J8"/>
  <c r="I11"/>
  <c r="I8" s="1"/>
  <c r="I13"/>
  <c r="I18"/>
  <c r="I19"/>
  <c r="I16" s="1"/>
  <c r="I20"/>
  <c r="I21"/>
  <c r="I22"/>
  <c r="I23"/>
  <c r="I24"/>
  <c r="I26"/>
  <c r="I29"/>
  <c r="I28" s="1"/>
  <c r="K31" i="65066"/>
  <c r="K16"/>
  <c r="K13"/>
  <c r="K8"/>
  <c r="J32"/>
  <c r="J31"/>
  <c r="J28"/>
  <c r="J24"/>
  <c r="J22"/>
  <c r="J21"/>
  <c r="J20"/>
  <c r="J18"/>
  <c r="J16" s="1"/>
  <c r="J13"/>
  <c r="J11"/>
  <c r="J8"/>
  <c r="K49" i="65065"/>
  <c r="K46"/>
  <c r="K34"/>
  <c r="K21"/>
  <c r="K18"/>
  <c r="K13"/>
  <c r="K8"/>
  <c r="J49"/>
  <c r="J46"/>
  <c r="J34"/>
  <c r="J32"/>
  <c r="J21" s="1"/>
  <c r="J19"/>
  <c r="J18" s="1"/>
  <c r="J16"/>
  <c r="J15"/>
  <c r="J14"/>
  <c r="J13" s="1"/>
  <c r="J8"/>
  <c r="I49"/>
  <c r="I46"/>
  <c r="I34"/>
  <c r="I32"/>
  <c r="I21"/>
  <c r="I19"/>
  <c r="I18"/>
  <c r="I16"/>
  <c r="I15"/>
  <c r="I14"/>
  <c r="I13"/>
  <c r="I8"/>
  <c r="J28" i="16" l="1"/>
  <c r="J26"/>
  <c r="J16" s="1"/>
  <c r="J13"/>
  <c r="J11"/>
  <c r="J8"/>
  <c r="M37" i="65140" l="1"/>
  <c r="M38" s="1"/>
  <c r="I95" i="300"/>
  <c r="H95"/>
  <c r="G95"/>
  <c r="F95"/>
  <c r="M34" i="65079"/>
  <c r="N35"/>
  <c r="O35" s="1"/>
  <c r="K95" i="300" l="1"/>
  <c r="L95" s="1"/>
  <c r="J95"/>
  <c r="J108"/>
  <c r="I108"/>
  <c r="H108"/>
  <c r="G108"/>
  <c r="J107"/>
  <c r="I107"/>
  <c r="H107"/>
  <c r="G107"/>
  <c r="F108"/>
  <c r="J63"/>
  <c r="I63"/>
  <c r="H63"/>
  <c r="G63"/>
  <c r="F63"/>
  <c r="J44"/>
  <c r="I44"/>
  <c r="H44"/>
  <c r="J38"/>
  <c r="I38"/>
  <c r="H38"/>
  <c r="G38"/>
  <c r="F38"/>
  <c r="J35"/>
  <c r="I35"/>
  <c r="H35"/>
  <c r="J32"/>
  <c r="I32"/>
  <c r="H32"/>
  <c r="G32"/>
  <c r="J30"/>
  <c r="I30"/>
  <c r="H30"/>
  <c r="J29"/>
  <c r="I29"/>
  <c r="H29"/>
  <c r="J28"/>
  <c r="I28"/>
  <c r="H28"/>
  <c r="G28"/>
  <c r="J27"/>
  <c r="I27"/>
  <c r="H27"/>
  <c r="G27"/>
  <c r="J26"/>
  <c r="I26"/>
  <c r="H26"/>
  <c r="J25"/>
  <c r="I25"/>
  <c r="H25"/>
  <c r="G25"/>
  <c r="F32"/>
  <c r="F28"/>
  <c r="F27"/>
  <c r="F25"/>
  <c r="J22"/>
  <c r="I22"/>
  <c r="H22"/>
  <c r="F22"/>
  <c r="J19"/>
  <c r="I19"/>
  <c r="H19"/>
  <c r="G19"/>
  <c r="J18"/>
  <c r="H18"/>
  <c r="F18"/>
  <c r="J16"/>
  <c r="I16"/>
  <c r="H16"/>
  <c r="F16"/>
  <c r="K8" i="65140"/>
  <c r="K13"/>
  <c r="K16"/>
  <c r="K31"/>
  <c r="O34"/>
  <c r="N33"/>
  <c r="O33" s="1"/>
  <c r="O32"/>
  <c r="N32"/>
  <c r="I32"/>
  <c r="N31"/>
  <c r="M31"/>
  <c r="I31"/>
  <c r="O30"/>
  <c r="N29"/>
  <c r="K63" i="300" s="1"/>
  <c r="M28" i="65140"/>
  <c r="K28"/>
  <c r="I28"/>
  <c r="O27"/>
  <c r="O26"/>
  <c r="N26"/>
  <c r="I26"/>
  <c r="N25"/>
  <c r="O25" s="1"/>
  <c r="O24"/>
  <c r="N24"/>
  <c r="I24"/>
  <c r="N23"/>
  <c r="O23" s="1"/>
  <c r="O22"/>
  <c r="N22"/>
  <c r="I22"/>
  <c r="O21"/>
  <c r="N21"/>
  <c r="I21"/>
  <c r="O20"/>
  <c r="N20"/>
  <c r="I20"/>
  <c r="O19"/>
  <c r="N19"/>
  <c r="O18"/>
  <c r="N18"/>
  <c r="I18"/>
  <c r="N17"/>
  <c r="O17" s="1"/>
  <c r="M16"/>
  <c r="I16"/>
  <c r="O15"/>
  <c r="N14"/>
  <c r="O14" s="1"/>
  <c r="M13"/>
  <c r="I13"/>
  <c r="O12"/>
  <c r="O11"/>
  <c r="N11"/>
  <c r="I11"/>
  <c r="N10"/>
  <c r="D11" i="65124" s="1"/>
  <c r="N9" i="65140"/>
  <c r="C11" i="65124" s="1"/>
  <c r="M8" i="65140"/>
  <c r="I8"/>
  <c r="I18" i="300"/>
  <c r="N16" i="65140" l="1"/>
  <c r="F11" i="65124" s="1"/>
  <c r="N28" i="65140"/>
  <c r="O29"/>
  <c r="K36"/>
  <c r="J11" i="65124"/>
  <c r="D13" i="65125"/>
  <c r="C13" s="1"/>
  <c r="N13" i="65140"/>
  <c r="E11" i="65124" s="1"/>
  <c r="O10" i="65140"/>
  <c r="O13"/>
  <c r="O16"/>
  <c r="J36"/>
  <c r="M36"/>
  <c r="I36"/>
  <c r="L36"/>
  <c r="N8"/>
  <c r="O8" s="1"/>
  <c r="O9"/>
  <c r="O31"/>
  <c r="G11" i="65124" l="1"/>
  <c r="O28" i="65140"/>
  <c r="L11" i="65124"/>
  <c r="N36" i="65140"/>
  <c r="O36" s="1"/>
  <c r="J96" i="300" l="1"/>
  <c r="I96"/>
  <c r="H96"/>
  <c r="G96"/>
  <c r="F96"/>
  <c r="K43" i="65079"/>
  <c r="N36"/>
  <c r="O33"/>
  <c r="J40" i="300"/>
  <c r="I40"/>
  <c r="H40"/>
  <c r="G40"/>
  <c r="F40"/>
  <c r="N26" i="65070"/>
  <c r="O26" s="1"/>
  <c r="L13" i="65066"/>
  <c r="L8"/>
  <c r="L63" i="300"/>
  <c r="M28" i="65066"/>
  <c r="L28"/>
  <c r="K28"/>
  <c r="I28"/>
  <c r="F68" i="300"/>
  <c r="L31" i="65066"/>
  <c r="L16"/>
  <c r="O36" i="65079" l="1"/>
  <c r="N34"/>
  <c r="K96" i="300"/>
  <c r="L96" s="1"/>
  <c r="K40"/>
  <c r="L40" s="1"/>
  <c r="H23" i="65124" l="1"/>
  <c r="O34" i="65079"/>
  <c r="G112" i="300"/>
  <c r="H112"/>
  <c r="I112"/>
  <c r="J112"/>
  <c r="F112"/>
  <c r="G110"/>
  <c r="H110"/>
  <c r="I110"/>
  <c r="J110"/>
  <c r="F110"/>
  <c r="M33" i="65078"/>
  <c r="N38"/>
  <c r="O38" s="1"/>
  <c r="N36"/>
  <c r="O36" s="1"/>
  <c r="G97" i="300"/>
  <c r="L97" s="1"/>
  <c r="H97"/>
  <c r="I97"/>
  <c r="J97"/>
  <c r="F97"/>
  <c r="G50"/>
  <c r="H50"/>
  <c r="I50"/>
  <c r="J50"/>
  <c r="F50"/>
  <c r="K41" i="65075"/>
  <c r="J41"/>
  <c r="E39" i="65137" s="1"/>
  <c r="E30" s="1"/>
  <c r="I41" i="65075"/>
  <c r="M33"/>
  <c r="N34"/>
  <c r="N33" s="1"/>
  <c r="H19" i="65124" s="1"/>
  <c r="O32" i="65075"/>
  <c r="M29"/>
  <c r="N30"/>
  <c r="O30" s="1"/>
  <c r="M28" i="65093"/>
  <c r="J68" i="300" s="1"/>
  <c r="I68"/>
  <c r="J82"/>
  <c r="J83"/>
  <c r="I83"/>
  <c r="I82"/>
  <c r="H83"/>
  <c r="H82"/>
  <c r="G83"/>
  <c r="G82"/>
  <c r="F83"/>
  <c r="F82"/>
  <c r="M30" i="65080"/>
  <c r="N40"/>
  <c r="N39"/>
  <c r="N31" i="65079"/>
  <c r="G29" i="300"/>
  <c r="G68"/>
  <c r="H68"/>
  <c r="K33" i="65089"/>
  <c r="G44" i="300"/>
  <c r="G35"/>
  <c r="O39" i="65080" l="1"/>
  <c r="F62" i="65137"/>
  <c r="K83" i="300"/>
  <c r="L83" s="1"/>
  <c r="F63" i="65137"/>
  <c r="G26" i="300"/>
  <c r="G30"/>
  <c r="O33" i="65075"/>
  <c r="O34"/>
  <c r="K97" i="300"/>
  <c r="K50"/>
  <c r="L50" s="1"/>
  <c r="K82"/>
  <c r="L82" s="1"/>
  <c r="K112"/>
  <c r="L112" s="1"/>
  <c r="K110"/>
  <c r="L110" s="1"/>
  <c r="F107"/>
  <c r="F35"/>
  <c r="F30"/>
  <c r="F29"/>
  <c r="I33" i="65115"/>
  <c r="K33" i="65100"/>
  <c r="J34" i="65071"/>
  <c r="I29" i="65068"/>
  <c r="I28"/>
  <c r="I26"/>
  <c r="I22"/>
  <c r="I16" s="1"/>
  <c r="I13"/>
  <c r="I11"/>
  <c r="I8"/>
  <c r="I29" i="65123"/>
  <c r="I28"/>
  <c r="I26"/>
  <c r="I24"/>
  <c r="I22"/>
  <c r="I21"/>
  <c r="I18"/>
  <c r="I16"/>
  <c r="I13"/>
  <c r="I11"/>
  <c r="I8" s="1"/>
  <c r="I32" i="65066"/>
  <c r="I31" s="1"/>
  <c r="I24"/>
  <c r="I22"/>
  <c r="I21"/>
  <c r="I20"/>
  <c r="I18"/>
  <c r="I16" s="1"/>
  <c r="I13"/>
  <c r="I11"/>
  <c r="I8" s="1"/>
  <c r="K28" i="16"/>
  <c r="K16"/>
  <c r="K13"/>
  <c r="K8"/>
  <c r="I28"/>
  <c r="I26"/>
  <c r="I16" s="1"/>
  <c r="I13"/>
  <c r="I11"/>
  <c r="I8"/>
  <c r="F44" i="300" l="1"/>
  <c r="G18"/>
  <c r="F26"/>
  <c r="G16"/>
  <c r="I43" i="65079"/>
  <c r="F19" i="300"/>
  <c r="G22"/>
  <c r="J43" i="65079" l="1"/>
  <c r="N29" i="65093" l="1"/>
  <c r="O29" l="1"/>
  <c r="N9" i="65065"/>
  <c r="M28" i="65074" l="1"/>
  <c r="M35" i="16" l="1"/>
  <c r="M34"/>
  <c r="G94" i="300" l="1"/>
  <c r="G93" s="1"/>
  <c r="H94"/>
  <c r="H93" s="1"/>
  <c r="I94"/>
  <c r="I93" s="1"/>
  <c r="J94"/>
  <c r="J93" s="1"/>
  <c r="F94"/>
  <c r="F93" s="1"/>
  <c r="N30" i="16"/>
  <c r="N29"/>
  <c r="N26"/>
  <c r="N25"/>
  <c r="N24"/>
  <c r="N23"/>
  <c r="N22"/>
  <c r="N21"/>
  <c r="N20"/>
  <c r="N19"/>
  <c r="N18"/>
  <c r="N17"/>
  <c r="N11"/>
  <c r="N52" i="65065"/>
  <c r="N51"/>
  <c r="N50"/>
  <c r="N47"/>
  <c r="K94" i="300" s="1"/>
  <c r="K93" s="1"/>
  <c r="N44" i="65065"/>
  <c r="N43"/>
  <c r="N42"/>
  <c r="N41"/>
  <c r="N40"/>
  <c r="N39"/>
  <c r="N38"/>
  <c r="N37"/>
  <c r="N36"/>
  <c r="N35"/>
  <c r="N32"/>
  <c r="N31"/>
  <c r="N30"/>
  <c r="N29"/>
  <c r="N28"/>
  <c r="N27"/>
  <c r="N26"/>
  <c r="N25"/>
  <c r="N24"/>
  <c r="N23"/>
  <c r="N22"/>
  <c r="N16"/>
  <c r="N11"/>
  <c r="N10"/>
  <c r="N33" i="65066"/>
  <c r="N32"/>
  <c r="N29"/>
  <c r="N28" s="1"/>
  <c r="N26"/>
  <c r="N25"/>
  <c r="N24"/>
  <c r="N23"/>
  <c r="N22"/>
  <c r="N21"/>
  <c r="N20"/>
  <c r="N19"/>
  <c r="N18"/>
  <c r="N17"/>
  <c r="N11"/>
  <c r="N30" i="65067"/>
  <c r="N29"/>
  <c r="N26"/>
  <c r="N25"/>
  <c r="N24"/>
  <c r="N23"/>
  <c r="N22"/>
  <c r="N21"/>
  <c r="N20"/>
  <c r="N19"/>
  <c r="N18"/>
  <c r="N17"/>
  <c r="N11"/>
  <c r="N30" i="65099"/>
  <c r="N29"/>
  <c r="N26"/>
  <c r="N25"/>
  <c r="N24"/>
  <c r="N23"/>
  <c r="N22"/>
  <c r="N21"/>
  <c r="N20"/>
  <c r="N19"/>
  <c r="N18"/>
  <c r="N17"/>
  <c r="N11"/>
  <c r="N30" i="65123"/>
  <c r="N29"/>
  <c r="N26"/>
  <c r="N25"/>
  <c r="N24"/>
  <c r="N23"/>
  <c r="N22"/>
  <c r="N21"/>
  <c r="N20"/>
  <c r="N19"/>
  <c r="N18"/>
  <c r="N17"/>
  <c r="N11"/>
  <c r="N30" i="65068"/>
  <c r="N29"/>
  <c r="N26"/>
  <c r="N25"/>
  <c r="N24"/>
  <c r="N23"/>
  <c r="N22"/>
  <c r="N21"/>
  <c r="N20"/>
  <c r="N19"/>
  <c r="N18"/>
  <c r="N17"/>
  <c r="N11"/>
  <c r="N30" i="65069"/>
  <c r="N29"/>
  <c r="N26"/>
  <c r="N25"/>
  <c r="N24"/>
  <c r="N23"/>
  <c r="N22"/>
  <c r="N21"/>
  <c r="N20"/>
  <c r="N19"/>
  <c r="N18"/>
  <c r="N17"/>
  <c r="N11"/>
  <c r="N32" i="65070"/>
  <c r="N31"/>
  <c r="N28"/>
  <c r="N25"/>
  <c r="N24"/>
  <c r="N23"/>
  <c r="N22"/>
  <c r="N21"/>
  <c r="N20"/>
  <c r="N19"/>
  <c r="N18"/>
  <c r="N17"/>
  <c r="N11"/>
  <c r="N31" i="65071"/>
  <c r="N30"/>
  <c r="N26"/>
  <c r="N25"/>
  <c r="N24"/>
  <c r="N23"/>
  <c r="N22"/>
  <c r="N21"/>
  <c r="N20"/>
  <c r="N19"/>
  <c r="N18"/>
  <c r="N17"/>
  <c r="N11"/>
  <c r="N30" i="65074"/>
  <c r="N29"/>
  <c r="N26"/>
  <c r="N25"/>
  <c r="N24"/>
  <c r="N23"/>
  <c r="N22"/>
  <c r="N21"/>
  <c r="N20"/>
  <c r="N19"/>
  <c r="N18"/>
  <c r="N17"/>
  <c r="N11"/>
  <c r="N30" i="65100"/>
  <c r="N29"/>
  <c r="N26"/>
  <c r="N25"/>
  <c r="N24"/>
  <c r="N23"/>
  <c r="N22"/>
  <c r="N21"/>
  <c r="N20"/>
  <c r="N19"/>
  <c r="N18"/>
  <c r="N17"/>
  <c r="N11"/>
  <c r="N30" i="65115"/>
  <c r="N29"/>
  <c r="N26"/>
  <c r="N25"/>
  <c r="N24"/>
  <c r="N23"/>
  <c r="N22"/>
  <c r="N21"/>
  <c r="N20"/>
  <c r="N19"/>
  <c r="N18"/>
  <c r="N17"/>
  <c r="N11"/>
  <c r="N38" i="65075"/>
  <c r="N37"/>
  <c r="N31"/>
  <c r="N29" s="1"/>
  <c r="N27"/>
  <c r="N26"/>
  <c r="N25"/>
  <c r="N24"/>
  <c r="N23"/>
  <c r="N22"/>
  <c r="N21"/>
  <c r="N20"/>
  <c r="N19"/>
  <c r="N18"/>
  <c r="N17"/>
  <c r="N11"/>
  <c r="N51" i="65076"/>
  <c r="N50"/>
  <c r="N45"/>
  <c r="N44"/>
  <c r="N41"/>
  <c r="N40"/>
  <c r="N35"/>
  <c r="N34"/>
  <c r="N33"/>
  <c r="N30"/>
  <c r="N26"/>
  <c r="N25"/>
  <c r="N24"/>
  <c r="N21"/>
  <c r="N20"/>
  <c r="O20" s="1"/>
  <c r="O21"/>
  <c r="O24"/>
  <c r="O25"/>
  <c r="O26"/>
  <c r="O30"/>
  <c r="N14"/>
  <c r="N9"/>
  <c r="N35" i="65077"/>
  <c r="N34"/>
  <c r="N31"/>
  <c r="N30"/>
  <c r="N29"/>
  <c r="N26"/>
  <c r="N25"/>
  <c r="N24"/>
  <c r="N23"/>
  <c r="N22"/>
  <c r="N21"/>
  <c r="N20"/>
  <c r="N19"/>
  <c r="N18"/>
  <c r="N17"/>
  <c r="N11"/>
  <c r="N37" i="65078"/>
  <c r="N35"/>
  <c r="N34"/>
  <c r="N31"/>
  <c r="N30"/>
  <c r="N27"/>
  <c r="N26"/>
  <c r="N25"/>
  <c r="N24"/>
  <c r="N23"/>
  <c r="N22"/>
  <c r="N21"/>
  <c r="N20"/>
  <c r="N19"/>
  <c r="N18"/>
  <c r="N17"/>
  <c r="N11"/>
  <c r="N40" i="65079"/>
  <c r="N39"/>
  <c r="N32"/>
  <c r="N30"/>
  <c r="N29"/>
  <c r="N26"/>
  <c r="N25"/>
  <c r="N24"/>
  <c r="N23"/>
  <c r="N22"/>
  <c r="N21"/>
  <c r="N20"/>
  <c r="N19"/>
  <c r="N18"/>
  <c r="N17"/>
  <c r="N11"/>
  <c r="J53" i="65080"/>
  <c r="E76" i="65137" s="1"/>
  <c r="E68" s="1"/>
  <c r="K53" i="65080"/>
  <c r="N50"/>
  <c r="N47"/>
  <c r="N46"/>
  <c r="N43"/>
  <c r="N38"/>
  <c r="F65" i="65137" s="1"/>
  <c r="N37" i="65080"/>
  <c r="F64" i="65137" s="1"/>
  <c r="N36" i="65080"/>
  <c r="N35"/>
  <c r="N34"/>
  <c r="N33"/>
  <c r="N32"/>
  <c r="N31"/>
  <c r="F72" i="65137" s="1"/>
  <c r="N28" i="65080"/>
  <c r="N27"/>
  <c r="N26"/>
  <c r="N25"/>
  <c r="N24"/>
  <c r="N23"/>
  <c r="N22"/>
  <c r="N21"/>
  <c r="N20"/>
  <c r="N19"/>
  <c r="N18"/>
  <c r="N17"/>
  <c r="N11"/>
  <c r="N30" i="65082"/>
  <c r="N29"/>
  <c r="N26"/>
  <c r="N25"/>
  <c r="N24"/>
  <c r="N23"/>
  <c r="N22"/>
  <c r="N21"/>
  <c r="N20"/>
  <c r="N19"/>
  <c r="N18"/>
  <c r="N17"/>
  <c r="N11"/>
  <c r="N30" i="65081"/>
  <c r="N29"/>
  <c r="N26"/>
  <c r="N25"/>
  <c r="N24"/>
  <c r="N23"/>
  <c r="N22"/>
  <c r="N21"/>
  <c r="N20"/>
  <c r="N19"/>
  <c r="N18"/>
  <c r="N17"/>
  <c r="N11"/>
  <c r="N30" i="65122"/>
  <c r="N29"/>
  <c r="N26"/>
  <c r="N25"/>
  <c r="N24"/>
  <c r="N23"/>
  <c r="N22"/>
  <c r="N21"/>
  <c r="N20"/>
  <c r="N19"/>
  <c r="N18"/>
  <c r="N17"/>
  <c r="N11"/>
  <c r="N30" i="65083"/>
  <c r="N29"/>
  <c r="N26"/>
  <c r="N25"/>
  <c r="N24"/>
  <c r="N23"/>
  <c r="N22"/>
  <c r="N21"/>
  <c r="N20"/>
  <c r="N19"/>
  <c r="N18"/>
  <c r="N17"/>
  <c r="N11"/>
  <c r="N30" i="65084"/>
  <c r="N29"/>
  <c r="N26"/>
  <c r="N25"/>
  <c r="N24"/>
  <c r="N23"/>
  <c r="N22"/>
  <c r="N21"/>
  <c r="N20"/>
  <c r="N19"/>
  <c r="N18"/>
  <c r="N17"/>
  <c r="N11"/>
  <c r="N30" i="65085"/>
  <c r="N29"/>
  <c r="N26"/>
  <c r="N25"/>
  <c r="N24"/>
  <c r="N23"/>
  <c r="N22"/>
  <c r="N21"/>
  <c r="N20"/>
  <c r="N19"/>
  <c r="N18"/>
  <c r="N17"/>
  <c r="N11"/>
  <c r="N30" i="65086"/>
  <c r="N29"/>
  <c r="N26"/>
  <c r="N25"/>
  <c r="N24"/>
  <c r="N23"/>
  <c r="N22"/>
  <c r="N21"/>
  <c r="N20"/>
  <c r="N19"/>
  <c r="N18"/>
  <c r="N17"/>
  <c r="N11"/>
  <c r="N30" i="65087"/>
  <c r="N29"/>
  <c r="N26"/>
  <c r="N25"/>
  <c r="N24"/>
  <c r="N23"/>
  <c r="N22"/>
  <c r="N21"/>
  <c r="N20"/>
  <c r="N19"/>
  <c r="N18"/>
  <c r="N17"/>
  <c r="N11"/>
  <c r="N30" i="65088"/>
  <c r="N29"/>
  <c r="N26"/>
  <c r="N25"/>
  <c r="N24"/>
  <c r="N23"/>
  <c r="N22"/>
  <c r="N21"/>
  <c r="N20"/>
  <c r="N19"/>
  <c r="N18"/>
  <c r="N17"/>
  <c r="N11"/>
  <c r="N30" i="65089"/>
  <c r="N29"/>
  <c r="N26"/>
  <c r="N25"/>
  <c r="N24"/>
  <c r="N23"/>
  <c r="N22"/>
  <c r="N21"/>
  <c r="N20"/>
  <c r="N19"/>
  <c r="N18"/>
  <c r="N17"/>
  <c r="N11"/>
  <c r="N33" i="65093"/>
  <c r="N32"/>
  <c r="N26"/>
  <c r="N25"/>
  <c r="N24"/>
  <c r="N23"/>
  <c r="N22"/>
  <c r="N21"/>
  <c r="N20"/>
  <c r="N19"/>
  <c r="N18"/>
  <c r="N17"/>
  <c r="N11"/>
  <c r="N30" i="65094"/>
  <c r="N29"/>
  <c r="N26"/>
  <c r="N25"/>
  <c r="N24"/>
  <c r="N23"/>
  <c r="N22"/>
  <c r="N21"/>
  <c r="N20"/>
  <c r="N19"/>
  <c r="N18"/>
  <c r="N17"/>
  <c r="N11"/>
  <c r="N34" i="65095"/>
  <c r="N33"/>
  <c r="N30"/>
  <c r="N29"/>
  <c r="N26"/>
  <c r="N25"/>
  <c r="N24"/>
  <c r="N23"/>
  <c r="N22"/>
  <c r="N21"/>
  <c r="N20"/>
  <c r="N19"/>
  <c r="N18"/>
  <c r="N17"/>
  <c r="N11"/>
  <c r="N30" i="65096"/>
  <c r="N29"/>
  <c r="N26"/>
  <c r="N25"/>
  <c r="N24"/>
  <c r="N23"/>
  <c r="N22"/>
  <c r="N21"/>
  <c r="N20"/>
  <c r="N19"/>
  <c r="N18"/>
  <c r="N17"/>
  <c r="N11"/>
  <c r="N30" i="65097"/>
  <c r="N29"/>
  <c r="N26"/>
  <c r="N25"/>
  <c r="N24"/>
  <c r="N23"/>
  <c r="N22"/>
  <c r="N21"/>
  <c r="N20"/>
  <c r="N19"/>
  <c r="N18"/>
  <c r="N17"/>
  <c r="N11"/>
  <c r="N30" i="65098"/>
  <c r="N29"/>
  <c r="N26"/>
  <c r="N25"/>
  <c r="N24"/>
  <c r="N23"/>
  <c r="N22"/>
  <c r="N21"/>
  <c r="N20"/>
  <c r="N19"/>
  <c r="N18"/>
  <c r="N17"/>
  <c r="N11"/>
  <c r="N30" i="65105"/>
  <c r="N29"/>
  <c r="N26"/>
  <c r="N25"/>
  <c r="N24"/>
  <c r="N23"/>
  <c r="N22"/>
  <c r="N21"/>
  <c r="N20"/>
  <c r="N19"/>
  <c r="N18"/>
  <c r="N17"/>
  <c r="N11"/>
  <c r="O12" i="65065"/>
  <c r="O17"/>
  <c r="O20"/>
  <c r="O33"/>
  <c r="O45"/>
  <c r="O48"/>
  <c r="I119" i="300"/>
  <c r="I118"/>
  <c r="I115"/>
  <c r="I111"/>
  <c r="I109"/>
  <c r="I104"/>
  <c r="I103"/>
  <c r="I100"/>
  <c r="I91"/>
  <c r="I90"/>
  <c r="I88"/>
  <c r="I87"/>
  <c r="I86"/>
  <c r="I85"/>
  <c r="I81"/>
  <c r="I80"/>
  <c r="I79"/>
  <c r="I78"/>
  <c r="I77"/>
  <c r="I76"/>
  <c r="I75"/>
  <c r="I74"/>
  <c r="I73"/>
  <c r="I72"/>
  <c r="I71"/>
  <c r="I69"/>
  <c r="I67"/>
  <c r="I66"/>
  <c r="I65"/>
  <c r="I64"/>
  <c r="I62"/>
  <c r="I61"/>
  <c r="I59"/>
  <c r="I58"/>
  <c r="I57"/>
  <c r="I56"/>
  <c r="I55"/>
  <c r="I54"/>
  <c r="I53"/>
  <c r="I52"/>
  <c r="I51"/>
  <c r="I49"/>
  <c r="I45"/>
  <c r="I43"/>
  <c r="I39"/>
  <c r="I36"/>
  <c r="I33"/>
  <c r="I13"/>
  <c r="I12"/>
  <c r="I11"/>
  <c r="I10"/>
  <c r="J119"/>
  <c r="J118"/>
  <c r="J115"/>
  <c r="J111"/>
  <c r="J109"/>
  <c r="J104"/>
  <c r="J103"/>
  <c r="J100"/>
  <c r="J91"/>
  <c r="J90"/>
  <c r="J88"/>
  <c r="J87"/>
  <c r="J86"/>
  <c r="J85"/>
  <c r="J81"/>
  <c r="J80"/>
  <c r="J79"/>
  <c r="J78"/>
  <c r="J77"/>
  <c r="J76"/>
  <c r="J75"/>
  <c r="J74"/>
  <c r="J73"/>
  <c r="J72"/>
  <c r="J71"/>
  <c r="J69"/>
  <c r="J67"/>
  <c r="J66"/>
  <c r="J65"/>
  <c r="J64"/>
  <c r="J62"/>
  <c r="J61"/>
  <c r="J59"/>
  <c r="J58"/>
  <c r="J57"/>
  <c r="J56"/>
  <c r="J55"/>
  <c r="J54"/>
  <c r="J53"/>
  <c r="J52"/>
  <c r="J51"/>
  <c r="J49"/>
  <c r="J45"/>
  <c r="J43"/>
  <c r="J42"/>
  <c r="J39"/>
  <c r="J36"/>
  <c r="J33"/>
  <c r="J13"/>
  <c r="J12"/>
  <c r="J11"/>
  <c r="J10"/>
  <c r="N19" i="65065"/>
  <c r="N15"/>
  <c r="N14"/>
  <c r="N14" i="65066"/>
  <c r="N10"/>
  <c r="N14" i="65067"/>
  <c r="N10"/>
  <c r="N14" i="65099"/>
  <c r="N10"/>
  <c r="N14" i="65123"/>
  <c r="N10"/>
  <c r="N14" i="65068"/>
  <c r="N10"/>
  <c r="N14" i="65069"/>
  <c r="N10"/>
  <c r="N14" i="65070"/>
  <c r="N10"/>
  <c r="N14" i="65071"/>
  <c r="N10"/>
  <c r="N14" i="65074"/>
  <c r="N10"/>
  <c r="N14" i="65100"/>
  <c r="N10"/>
  <c r="N14" i="65115"/>
  <c r="N10"/>
  <c r="N14" i="65075"/>
  <c r="N10"/>
  <c r="L41"/>
  <c r="N29" i="65076"/>
  <c r="O29" s="1"/>
  <c r="N28"/>
  <c r="O28" s="1"/>
  <c r="N27"/>
  <c r="O27" s="1"/>
  <c r="N22"/>
  <c r="O22" s="1"/>
  <c r="N17"/>
  <c r="N13"/>
  <c r="N14" i="65077"/>
  <c r="N10"/>
  <c r="N14" i="65078"/>
  <c r="N10"/>
  <c r="N14" i="65079"/>
  <c r="N10"/>
  <c r="N14" i="65080"/>
  <c r="N10"/>
  <c r="N14" i="65082"/>
  <c r="N10"/>
  <c r="N14" i="65081"/>
  <c r="N10"/>
  <c r="N14" i="65122"/>
  <c r="N10"/>
  <c r="N14" i="65083"/>
  <c r="N10"/>
  <c r="N14" i="65084"/>
  <c r="N10"/>
  <c r="N14" i="65085"/>
  <c r="N10"/>
  <c r="N14" i="65086"/>
  <c r="N10"/>
  <c r="N14" i="65087"/>
  <c r="N10"/>
  <c r="N14" i="65088"/>
  <c r="N10"/>
  <c r="N14" i="65089"/>
  <c r="N10"/>
  <c r="N14" i="65093"/>
  <c r="N10"/>
  <c r="L36"/>
  <c r="L37" s="1"/>
  <c r="L38" s="1"/>
  <c r="N14" i="65094"/>
  <c r="N10"/>
  <c r="N14" i="65095"/>
  <c r="N10"/>
  <c r="N14" i="65096"/>
  <c r="N10"/>
  <c r="N14" i="65097"/>
  <c r="N10"/>
  <c r="N14" i="65098"/>
  <c r="N10"/>
  <c r="N14" i="65105"/>
  <c r="N10"/>
  <c r="N14" i="16"/>
  <c r="N10"/>
  <c r="M49" i="65065"/>
  <c r="M46"/>
  <c r="M34"/>
  <c r="M21"/>
  <c r="M18"/>
  <c r="M8"/>
  <c r="M31" i="65066"/>
  <c r="M16"/>
  <c r="M13"/>
  <c r="M8"/>
  <c r="M28" i="65067"/>
  <c r="M16"/>
  <c r="M13"/>
  <c r="M8"/>
  <c r="M28" i="65099"/>
  <c r="M16"/>
  <c r="M13"/>
  <c r="M8"/>
  <c r="M28" i="65123"/>
  <c r="M16"/>
  <c r="M13"/>
  <c r="M8"/>
  <c r="M28" i="65068"/>
  <c r="M16"/>
  <c r="M13"/>
  <c r="M8"/>
  <c r="M28" i="65069"/>
  <c r="M16"/>
  <c r="M13"/>
  <c r="M8"/>
  <c r="M30" i="65070"/>
  <c r="M16"/>
  <c r="M13"/>
  <c r="M8"/>
  <c r="M29" i="65071"/>
  <c r="M16"/>
  <c r="M13"/>
  <c r="M8"/>
  <c r="M16" i="65074"/>
  <c r="M13"/>
  <c r="M8"/>
  <c r="M28" i="65100"/>
  <c r="M16"/>
  <c r="M13"/>
  <c r="M8"/>
  <c r="M28" i="65115"/>
  <c r="M16"/>
  <c r="M13"/>
  <c r="M8"/>
  <c r="M36" i="65075"/>
  <c r="M16"/>
  <c r="M41" s="1"/>
  <c r="M13"/>
  <c r="M8"/>
  <c r="M43" i="65076"/>
  <c r="M32"/>
  <c r="M19"/>
  <c r="M16"/>
  <c r="M11"/>
  <c r="M8"/>
  <c r="M33" i="65077"/>
  <c r="M28"/>
  <c r="M16"/>
  <c r="M13"/>
  <c r="M8"/>
  <c r="M29" i="65078"/>
  <c r="M16"/>
  <c r="M13"/>
  <c r="M8"/>
  <c r="M38" i="65079"/>
  <c r="M28"/>
  <c r="M16"/>
  <c r="M13"/>
  <c r="M8"/>
  <c r="M49" i="65080"/>
  <c r="M45"/>
  <c r="M42"/>
  <c r="M16"/>
  <c r="M13"/>
  <c r="M8"/>
  <c r="M28" i="65082"/>
  <c r="M16"/>
  <c r="M13"/>
  <c r="M8"/>
  <c r="M28" i="65081"/>
  <c r="M16"/>
  <c r="M13"/>
  <c r="M8"/>
  <c r="M28" i="65122"/>
  <c r="M16"/>
  <c r="M13"/>
  <c r="M8"/>
  <c r="M28" i="65083"/>
  <c r="M16"/>
  <c r="M13"/>
  <c r="M8"/>
  <c r="M28" i="65084"/>
  <c r="M16"/>
  <c r="M13"/>
  <c r="M8"/>
  <c r="M28" i="65085"/>
  <c r="M16"/>
  <c r="M13"/>
  <c r="M8"/>
  <c r="M28" i="65086"/>
  <c r="M16"/>
  <c r="M13"/>
  <c r="M8"/>
  <c r="M28" i="65087"/>
  <c r="M16"/>
  <c r="M13"/>
  <c r="M8"/>
  <c r="M28" i="65088"/>
  <c r="M16"/>
  <c r="M13"/>
  <c r="M8"/>
  <c r="M28" i="65089"/>
  <c r="M16"/>
  <c r="M13"/>
  <c r="M8"/>
  <c r="M31" i="65093"/>
  <c r="M16"/>
  <c r="M13"/>
  <c r="M8"/>
  <c r="M28" i="65094"/>
  <c r="M16"/>
  <c r="M13"/>
  <c r="M8"/>
  <c r="M32" i="65095"/>
  <c r="M28"/>
  <c r="M16"/>
  <c r="M13"/>
  <c r="M8"/>
  <c r="M28" i="65096"/>
  <c r="M16"/>
  <c r="M13"/>
  <c r="M8"/>
  <c r="M28" i="65097"/>
  <c r="M16"/>
  <c r="M13"/>
  <c r="M8"/>
  <c r="M28" i="65098"/>
  <c r="M16"/>
  <c r="M13"/>
  <c r="M8"/>
  <c r="M28" i="65105"/>
  <c r="M16"/>
  <c r="M13"/>
  <c r="M8"/>
  <c r="M28" i="16"/>
  <c r="M16"/>
  <c r="M13"/>
  <c r="M8"/>
  <c r="K27" i="300" l="1"/>
  <c r="K29"/>
  <c r="K32"/>
  <c r="K19"/>
  <c r="K26"/>
  <c r="K30"/>
  <c r="K35"/>
  <c r="K44"/>
  <c r="K107"/>
  <c r="M43" i="65079"/>
  <c r="K25" i="300"/>
  <c r="K38"/>
  <c r="N28" i="65074"/>
  <c r="K22" i="300"/>
  <c r="K18"/>
  <c r="K108"/>
  <c r="J106"/>
  <c r="I106"/>
  <c r="L43" i="65079"/>
  <c r="I70" i="300"/>
  <c r="I84"/>
  <c r="J60"/>
  <c r="J84"/>
  <c r="J89"/>
  <c r="I89"/>
  <c r="N30" i="65080"/>
  <c r="J48" i="300"/>
  <c r="J70"/>
  <c r="I48"/>
  <c r="I60"/>
  <c r="N33" i="65078"/>
  <c r="N28" i="65093"/>
  <c r="K68" i="300" s="1"/>
  <c r="L33" i="65094"/>
  <c r="L34" s="1"/>
  <c r="L35" s="1"/>
  <c r="J114" i="300"/>
  <c r="M53" i="65080"/>
  <c r="L33" i="65067"/>
  <c r="L33" i="65068"/>
  <c r="L34" s="1"/>
  <c r="L35" s="1"/>
  <c r="L33" i="65123"/>
  <c r="L33" i="65099"/>
  <c r="L42" i="65075"/>
  <c r="L43" s="1"/>
  <c r="L35" i="65070"/>
  <c r="L34" i="65071"/>
  <c r="L35" s="1"/>
  <c r="L44" i="65079"/>
  <c r="L45" s="1"/>
  <c r="L33" i="65069"/>
  <c r="L34" s="1"/>
  <c r="L35" s="1"/>
  <c r="L38" i="65077"/>
  <c r="L39" s="1"/>
  <c r="L40" s="1"/>
  <c r="I34" i="300"/>
  <c r="I42"/>
  <c r="N9" i="65089"/>
  <c r="N9" i="65088"/>
  <c r="N9" i="65087"/>
  <c r="N9" i="65086"/>
  <c r="N9" i="65085"/>
  <c r="N9" i="65084"/>
  <c r="N9" i="65083"/>
  <c r="N9" i="65122"/>
  <c r="N12" i="65076"/>
  <c r="N23"/>
  <c r="O23" s="1"/>
  <c r="N9" i="65105"/>
  <c r="N9" i="65098"/>
  <c r="N9" i="65097"/>
  <c r="N9" i="65096"/>
  <c r="N9" i="65095"/>
  <c r="N9" i="65094"/>
  <c r="N9" i="65093"/>
  <c r="N9" i="65081"/>
  <c r="N9" i="65082"/>
  <c r="N9" i="65079"/>
  <c r="N9" i="65078"/>
  <c r="N9" i="65077"/>
  <c r="N9" i="65075"/>
  <c r="N9" i="65115"/>
  <c r="N9" i="65100"/>
  <c r="N9" i="65074"/>
  <c r="N9" i="65071"/>
  <c r="N9" i="65070"/>
  <c r="N9" i="65069"/>
  <c r="N9" i="65068"/>
  <c r="N9" i="65123"/>
  <c r="N9" i="65099"/>
  <c r="N9" i="65067"/>
  <c r="N9" i="65066"/>
  <c r="N9" i="16"/>
  <c r="I114" i="300"/>
  <c r="I17"/>
  <c r="N9" i="65080"/>
  <c r="I21" i="300"/>
  <c r="M33" i="65105"/>
  <c r="M34" s="1"/>
  <c r="M35" s="1"/>
  <c r="M33" i="65098"/>
  <c r="M34" s="1"/>
  <c r="M35" s="1"/>
  <c r="M33" i="65097"/>
  <c r="M34" s="1"/>
  <c r="M35" s="1"/>
  <c r="M33" i="65096"/>
  <c r="M34" s="1"/>
  <c r="M35" s="1"/>
  <c r="M37" i="65095"/>
  <c r="M38" s="1"/>
  <c r="M39" s="1"/>
  <c r="M33" i="65094"/>
  <c r="M34" s="1"/>
  <c r="M35" s="1"/>
  <c r="M36" i="65093"/>
  <c r="M37" s="1"/>
  <c r="M38" s="1"/>
  <c r="M33" i="65089"/>
  <c r="M33" i="65088"/>
  <c r="M33" i="65087"/>
  <c r="M33" i="65086"/>
  <c r="M33" i="65085"/>
  <c r="M33" i="65084"/>
  <c r="M33" i="65083"/>
  <c r="M33" i="65122"/>
  <c r="M34" s="1"/>
  <c r="M33" i="65081"/>
  <c r="M33" i="65082"/>
  <c r="M44" i="65079"/>
  <c r="M45" s="1"/>
  <c r="M41" i="65078"/>
  <c r="M42" s="1"/>
  <c r="M43" s="1"/>
  <c r="M38" i="65077"/>
  <c r="M39" s="1"/>
  <c r="M40" s="1"/>
  <c r="M42" i="65075"/>
  <c r="M43" s="1"/>
  <c r="M33" i="65115"/>
  <c r="M34" s="1"/>
  <c r="M33" i="65100"/>
  <c r="M33" i="65074"/>
  <c r="M34" i="65100" s="1"/>
  <c r="M35" i="65115" s="1"/>
  <c r="M34" i="65071"/>
  <c r="M35" s="1"/>
  <c r="M35" i="65070"/>
  <c r="M33" i="65069"/>
  <c r="M34" s="1"/>
  <c r="M35" s="1"/>
  <c r="M33" i="65068"/>
  <c r="M34" s="1"/>
  <c r="M35" s="1"/>
  <c r="M33" i="65123"/>
  <c r="M33" i="65099"/>
  <c r="M33" i="65067"/>
  <c r="M36" i="65066"/>
  <c r="J31" i="300"/>
  <c r="M13" i="65065"/>
  <c r="M55" s="1"/>
  <c r="J9" i="300"/>
  <c r="J34"/>
  <c r="I9"/>
  <c r="C2" i="65061" s="1"/>
  <c r="J21" i="300"/>
  <c r="M33" i="16"/>
  <c r="I31" i="300"/>
  <c r="I99"/>
  <c r="J17"/>
  <c r="J15" s="1"/>
  <c r="J37"/>
  <c r="J99"/>
  <c r="L54" i="65076"/>
  <c r="L36" i="65066"/>
  <c r="M54" i="65076"/>
  <c r="M55" s="1"/>
  <c r="M56" s="1"/>
  <c r="K28" i="300" l="1"/>
  <c r="J122"/>
  <c r="L33" i="65105"/>
  <c r="L34" s="1"/>
  <c r="L35" s="1"/>
  <c r="L37" i="65095"/>
  <c r="L38" s="1"/>
  <c r="L39" s="1"/>
  <c r="K16" i="300"/>
  <c r="L53" i="65080"/>
  <c r="L33" i="65100"/>
  <c r="L33" i="65122"/>
  <c r="L33" i="65115"/>
  <c r="L34" s="1"/>
  <c r="L33" i="65097"/>
  <c r="L34" s="1"/>
  <c r="L35" s="1"/>
  <c r="L41" i="65078"/>
  <c r="L42" s="1"/>
  <c r="L43" s="1"/>
  <c r="I37" i="300"/>
  <c r="I24" s="1"/>
  <c r="L33" i="65088"/>
  <c r="L33" i="65087"/>
  <c r="L33" i="65086"/>
  <c r="L33" i="65074"/>
  <c r="L55" i="65076"/>
  <c r="L56" s="1"/>
  <c r="M34" i="65089"/>
  <c r="M35" s="1"/>
  <c r="L33" i="16"/>
  <c r="L34" s="1"/>
  <c r="L35" s="1"/>
  <c r="L33" i="65098"/>
  <c r="L34" s="1"/>
  <c r="L35" s="1"/>
  <c r="I15" i="300"/>
  <c r="L33" i="65096"/>
  <c r="L34" s="1"/>
  <c r="L35" s="1"/>
  <c r="L33" i="65089"/>
  <c r="L33" i="65085"/>
  <c r="L33" i="65084"/>
  <c r="L33" i="65083"/>
  <c r="L33" i="65081"/>
  <c r="L33" i="65082"/>
  <c r="L55" i="65065"/>
  <c r="L37" i="65140" s="1"/>
  <c r="L38" s="1"/>
  <c r="J47" i="300"/>
  <c r="J24"/>
  <c r="I47"/>
  <c r="I122" l="1"/>
  <c r="L34" i="65100"/>
  <c r="L35" i="65115" s="1"/>
  <c r="L34" i="65089"/>
  <c r="I7" i="300"/>
  <c r="J7"/>
  <c r="L34" i="65122"/>
  <c r="G64" i="300"/>
  <c r="H64"/>
  <c r="K64"/>
  <c r="G65"/>
  <c r="H65"/>
  <c r="K65"/>
  <c r="F65"/>
  <c r="F64"/>
  <c r="G57"/>
  <c r="L57" s="1"/>
  <c r="H57"/>
  <c r="K57"/>
  <c r="G58"/>
  <c r="L58" s="1"/>
  <c r="H58"/>
  <c r="K58"/>
  <c r="F58"/>
  <c r="F57"/>
  <c r="O32" i="65080"/>
  <c r="N28" i="65077"/>
  <c r="J55" i="65065"/>
  <c r="J35" i="65070"/>
  <c r="E29" i="65137" s="1"/>
  <c r="J33" i="65115"/>
  <c r="J34" s="1"/>
  <c r="J33" i="65122"/>
  <c r="I33" i="65123"/>
  <c r="I33" i="65069"/>
  <c r="I34" s="1"/>
  <c r="I35" s="1"/>
  <c r="I34" i="65071"/>
  <c r="I35" s="1"/>
  <c r="I42" i="65075"/>
  <c r="I43" s="1"/>
  <c r="I41" i="65078"/>
  <c r="I42" s="1"/>
  <c r="I43" s="1"/>
  <c r="I33" i="65096"/>
  <c r="I34" s="1"/>
  <c r="I35" s="1"/>
  <c r="I33" i="65097"/>
  <c r="I34" s="1"/>
  <c r="I35" s="1"/>
  <c r="I33" i="65098"/>
  <c r="I34" s="1"/>
  <c r="I35" s="1"/>
  <c r="I33" i="65105"/>
  <c r="I34" s="1"/>
  <c r="I35" s="1"/>
  <c r="I33" i="16"/>
  <c r="I34" s="1"/>
  <c r="I35" s="1"/>
  <c r="E15" i="304"/>
  <c r="D19"/>
  <c r="K78" i="300"/>
  <c r="H78"/>
  <c r="G78"/>
  <c r="L78" s="1"/>
  <c r="F78"/>
  <c r="O43" i="65065"/>
  <c r="D34" i="304"/>
  <c r="L14" i="300"/>
  <c r="L20"/>
  <c r="L23"/>
  <c r="L46"/>
  <c r="L92"/>
  <c r="L98"/>
  <c r="L105"/>
  <c r="L113"/>
  <c r="L120"/>
  <c r="O33" i="65095"/>
  <c r="O34"/>
  <c r="O35"/>
  <c r="O34" i="65093"/>
  <c r="O35" i="65080"/>
  <c r="O36"/>
  <c r="O37"/>
  <c r="O38"/>
  <c r="O41"/>
  <c r="O43"/>
  <c r="O44"/>
  <c r="O46"/>
  <c r="O47"/>
  <c r="O48"/>
  <c r="O50"/>
  <c r="O51"/>
  <c r="O29" i="65079"/>
  <c r="O30"/>
  <c r="O31"/>
  <c r="O32"/>
  <c r="O37"/>
  <c r="O39"/>
  <c r="O40"/>
  <c r="O41"/>
  <c r="O34" i="65078"/>
  <c r="O35"/>
  <c r="O37"/>
  <c r="O39"/>
  <c r="O32" i="65077"/>
  <c r="O34"/>
  <c r="O35"/>
  <c r="O36"/>
  <c r="O35" i="65076"/>
  <c r="O36"/>
  <c r="O40"/>
  <c r="O41"/>
  <c r="O42"/>
  <c r="O44"/>
  <c r="O45"/>
  <c r="O46"/>
  <c r="O50"/>
  <c r="O51"/>
  <c r="O52"/>
  <c r="O35" i="65065"/>
  <c r="O36"/>
  <c r="O37"/>
  <c r="O38"/>
  <c r="O39"/>
  <c r="O40"/>
  <c r="O41"/>
  <c r="O42"/>
  <c r="O44"/>
  <c r="O47"/>
  <c r="O50"/>
  <c r="O51"/>
  <c r="O52"/>
  <c r="O53"/>
  <c r="O32" i="65093"/>
  <c r="O31" i="65122"/>
  <c r="O32" i="65078"/>
  <c r="O32" i="65071"/>
  <c r="O32" i="65066"/>
  <c r="O34"/>
  <c r="O34" i="65067"/>
  <c r="O35"/>
  <c r="O34" i="65099"/>
  <c r="O35"/>
  <c r="O36" i="65070"/>
  <c r="O37"/>
  <c r="O35" i="65074"/>
  <c r="O38" i="65075"/>
  <c r="O39"/>
  <c r="O34" i="65076"/>
  <c r="O34" i="65082"/>
  <c r="O35"/>
  <c r="O34" i="65081"/>
  <c r="O35"/>
  <c r="O34" i="65083"/>
  <c r="O35"/>
  <c r="O34" i="65084"/>
  <c r="O35"/>
  <c r="O34" i="65085"/>
  <c r="O35"/>
  <c r="O34" i="65086"/>
  <c r="O35"/>
  <c r="O34" i="65087"/>
  <c r="O35"/>
  <c r="O34" i="65088"/>
  <c r="O35"/>
  <c r="O10" i="65065"/>
  <c r="O11"/>
  <c r="O22"/>
  <c r="O23"/>
  <c r="O24"/>
  <c r="O25"/>
  <c r="O26"/>
  <c r="O27"/>
  <c r="O28"/>
  <c r="O29"/>
  <c r="O30"/>
  <c r="O31"/>
  <c r="O10" i="65066"/>
  <c r="O11"/>
  <c r="O12"/>
  <c r="O14"/>
  <c r="O15"/>
  <c r="O17"/>
  <c r="O18"/>
  <c r="O19"/>
  <c r="O20"/>
  <c r="O21"/>
  <c r="O22"/>
  <c r="O23"/>
  <c r="O24"/>
  <c r="O25"/>
  <c r="O26"/>
  <c r="O27"/>
  <c r="O29"/>
  <c r="O30"/>
  <c r="O33"/>
  <c r="O10" i="65067"/>
  <c r="O11"/>
  <c r="O12"/>
  <c r="O14"/>
  <c r="O15"/>
  <c r="O17"/>
  <c r="O18"/>
  <c r="O19"/>
  <c r="O20"/>
  <c r="O21"/>
  <c r="O22"/>
  <c r="O23"/>
  <c r="O24"/>
  <c r="O25"/>
  <c r="O26"/>
  <c r="O27"/>
  <c r="O29"/>
  <c r="O30"/>
  <c r="O31"/>
  <c r="O10" i="65099"/>
  <c r="O11"/>
  <c r="O12"/>
  <c r="O14"/>
  <c r="O15"/>
  <c r="O17"/>
  <c r="O18"/>
  <c r="O19"/>
  <c r="O20"/>
  <c r="O21"/>
  <c r="O22"/>
  <c r="O23"/>
  <c r="O24"/>
  <c r="O25"/>
  <c r="O26"/>
  <c r="O27"/>
  <c r="O29"/>
  <c r="O30"/>
  <c r="O31"/>
  <c r="O10" i="65123"/>
  <c r="O11"/>
  <c r="O12"/>
  <c r="O14"/>
  <c r="O15"/>
  <c r="O17"/>
  <c r="O18"/>
  <c r="O19"/>
  <c r="O20"/>
  <c r="O21"/>
  <c r="O22"/>
  <c r="O23"/>
  <c r="O24"/>
  <c r="O25"/>
  <c r="O26"/>
  <c r="O27"/>
  <c r="O29"/>
  <c r="O30"/>
  <c r="O31"/>
  <c r="O10" i="65068"/>
  <c r="O11"/>
  <c r="O12"/>
  <c r="O14"/>
  <c r="O15"/>
  <c r="O17"/>
  <c r="O18"/>
  <c r="O19"/>
  <c r="O20"/>
  <c r="O21"/>
  <c r="O22"/>
  <c r="O23"/>
  <c r="O24"/>
  <c r="O25"/>
  <c r="O26"/>
  <c r="O27"/>
  <c r="O29"/>
  <c r="O30"/>
  <c r="O31"/>
  <c r="O10" i="65069"/>
  <c r="O11"/>
  <c r="O12"/>
  <c r="O14"/>
  <c r="O15"/>
  <c r="O17"/>
  <c r="O18"/>
  <c r="O19"/>
  <c r="O20"/>
  <c r="O21"/>
  <c r="O22"/>
  <c r="O23"/>
  <c r="O24"/>
  <c r="O25"/>
  <c r="O26"/>
  <c r="O27"/>
  <c r="O29"/>
  <c r="O30"/>
  <c r="O31"/>
  <c r="O10" i="65070"/>
  <c r="O11"/>
  <c r="O12"/>
  <c r="O14"/>
  <c r="O15"/>
  <c r="O17"/>
  <c r="O18"/>
  <c r="O19"/>
  <c r="O20"/>
  <c r="O21"/>
  <c r="O22"/>
  <c r="O23"/>
  <c r="O24"/>
  <c r="O25"/>
  <c r="O28"/>
  <c r="O29"/>
  <c r="O31"/>
  <c r="O32"/>
  <c r="O33"/>
  <c r="O10" i="65071"/>
  <c r="O11"/>
  <c r="O12"/>
  <c r="O14"/>
  <c r="O15"/>
  <c r="O17"/>
  <c r="O18"/>
  <c r="O19"/>
  <c r="O20"/>
  <c r="O21"/>
  <c r="O22"/>
  <c r="O23"/>
  <c r="O24"/>
  <c r="O25"/>
  <c r="O26"/>
  <c r="O27"/>
  <c r="O28"/>
  <c r="O30"/>
  <c r="O31"/>
  <c r="O10" i="65074"/>
  <c r="O11"/>
  <c r="O12"/>
  <c r="O14"/>
  <c r="O15"/>
  <c r="O17"/>
  <c r="O18"/>
  <c r="O19"/>
  <c r="O20"/>
  <c r="O21"/>
  <c r="O22"/>
  <c r="O23"/>
  <c r="O24"/>
  <c r="O25"/>
  <c r="O26"/>
  <c r="O27"/>
  <c r="O29"/>
  <c r="O30"/>
  <c r="O31"/>
  <c r="O10" i="65100"/>
  <c r="O11"/>
  <c r="O12"/>
  <c r="O14"/>
  <c r="O15"/>
  <c r="O17"/>
  <c r="O18"/>
  <c r="O19"/>
  <c r="O20"/>
  <c r="O21"/>
  <c r="O22"/>
  <c r="O23"/>
  <c r="O24"/>
  <c r="O25"/>
  <c r="O26"/>
  <c r="O27"/>
  <c r="O29"/>
  <c r="O30"/>
  <c r="O31"/>
  <c r="O10" i="65115"/>
  <c r="O11"/>
  <c r="O12"/>
  <c r="O14"/>
  <c r="O15"/>
  <c r="O17"/>
  <c r="O18"/>
  <c r="O19"/>
  <c r="O20"/>
  <c r="O21"/>
  <c r="O22"/>
  <c r="O23"/>
  <c r="O24"/>
  <c r="O25"/>
  <c r="O26"/>
  <c r="O27"/>
  <c r="O29"/>
  <c r="O30"/>
  <c r="O31"/>
  <c r="O10" i="65075"/>
  <c r="O11"/>
  <c r="O12"/>
  <c r="O14"/>
  <c r="O15"/>
  <c r="O17"/>
  <c r="O18"/>
  <c r="O19"/>
  <c r="O20"/>
  <c r="O21"/>
  <c r="O22"/>
  <c r="O23"/>
  <c r="O24"/>
  <c r="O25"/>
  <c r="O26"/>
  <c r="O27"/>
  <c r="O28"/>
  <c r="O31"/>
  <c r="O35"/>
  <c r="O37"/>
  <c r="O10" i="65076"/>
  <c r="O14"/>
  <c r="O15"/>
  <c r="O18"/>
  <c r="O31"/>
  <c r="O33"/>
  <c r="O10" i="65077"/>
  <c r="O11"/>
  <c r="O12"/>
  <c r="O14"/>
  <c r="O15"/>
  <c r="O17"/>
  <c r="O18"/>
  <c r="O19"/>
  <c r="O20"/>
  <c r="O21"/>
  <c r="O22"/>
  <c r="O23"/>
  <c r="O24"/>
  <c r="O25"/>
  <c r="O26"/>
  <c r="O27"/>
  <c r="O29"/>
  <c r="O10" i="65078"/>
  <c r="O11"/>
  <c r="O12"/>
  <c r="O14"/>
  <c r="O15"/>
  <c r="O17"/>
  <c r="O18"/>
  <c r="O19"/>
  <c r="O20"/>
  <c r="O21"/>
  <c r="O22"/>
  <c r="O23"/>
  <c r="O24"/>
  <c r="O25"/>
  <c r="O26"/>
  <c r="O27"/>
  <c r="O28"/>
  <c r="O30"/>
  <c r="O31"/>
  <c r="O10" i="65079"/>
  <c r="O11"/>
  <c r="O12"/>
  <c r="O14"/>
  <c r="O15"/>
  <c r="O17"/>
  <c r="O18"/>
  <c r="O19"/>
  <c r="O20"/>
  <c r="O21"/>
  <c r="O22"/>
  <c r="O23"/>
  <c r="O24"/>
  <c r="O25"/>
  <c r="O26"/>
  <c r="O27"/>
  <c r="O10" i="65080"/>
  <c r="O11"/>
  <c r="O12"/>
  <c r="O14"/>
  <c r="O15"/>
  <c r="O17"/>
  <c r="O18"/>
  <c r="O19"/>
  <c r="O20"/>
  <c r="O21"/>
  <c r="O22"/>
  <c r="O23"/>
  <c r="O24"/>
  <c r="O25"/>
  <c r="O26"/>
  <c r="O27"/>
  <c r="O28"/>
  <c r="O29"/>
  <c r="O31"/>
  <c r="O34"/>
  <c r="O10" i="65082"/>
  <c r="O11"/>
  <c r="O12"/>
  <c r="O14"/>
  <c r="O15"/>
  <c r="O17"/>
  <c r="O18"/>
  <c r="O19"/>
  <c r="O20"/>
  <c r="O21"/>
  <c r="O22"/>
  <c r="O23"/>
  <c r="O24"/>
  <c r="O25"/>
  <c r="O26"/>
  <c r="O27"/>
  <c r="O29"/>
  <c r="O30"/>
  <c r="O31"/>
  <c r="O10" i="65081"/>
  <c r="O11"/>
  <c r="O12"/>
  <c r="O14"/>
  <c r="O15"/>
  <c r="O17"/>
  <c r="O18"/>
  <c r="O19"/>
  <c r="O20"/>
  <c r="O21"/>
  <c r="O22"/>
  <c r="O23"/>
  <c r="O24"/>
  <c r="O25"/>
  <c r="O26"/>
  <c r="O27"/>
  <c r="O29"/>
  <c r="O30"/>
  <c r="O31"/>
  <c r="O10" i="65122"/>
  <c r="O11"/>
  <c r="O12"/>
  <c r="O14"/>
  <c r="O15"/>
  <c r="O17"/>
  <c r="O18"/>
  <c r="O19"/>
  <c r="O20"/>
  <c r="O21"/>
  <c r="O22"/>
  <c r="O23"/>
  <c r="O24"/>
  <c r="O25"/>
  <c r="O26"/>
  <c r="O27"/>
  <c r="O29"/>
  <c r="O30"/>
  <c r="O10" i="65083"/>
  <c r="O11"/>
  <c r="O12"/>
  <c r="O14"/>
  <c r="O15"/>
  <c r="O17"/>
  <c r="O18"/>
  <c r="O19"/>
  <c r="O20"/>
  <c r="O21"/>
  <c r="O22"/>
  <c r="O23"/>
  <c r="O24"/>
  <c r="O25"/>
  <c r="O26"/>
  <c r="O27"/>
  <c r="O29"/>
  <c r="O30"/>
  <c r="O31"/>
  <c r="O10" i="65084"/>
  <c r="O11"/>
  <c r="O12"/>
  <c r="O14"/>
  <c r="O15"/>
  <c r="O17"/>
  <c r="O18"/>
  <c r="O19"/>
  <c r="O20"/>
  <c r="O21"/>
  <c r="O22"/>
  <c r="O23"/>
  <c r="O24"/>
  <c r="O25"/>
  <c r="O26"/>
  <c r="O27"/>
  <c r="O29"/>
  <c r="O30"/>
  <c r="O31"/>
  <c r="O10" i="65085"/>
  <c r="O11"/>
  <c r="O12"/>
  <c r="O14"/>
  <c r="O15"/>
  <c r="O17"/>
  <c r="O18"/>
  <c r="O19"/>
  <c r="O20"/>
  <c r="O21"/>
  <c r="O22"/>
  <c r="O23"/>
  <c r="O24"/>
  <c r="O25"/>
  <c r="O26"/>
  <c r="O27"/>
  <c r="O29"/>
  <c r="O30"/>
  <c r="O31"/>
  <c r="O10" i="65086"/>
  <c r="O11"/>
  <c r="O12"/>
  <c r="O14"/>
  <c r="O15"/>
  <c r="O17"/>
  <c r="O18"/>
  <c r="O19"/>
  <c r="O20"/>
  <c r="O21"/>
  <c r="O22"/>
  <c r="O23"/>
  <c r="O24"/>
  <c r="O25"/>
  <c r="O26"/>
  <c r="O27"/>
  <c r="O29"/>
  <c r="O30"/>
  <c r="O31"/>
  <c r="O10" i="65087"/>
  <c r="O11"/>
  <c r="O12"/>
  <c r="O14"/>
  <c r="O15"/>
  <c r="O17"/>
  <c r="O18"/>
  <c r="O19"/>
  <c r="O20"/>
  <c r="O21"/>
  <c r="O22"/>
  <c r="O23"/>
  <c r="O24"/>
  <c r="O25"/>
  <c r="O26"/>
  <c r="O27"/>
  <c r="O29"/>
  <c r="O30"/>
  <c r="O31"/>
  <c r="O10" i="65088"/>
  <c r="O11"/>
  <c r="O12"/>
  <c r="O14"/>
  <c r="O15"/>
  <c r="O17"/>
  <c r="O18"/>
  <c r="O19"/>
  <c r="O20"/>
  <c r="O21"/>
  <c r="O22"/>
  <c r="O23"/>
  <c r="O24"/>
  <c r="O25"/>
  <c r="O26"/>
  <c r="O27"/>
  <c r="O29"/>
  <c r="O30"/>
  <c r="O31"/>
  <c r="O10" i="65089"/>
  <c r="O11"/>
  <c r="O12"/>
  <c r="O14"/>
  <c r="O15"/>
  <c r="O17"/>
  <c r="O18"/>
  <c r="O19"/>
  <c r="O20"/>
  <c r="O21"/>
  <c r="O22"/>
  <c r="O23"/>
  <c r="O24"/>
  <c r="O25"/>
  <c r="O26"/>
  <c r="O27"/>
  <c r="O29"/>
  <c r="O30"/>
  <c r="O31"/>
  <c r="O10" i="65093"/>
  <c r="O11"/>
  <c r="O12"/>
  <c r="O14"/>
  <c r="O15"/>
  <c r="O17"/>
  <c r="O18"/>
  <c r="O19"/>
  <c r="O20"/>
  <c r="O21"/>
  <c r="O22"/>
  <c r="O23"/>
  <c r="O24"/>
  <c r="O25"/>
  <c r="O26"/>
  <c r="O27"/>
  <c r="O30"/>
  <c r="O33"/>
  <c r="O10" i="65094"/>
  <c r="O11"/>
  <c r="O12"/>
  <c r="O14"/>
  <c r="O15"/>
  <c r="O17"/>
  <c r="O18"/>
  <c r="O19"/>
  <c r="O20"/>
  <c r="O21"/>
  <c r="O22"/>
  <c r="O23"/>
  <c r="O24"/>
  <c r="O25"/>
  <c r="O26"/>
  <c r="O27"/>
  <c r="O29"/>
  <c r="O30"/>
  <c r="O31"/>
  <c r="O10" i="65095"/>
  <c r="O11"/>
  <c r="O12"/>
  <c r="O14"/>
  <c r="O15"/>
  <c r="O17"/>
  <c r="O18"/>
  <c r="O19"/>
  <c r="O20"/>
  <c r="O21"/>
  <c r="O22"/>
  <c r="O23"/>
  <c r="O24"/>
  <c r="O25"/>
  <c r="O26"/>
  <c r="O27"/>
  <c r="O29"/>
  <c r="O30"/>
  <c r="O31"/>
  <c r="O10" i="65096"/>
  <c r="O11"/>
  <c r="O12"/>
  <c r="O14"/>
  <c r="O15"/>
  <c r="O17"/>
  <c r="O18"/>
  <c r="O19"/>
  <c r="O20"/>
  <c r="O21"/>
  <c r="O22"/>
  <c r="O23"/>
  <c r="O24"/>
  <c r="O25"/>
  <c r="O26"/>
  <c r="O27"/>
  <c r="O29"/>
  <c r="O30"/>
  <c r="O31"/>
  <c r="O10" i="65097"/>
  <c r="O11"/>
  <c r="O12"/>
  <c r="O14"/>
  <c r="O15"/>
  <c r="O17"/>
  <c r="O18"/>
  <c r="O19"/>
  <c r="O20"/>
  <c r="O21"/>
  <c r="O22"/>
  <c r="O23"/>
  <c r="O24"/>
  <c r="O25"/>
  <c r="O26"/>
  <c r="O27"/>
  <c r="O29"/>
  <c r="O30"/>
  <c r="O31"/>
  <c r="O10" i="65098"/>
  <c r="O11"/>
  <c r="O12"/>
  <c r="O14"/>
  <c r="O15"/>
  <c r="O17"/>
  <c r="O18"/>
  <c r="O19"/>
  <c r="O20"/>
  <c r="O21"/>
  <c r="O22"/>
  <c r="O23"/>
  <c r="O24"/>
  <c r="O25"/>
  <c r="O26"/>
  <c r="O27"/>
  <c r="O29"/>
  <c r="O30"/>
  <c r="O31"/>
  <c r="O10" i="65105"/>
  <c r="O11"/>
  <c r="O12"/>
  <c r="O14"/>
  <c r="O15"/>
  <c r="O17"/>
  <c r="O18"/>
  <c r="O19"/>
  <c r="O20"/>
  <c r="O21"/>
  <c r="O22"/>
  <c r="O23"/>
  <c r="O24"/>
  <c r="O25"/>
  <c r="O26"/>
  <c r="O27"/>
  <c r="O29"/>
  <c r="O30"/>
  <c r="O31"/>
  <c r="O10" i="16"/>
  <c r="O11"/>
  <c r="O12"/>
  <c r="O14"/>
  <c r="O15"/>
  <c r="O17"/>
  <c r="O18"/>
  <c r="O19"/>
  <c r="O20"/>
  <c r="O21"/>
  <c r="O22"/>
  <c r="O23"/>
  <c r="O24"/>
  <c r="O25"/>
  <c r="O26"/>
  <c r="O27"/>
  <c r="O29"/>
  <c r="O30"/>
  <c r="O31"/>
  <c r="O9" i="65065"/>
  <c r="O9" i="65066"/>
  <c r="O9" i="65067"/>
  <c r="O9" i="65099"/>
  <c r="O9" i="65123"/>
  <c r="O9" i="65068"/>
  <c r="O9" i="65069"/>
  <c r="O9" i="65070"/>
  <c r="O9" i="65071"/>
  <c r="O9" i="65074"/>
  <c r="O9" i="65100"/>
  <c r="O9" i="65115"/>
  <c r="O9" i="65075"/>
  <c r="O9" i="65076"/>
  <c r="O9" i="65077"/>
  <c r="O9" i="65078"/>
  <c r="O9" i="65079"/>
  <c r="O9" i="65080"/>
  <c r="O9" i="65082"/>
  <c r="O9" i="65081"/>
  <c r="O9" i="65122"/>
  <c r="O9" i="65083"/>
  <c r="O9" i="65084"/>
  <c r="O9" i="65085"/>
  <c r="O9" i="65086"/>
  <c r="O9" i="65087"/>
  <c r="O9" i="65088"/>
  <c r="O9" i="65089"/>
  <c r="O9" i="65093"/>
  <c r="O9" i="65094"/>
  <c r="O9" i="65095"/>
  <c r="O9" i="65096"/>
  <c r="O9" i="65097"/>
  <c r="O9" i="65098"/>
  <c r="O9" i="16"/>
  <c r="K33" i="65105"/>
  <c r="K34" s="1"/>
  <c r="K35" s="1"/>
  <c r="K33" i="65098"/>
  <c r="K34" s="1"/>
  <c r="K35" s="1"/>
  <c r="K33" i="65097"/>
  <c r="K34" s="1"/>
  <c r="K35" s="1"/>
  <c r="K33" i="65096"/>
  <c r="K34" s="1"/>
  <c r="K35" s="1"/>
  <c r="K37" i="65095"/>
  <c r="K38" s="1"/>
  <c r="K39" s="1"/>
  <c r="K33" i="65094"/>
  <c r="K34" s="1"/>
  <c r="K35" s="1"/>
  <c r="K36" i="65093"/>
  <c r="K37" s="1"/>
  <c r="K38" s="1"/>
  <c r="K33" i="65088"/>
  <c r="K33" i="65087"/>
  <c r="K33" i="65086"/>
  <c r="K33" i="65085"/>
  <c r="K33" i="65084"/>
  <c r="K33" i="65083"/>
  <c r="K33" i="65122"/>
  <c r="K33" i="65081"/>
  <c r="K33" i="65082"/>
  <c r="K44" i="65079"/>
  <c r="K45" s="1"/>
  <c r="K41" i="65078"/>
  <c r="K42" s="1"/>
  <c r="K43" s="1"/>
  <c r="K38" i="65077"/>
  <c r="K54" i="65076"/>
  <c r="K55" s="1"/>
  <c r="K56" s="1"/>
  <c r="K42" i="65075"/>
  <c r="K43" s="1"/>
  <c r="K33" i="65115"/>
  <c r="K34" s="1"/>
  <c r="K33" i="65074"/>
  <c r="K34" i="65100" s="1"/>
  <c r="K34" i="65071"/>
  <c r="K35" s="1"/>
  <c r="K35" i="65070"/>
  <c r="K33" i="65069"/>
  <c r="K34" s="1"/>
  <c r="K35" s="1"/>
  <c r="K33" i="65068"/>
  <c r="K34" s="1"/>
  <c r="K35" s="1"/>
  <c r="K33" i="65123"/>
  <c r="K33" i="65099"/>
  <c r="K33" i="65067"/>
  <c r="K36" i="65066"/>
  <c r="K33" i="16"/>
  <c r="K34" s="1"/>
  <c r="K35" s="1"/>
  <c r="G81" i="300"/>
  <c r="H81"/>
  <c r="K81"/>
  <c r="F81"/>
  <c r="N28" i="65095"/>
  <c r="O28" s="1"/>
  <c r="O17" i="65076"/>
  <c r="L64" i="300" l="1"/>
  <c r="L65"/>
  <c r="L81"/>
  <c r="K39" i="65077"/>
  <c r="K40" s="1"/>
  <c r="H122" i="300"/>
  <c r="L35" i="65089"/>
  <c r="I36" i="65093"/>
  <c r="I37" s="1"/>
  <c r="I38" s="1"/>
  <c r="D18" i="304"/>
  <c r="I33" i="65068"/>
  <c r="I34" s="1"/>
  <c r="I35" s="1"/>
  <c r="I33" i="65094"/>
  <c r="I34" s="1"/>
  <c r="I35" s="1"/>
  <c r="I33" i="65089"/>
  <c r="I33" i="65088"/>
  <c r="I33" i="65087"/>
  <c r="I33" i="65086"/>
  <c r="I33" i="65085"/>
  <c r="I33" i="65084"/>
  <c r="I33" i="65083"/>
  <c r="I33" i="65122"/>
  <c r="I33" i="65081"/>
  <c r="I33" i="65082"/>
  <c r="I38" i="65077"/>
  <c r="I34" i="65115"/>
  <c r="I33" i="65100"/>
  <c r="I33" i="65074"/>
  <c r="I35" i="65070"/>
  <c r="I33" i="65099"/>
  <c r="I36" i="65066"/>
  <c r="I44" i="65079"/>
  <c r="I45" s="1"/>
  <c r="I33" i="65067"/>
  <c r="K17" i="300"/>
  <c r="G17"/>
  <c r="H17"/>
  <c r="K34" i="65089"/>
  <c r="K34" i="65122"/>
  <c r="J44" i="65079"/>
  <c r="J45" s="1"/>
  <c r="O12" i="65076"/>
  <c r="K35" i="65115"/>
  <c r="J33" i="16"/>
  <c r="J33" i="65105"/>
  <c r="J33" i="65098"/>
  <c r="J33" i="65097"/>
  <c r="J33" i="65096"/>
  <c r="J37" i="65095"/>
  <c r="E25" i="65137" s="1"/>
  <c r="E23" s="1"/>
  <c r="J33" i="65089"/>
  <c r="J33" i="65088"/>
  <c r="J33" i="65087"/>
  <c r="J33" i="65086"/>
  <c r="J33" i="65085"/>
  <c r="J33" i="65084"/>
  <c r="J33" i="65083"/>
  <c r="J33" i="65081"/>
  <c r="J33" i="65082"/>
  <c r="J41" i="65078"/>
  <c r="J54" i="65076"/>
  <c r="J55" s="1"/>
  <c r="J56" s="1"/>
  <c r="J33" i="65068"/>
  <c r="J33" i="65123"/>
  <c r="J33" i="65099"/>
  <c r="J33" i="65067"/>
  <c r="J33" i="65094"/>
  <c r="J36" i="65093"/>
  <c r="J38" i="65077"/>
  <c r="J33" i="65100"/>
  <c r="J33" i="65074"/>
  <c r="J35" i="65071"/>
  <c r="J33" i="65069"/>
  <c r="J36" i="65066"/>
  <c r="J37" i="65140" s="1"/>
  <c r="J38" s="1"/>
  <c r="I37" i="65095"/>
  <c r="I38" s="1"/>
  <c r="I39" s="1"/>
  <c r="I54" i="65076"/>
  <c r="I55" s="1"/>
  <c r="I56" s="1"/>
  <c r="D29" i="304"/>
  <c r="O14" i="65065"/>
  <c r="K55"/>
  <c r="K37" i="65140" s="1"/>
  <c r="K38" s="1"/>
  <c r="O19" i="65065"/>
  <c r="E9" i="65137" l="1"/>
  <c r="E8" s="1"/>
  <c r="J42" i="65078"/>
  <c r="J43" s="1"/>
  <c r="I34" i="65100"/>
  <c r="J34"/>
  <c r="J34" i="16"/>
  <c r="J35" s="1"/>
  <c r="G122" i="300"/>
  <c r="I39" i="65077"/>
  <c r="I40" s="1"/>
  <c r="I55" i="65065"/>
  <c r="I37" i="65140" s="1"/>
  <c r="I38" s="1"/>
  <c r="D16" i="304"/>
  <c r="K35" i="65089"/>
  <c r="J34" i="65122"/>
  <c r="I53" i="65080"/>
  <c r="F122" i="300" s="1"/>
  <c r="I34" i="65122"/>
  <c r="I35" i="65115"/>
  <c r="I34" i="65089"/>
  <c r="D15" i="304"/>
  <c r="J37" i="65093"/>
  <c r="J42" i="65075"/>
  <c r="J43" s="1"/>
  <c r="J34" i="65089"/>
  <c r="J34" i="65096"/>
  <c r="J34" i="65098"/>
  <c r="J34" i="65105"/>
  <c r="J39" i="65077"/>
  <c r="J40" s="1"/>
  <c r="J34" i="65068"/>
  <c r="J38" i="65095"/>
  <c r="J39" s="1"/>
  <c r="J34" i="65097"/>
  <c r="J34" i="65069"/>
  <c r="J34" i="65094"/>
  <c r="O16" i="65065"/>
  <c r="O32"/>
  <c r="I35" i="65089" l="1"/>
  <c r="J35"/>
  <c r="D17" i="304"/>
  <c r="D14" s="1"/>
  <c r="J35" i="65094"/>
  <c r="J35" i="65097"/>
  <c r="J35" i="65068"/>
  <c r="J35" i="65098"/>
  <c r="J35" i="65096"/>
  <c r="J35" i="65069"/>
  <c r="J35" i="65105"/>
  <c r="J38" i="65093"/>
  <c r="J35" i="65115"/>
  <c r="O15" i="65065"/>
  <c r="D40" i="304" l="1"/>
  <c r="O13" i="65076"/>
  <c r="O28" i="65093"/>
  <c r="N28" i="65079"/>
  <c r="N28" i="65067"/>
  <c r="O28" s="1"/>
  <c r="O28" i="65079" l="1"/>
  <c r="G118" i="300"/>
  <c r="H118"/>
  <c r="K118"/>
  <c r="G119"/>
  <c r="H119"/>
  <c r="K119"/>
  <c r="F119"/>
  <c r="F118"/>
  <c r="O47" i="65076"/>
  <c r="L119" i="300" l="1"/>
  <c r="L118"/>
  <c r="G115"/>
  <c r="H115"/>
  <c r="G109"/>
  <c r="H109"/>
  <c r="G111"/>
  <c r="H111"/>
  <c r="G100"/>
  <c r="H100"/>
  <c r="G103"/>
  <c r="H103"/>
  <c r="G104"/>
  <c r="H104"/>
  <c r="G90"/>
  <c r="H90"/>
  <c r="G91"/>
  <c r="H91"/>
  <c r="G85"/>
  <c r="H85"/>
  <c r="G86"/>
  <c r="H86"/>
  <c r="G87"/>
  <c r="H87"/>
  <c r="G88"/>
  <c r="H88"/>
  <c r="G71"/>
  <c r="H71"/>
  <c r="G72"/>
  <c r="H72"/>
  <c r="G73"/>
  <c r="H73"/>
  <c r="G74"/>
  <c r="H74"/>
  <c r="G75"/>
  <c r="H75"/>
  <c r="G76"/>
  <c r="H76"/>
  <c r="G77"/>
  <c r="H77"/>
  <c r="G79"/>
  <c r="H79"/>
  <c r="G80"/>
  <c r="H80"/>
  <c r="G61"/>
  <c r="H61"/>
  <c r="G62"/>
  <c r="L62" s="1"/>
  <c r="H62"/>
  <c r="G66"/>
  <c r="H66"/>
  <c r="G67"/>
  <c r="H67"/>
  <c r="G69"/>
  <c r="H69"/>
  <c r="G49"/>
  <c r="H49"/>
  <c r="G51"/>
  <c r="H51"/>
  <c r="G52"/>
  <c r="H52"/>
  <c r="G53"/>
  <c r="H53"/>
  <c r="G54"/>
  <c r="H54"/>
  <c r="G55"/>
  <c r="H55"/>
  <c r="G56"/>
  <c r="H56"/>
  <c r="G59"/>
  <c r="H59"/>
  <c r="G39"/>
  <c r="H39"/>
  <c r="G42"/>
  <c r="H42"/>
  <c r="G43"/>
  <c r="H43"/>
  <c r="G45"/>
  <c r="H45"/>
  <c r="G36"/>
  <c r="L36" s="1"/>
  <c r="H36"/>
  <c r="G33"/>
  <c r="G31" s="1"/>
  <c r="H33"/>
  <c r="H31" s="1"/>
  <c r="G10"/>
  <c r="H10"/>
  <c r="G11"/>
  <c r="H11"/>
  <c r="G12"/>
  <c r="H12"/>
  <c r="G13"/>
  <c r="H13"/>
  <c r="G106" l="1"/>
  <c r="H106"/>
  <c r="H60"/>
  <c r="G48"/>
  <c r="G60"/>
  <c r="G70"/>
  <c r="G84"/>
  <c r="G89"/>
  <c r="H48"/>
  <c r="H70"/>
  <c r="H84"/>
  <c r="H89"/>
  <c r="H114"/>
  <c r="G114"/>
  <c r="E36" i="304" s="1"/>
  <c r="G99" i="300"/>
  <c r="H99"/>
  <c r="G37"/>
  <c r="H37"/>
  <c r="G34"/>
  <c r="H34"/>
  <c r="G21"/>
  <c r="H21"/>
  <c r="H15"/>
  <c r="G9"/>
  <c r="H9"/>
  <c r="N13" i="65094"/>
  <c r="O13" s="1"/>
  <c r="N32" i="65095"/>
  <c r="O32" s="1"/>
  <c r="N31" i="65093"/>
  <c r="O31" s="1"/>
  <c r="O30" i="65080"/>
  <c r="N29" i="65078"/>
  <c r="O29" s="1"/>
  <c r="O28" i="65077"/>
  <c r="N33"/>
  <c r="O33" s="1"/>
  <c r="N32" i="65076"/>
  <c r="O32" s="1"/>
  <c r="O29" i="65075"/>
  <c r="N36"/>
  <c r="O36" s="1"/>
  <c r="O28" i="65066"/>
  <c r="H24" i="300" l="1"/>
  <c r="G24"/>
  <c r="E24" i="304" s="1"/>
  <c r="E21"/>
  <c r="E23"/>
  <c r="E26"/>
  <c r="E27"/>
  <c r="E31"/>
  <c r="G15" i="300"/>
  <c r="G47"/>
  <c r="H47"/>
  <c r="H7" l="1"/>
  <c r="E25" i="304"/>
  <c r="E22"/>
  <c r="G7" i="300"/>
  <c r="E34" i="304" l="1"/>
  <c r="N16" i="65122"/>
  <c r="O16" s="1"/>
  <c r="K45" i="300"/>
  <c r="L45" s="1"/>
  <c r="F45"/>
  <c r="N16" i="65075"/>
  <c r="O16" s="1"/>
  <c r="D28" i="65124"/>
  <c r="N8" i="65080"/>
  <c r="E19" i="304"/>
  <c r="N28" i="65085"/>
  <c r="O28" s="1"/>
  <c r="F19" i="304"/>
  <c r="N13" i="65098"/>
  <c r="O13" s="1"/>
  <c r="N8"/>
  <c r="O8" s="1"/>
  <c r="N13" i="65096"/>
  <c r="O13" s="1"/>
  <c r="N8"/>
  <c r="O8" s="1"/>
  <c r="N13" i="65071"/>
  <c r="O13" s="1"/>
  <c r="N8"/>
  <c r="O8" s="1"/>
  <c r="N13" i="65105"/>
  <c r="N13" i="65097"/>
  <c r="O13" s="1"/>
  <c r="N8"/>
  <c r="O8" s="1"/>
  <c r="N13" i="65095"/>
  <c r="O13" s="1"/>
  <c r="N8"/>
  <c r="O8" s="1"/>
  <c r="N8" i="65094"/>
  <c r="O8" s="1"/>
  <c r="N13" i="65093"/>
  <c r="O13" s="1"/>
  <c r="N8"/>
  <c r="O8" s="1"/>
  <c r="N13" i="65089"/>
  <c r="O13" s="1"/>
  <c r="N8"/>
  <c r="O8" s="1"/>
  <c r="N13" i="65088"/>
  <c r="O13" s="1"/>
  <c r="N8"/>
  <c r="O8" s="1"/>
  <c r="N13" i="65087"/>
  <c r="N8"/>
  <c r="O8" s="1"/>
  <c r="N13" i="65086"/>
  <c r="O13" s="1"/>
  <c r="N8"/>
  <c r="O8" s="1"/>
  <c r="N13" i="65085"/>
  <c r="O13" s="1"/>
  <c r="N8"/>
  <c r="O8" s="1"/>
  <c r="N13" i="65084"/>
  <c r="O13" s="1"/>
  <c r="N8"/>
  <c r="O8" s="1"/>
  <c r="N13" i="65083"/>
  <c r="O13" s="1"/>
  <c r="N8"/>
  <c r="O8" s="1"/>
  <c r="N13" i="65122"/>
  <c r="O13" s="1"/>
  <c r="N8"/>
  <c r="O8" s="1"/>
  <c r="N13" i="65081"/>
  <c r="O13" s="1"/>
  <c r="N8"/>
  <c r="O8" s="1"/>
  <c r="N13" i="65082"/>
  <c r="O13" s="1"/>
  <c r="N8"/>
  <c r="O8" s="1"/>
  <c r="N13" i="65080"/>
  <c r="N13" i="65079"/>
  <c r="O13" s="1"/>
  <c r="N8"/>
  <c r="N13" i="65078"/>
  <c r="O13" s="1"/>
  <c r="N8"/>
  <c r="O8" s="1"/>
  <c r="N13" i="65077"/>
  <c r="O13" s="1"/>
  <c r="N8"/>
  <c r="O8" s="1"/>
  <c r="N16" i="65076"/>
  <c r="N11"/>
  <c r="O11" s="1"/>
  <c r="N13" i="65075"/>
  <c r="O13" s="1"/>
  <c r="N8"/>
  <c r="N13" i="65115"/>
  <c r="O13" s="1"/>
  <c r="N8"/>
  <c r="O8" s="1"/>
  <c r="N13" i="65100"/>
  <c r="O13" s="1"/>
  <c r="N8"/>
  <c r="O8" s="1"/>
  <c r="N13" i="65074"/>
  <c r="O13" s="1"/>
  <c r="N8"/>
  <c r="O8" s="1"/>
  <c r="N13" i="65070"/>
  <c r="O13" s="1"/>
  <c r="N8"/>
  <c r="O8" s="1"/>
  <c r="N13" i="65069"/>
  <c r="N8"/>
  <c r="O8" s="1"/>
  <c r="N13" i="65068"/>
  <c r="O13" s="1"/>
  <c r="N8"/>
  <c r="O8" s="1"/>
  <c r="N13" i="65123"/>
  <c r="O13" s="1"/>
  <c r="N8"/>
  <c r="O8" s="1"/>
  <c r="N13" i="65099"/>
  <c r="N8"/>
  <c r="O8" s="1"/>
  <c r="N13" i="65067"/>
  <c r="O13" s="1"/>
  <c r="N8"/>
  <c r="O8" s="1"/>
  <c r="N13" i="65066"/>
  <c r="O13" s="1"/>
  <c r="N8"/>
  <c r="O8" s="1"/>
  <c r="N18" i="65065"/>
  <c r="O18" s="1"/>
  <c r="N13"/>
  <c r="O13" s="1"/>
  <c r="N13" i="16"/>
  <c r="O13" s="1"/>
  <c r="N8"/>
  <c r="O8" s="1"/>
  <c r="G72" i="65137"/>
  <c r="G65"/>
  <c r="G64"/>
  <c r="L18" i="300"/>
  <c r="L19"/>
  <c r="E44" i="65125"/>
  <c r="F44"/>
  <c r="G10" i="65137"/>
  <c r="G12"/>
  <c r="G13"/>
  <c r="G14"/>
  <c r="G15"/>
  <c r="G16"/>
  <c r="F17"/>
  <c r="G17"/>
  <c r="G18"/>
  <c r="G19"/>
  <c r="G20"/>
  <c r="G21"/>
  <c r="G22"/>
  <c r="G27"/>
  <c r="G28"/>
  <c r="G31"/>
  <c r="G33"/>
  <c r="G34"/>
  <c r="G35"/>
  <c r="G36"/>
  <c r="G37"/>
  <c r="G38"/>
  <c r="F40"/>
  <c r="G40"/>
  <c r="G41"/>
  <c r="G42"/>
  <c r="G43"/>
  <c r="G44"/>
  <c r="G45"/>
  <c r="G46"/>
  <c r="F47"/>
  <c r="G47"/>
  <c r="G48"/>
  <c r="G49"/>
  <c r="G50"/>
  <c r="G51"/>
  <c r="G52"/>
  <c r="G53"/>
  <c r="F54"/>
  <c r="G54"/>
  <c r="G55"/>
  <c r="G56"/>
  <c r="G57"/>
  <c r="G58"/>
  <c r="G59"/>
  <c r="G60"/>
  <c r="G62"/>
  <c r="G63"/>
  <c r="G66"/>
  <c r="G67"/>
  <c r="G71"/>
  <c r="G73"/>
  <c r="G74"/>
  <c r="G75"/>
  <c r="G78"/>
  <c r="G79"/>
  <c r="G80"/>
  <c r="G81"/>
  <c r="G82"/>
  <c r="G83"/>
  <c r="G84"/>
  <c r="G85"/>
  <c r="C5" i="65124"/>
  <c r="D5"/>
  <c r="C6"/>
  <c r="D6"/>
  <c r="C7"/>
  <c r="D7"/>
  <c r="C8"/>
  <c r="D8"/>
  <c r="C9"/>
  <c r="D9"/>
  <c r="C10"/>
  <c r="D10"/>
  <c r="C12"/>
  <c r="D12"/>
  <c r="C13"/>
  <c r="D13"/>
  <c r="C14"/>
  <c r="D14"/>
  <c r="C15"/>
  <c r="D15"/>
  <c r="C16"/>
  <c r="D16"/>
  <c r="C17"/>
  <c r="D17"/>
  <c r="C18"/>
  <c r="D18"/>
  <c r="C19"/>
  <c r="D19"/>
  <c r="C20"/>
  <c r="D20"/>
  <c r="C21"/>
  <c r="D21"/>
  <c r="C22"/>
  <c r="D22"/>
  <c r="C23"/>
  <c r="D23"/>
  <c r="D24"/>
  <c r="C25"/>
  <c r="D25"/>
  <c r="C26"/>
  <c r="D26"/>
  <c r="C27"/>
  <c r="D27"/>
  <c r="C28"/>
  <c r="C29"/>
  <c r="D29"/>
  <c r="C30"/>
  <c r="D30"/>
  <c r="C31"/>
  <c r="D31"/>
  <c r="C32"/>
  <c r="D32"/>
  <c r="C33"/>
  <c r="D33"/>
  <c r="C34"/>
  <c r="D34"/>
  <c r="C35"/>
  <c r="D35"/>
  <c r="C36"/>
  <c r="D36"/>
  <c r="C37"/>
  <c r="D37"/>
  <c r="C38"/>
  <c r="D38"/>
  <c r="C39"/>
  <c r="D39"/>
  <c r="C40"/>
  <c r="D40"/>
  <c r="D41"/>
  <c r="N16" i="65105"/>
  <c r="O16" s="1"/>
  <c r="N28"/>
  <c r="O28" s="1"/>
  <c r="N16" i="65098"/>
  <c r="N28"/>
  <c r="O28" s="1"/>
  <c r="N16" i="65097"/>
  <c r="O16" s="1"/>
  <c r="N28"/>
  <c r="O28" s="1"/>
  <c r="N16" i="65096"/>
  <c r="O16" s="1"/>
  <c r="N28"/>
  <c r="O28" s="1"/>
  <c r="N16" i="65095"/>
  <c r="O16" s="1"/>
  <c r="N16" i="65094"/>
  <c r="O16" s="1"/>
  <c r="N28"/>
  <c r="N16" i="65093"/>
  <c r="O16" s="1"/>
  <c r="G35" i="65124"/>
  <c r="N16" i="65089"/>
  <c r="O16" s="1"/>
  <c r="N28"/>
  <c r="O28" s="1"/>
  <c r="N16" i="65088"/>
  <c r="O16" s="1"/>
  <c r="N28"/>
  <c r="N16" i="65087"/>
  <c r="O16" s="1"/>
  <c r="N28"/>
  <c r="N16" i="65086"/>
  <c r="O16" s="1"/>
  <c r="N28"/>
  <c r="O28" s="1"/>
  <c r="N16" i="65085"/>
  <c r="O16" s="1"/>
  <c r="N16" i="65084"/>
  <c r="N28"/>
  <c r="N16" i="65083"/>
  <c r="N28"/>
  <c r="O28" s="1"/>
  <c r="N28" i="65122"/>
  <c r="O28" s="1"/>
  <c r="N16" i="65081"/>
  <c r="N28"/>
  <c r="O28" s="1"/>
  <c r="N16" i="65082"/>
  <c r="O16" s="1"/>
  <c r="N28"/>
  <c r="O28" s="1"/>
  <c r="N16" i="65080"/>
  <c r="O16" s="1"/>
  <c r="N42"/>
  <c r="O42" s="1"/>
  <c r="N45"/>
  <c r="O45" s="1"/>
  <c r="N49"/>
  <c r="O49" s="1"/>
  <c r="N16" i="65079"/>
  <c r="O16" s="1"/>
  <c r="G23" i="65124"/>
  <c r="N38" i="65079"/>
  <c r="O38" s="1"/>
  <c r="N16" i="65078"/>
  <c r="O16" s="1"/>
  <c r="O33"/>
  <c r="N16" i="65077"/>
  <c r="O16" s="1"/>
  <c r="J21" i="65124"/>
  <c r="N8" i="65076"/>
  <c r="O8" s="1"/>
  <c r="N19"/>
  <c r="O19" s="1"/>
  <c r="O37"/>
  <c r="N43"/>
  <c r="O43" s="1"/>
  <c r="K20" i="65124"/>
  <c r="J19"/>
  <c r="N16" i="65115"/>
  <c r="O16" s="1"/>
  <c r="N28"/>
  <c r="N16" i="65100"/>
  <c r="O16" s="1"/>
  <c r="N28"/>
  <c r="O28" s="1"/>
  <c r="N16" i="65074"/>
  <c r="O28"/>
  <c r="N16" i="65071"/>
  <c r="N29"/>
  <c r="N16" i="65070"/>
  <c r="N30"/>
  <c r="O30" s="1"/>
  <c r="N16" i="65069"/>
  <c r="O16" s="1"/>
  <c r="N28"/>
  <c r="O28" s="1"/>
  <c r="N16" i="65068"/>
  <c r="O16" s="1"/>
  <c r="N28"/>
  <c r="O28" s="1"/>
  <c r="N16" i="65123"/>
  <c r="O16" s="1"/>
  <c r="N28"/>
  <c r="O28" s="1"/>
  <c r="N16" i="65099"/>
  <c r="O16" s="1"/>
  <c r="N28"/>
  <c r="N16" i="65067"/>
  <c r="O16" s="1"/>
  <c r="N16" i="65066"/>
  <c r="O16" s="1"/>
  <c r="G7" i="65124"/>
  <c r="N31" i="65066"/>
  <c r="O31" s="1"/>
  <c r="N8" i="65065"/>
  <c r="O8" s="1"/>
  <c r="N21"/>
  <c r="O21" s="1"/>
  <c r="N34"/>
  <c r="O34" s="1"/>
  <c r="N46"/>
  <c r="O46" s="1"/>
  <c r="N49"/>
  <c r="O49" s="1"/>
  <c r="N16" i="16"/>
  <c r="O16" s="1"/>
  <c r="N28"/>
  <c r="L8" i="300"/>
  <c r="F10"/>
  <c r="K10"/>
  <c r="L10" s="1"/>
  <c r="F11"/>
  <c r="K11"/>
  <c r="L11" s="1"/>
  <c r="F12"/>
  <c r="K12"/>
  <c r="L12" s="1"/>
  <c r="F13"/>
  <c r="F9" s="1"/>
  <c r="D21" i="304" s="1"/>
  <c r="K13" i="300"/>
  <c r="L13" s="1"/>
  <c r="F21"/>
  <c r="D23" i="304" s="1"/>
  <c r="L25" i="300"/>
  <c r="L26"/>
  <c r="L27"/>
  <c r="L28"/>
  <c r="L29"/>
  <c r="L30"/>
  <c r="L32"/>
  <c r="F33"/>
  <c r="K33"/>
  <c r="L35"/>
  <c r="F36"/>
  <c r="K36"/>
  <c r="L38"/>
  <c r="F39"/>
  <c r="K39"/>
  <c r="L39" s="1"/>
  <c r="F42"/>
  <c r="K42"/>
  <c r="L42" s="1"/>
  <c r="F43"/>
  <c r="K43"/>
  <c r="L43" s="1"/>
  <c r="L44"/>
  <c r="F49"/>
  <c r="K49"/>
  <c r="L49" s="1"/>
  <c r="F51"/>
  <c r="K51"/>
  <c r="F52"/>
  <c r="K52"/>
  <c r="L52" s="1"/>
  <c r="F53"/>
  <c r="K53"/>
  <c r="L53" s="1"/>
  <c r="F54"/>
  <c r="K54"/>
  <c r="L54" s="1"/>
  <c r="F55"/>
  <c r="K55"/>
  <c r="L55" s="1"/>
  <c r="F56"/>
  <c r="K56"/>
  <c r="L56" s="1"/>
  <c r="F59"/>
  <c r="K59"/>
  <c r="L59" s="1"/>
  <c r="F61"/>
  <c r="K61"/>
  <c r="L61" s="1"/>
  <c r="F62"/>
  <c r="K62"/>
  <c r="F66"/>
  <c r="K66"/>
  <c r="L66" s="1"/>
  <c r="F67"/>
  <c r="K67"/>
  <c r="L67" s="1"/>
  <c r="L68"/>
  <c r="F69"/>
  <c r="K69"/>
  <c r="L69" s="1"/>
  <c r="F71"/>
  <c r="K71"/>
  <c r="F72"/>
  <c r="K72"/>
  <c r="L72" s="1"/>
  <c r="F73"/>
  <c r="K73"/>
  <c r="L73" s="1"/>
  <c r="F74"/>
  <c r="K74"/>
  <c r="L74" s="1"/>
  <c r="F75"/>
  <c r="K75"/>
  <c r="L75" s="1"/>
  <c r="F76"/>
  <c r="K76"/>
  <c r="L76" s="1"/>
  <c r="F77"/>
  <c r="K77"/>
  <c r="L77" s="1"/>
  <c r="F79"/>
  <c r="K79"/>
  <c r="L79" s="1"/>
  <c r="F80"/>
  <c r="K80"/>
  <c r="L80" s="1"/>
  <c r="F85"/>
  <c r="K85"/>
  <c r="F86"/>
  <c r="K86"/>
  <c r="L86" s="1"/>
  <c r="F87"/>
  <c r="K87"/>
  <c r="L87" s="1"/>
  <c r="F88"/>
  <c r="K88"/>
  <c r="L88" s="1"/>
  <c r="F90"/>
  <c r="K90"/>
  <c r="L90" s="1"/>
  <c r="F91"/>
  <c r="K91"/>
  <c r="D26" i="304"/>
  <c r="F100" i="300"/>
  <c r="K100"/>
  <c r="L100" s="1"/>
  <c r="F103"/>
  <c r="K103"/>
  <c r="L103" s="1"/>
  <c r="F104"/>
  <c r="K104"/>
  <c r="L104" s="1"/>
  <c r="L107"/>
  <c r="L108"/>
  <c r="F109"/>
  <c r="K109"/>
  <c r="F111"/>
  <c r="K111"/>
  <c r="F115"/>
  <c r="K115"/>
  <c r="L115" s="1"/>
  <c r="F34" i="304"/>
  <c r="G34"/>
  <c r="F41" i="65124"/>
  <c r="F34"/>
  <c r="F33"/>
  <c r="F30"/>
  <c r="F24"/>
  <c r="F22"/>
  <c r="F17"/>
  <c r="F12"/>
  <c r="F10"/>
  <c r="F8"/>
  <c r="F5"/>
  <c r="J41"/>
  <c r="D42" i="65125"/>
  <c r="C42" s="1"/>
  <c r="J38" i="65124"/>
  <c r="D39" i="65125"/>
  <c r="C39" s="1"/>
  <c r="G37" i="65124"/>
  <c r="J35"/>
  <c r="D37" i="65125"/>
  <c r="C37" s="1"/>
  <c r="J34" i="65124"/>
  <c r="D36" i="65125"/>
  <c r="C36" s="1"/>
  <c r="J32" i="65124"/>
  <c r="J30"/>
  <c r="D32" i="65125"/>
  <c r="C32" s="1"/>
  <c r="J29" i="65124"/>
  <c r="D30" i="65125"/>
  <c r="C30" s="1"/>
  <c r="J27" i="65124"/>
  <c r="J26"/>
  <c r="D28" i="65125"/>
  <c r="C28" s="1"/>
  <c r="J25" i="65124"/>
  <c r="D24" i="65125"/>
  <c r="C24" s="1"/>
  <c r="G22" i="65124"/>
  <c r="F20"/>
  <c r="D21" i="65125"/>
  <c r="C21" s="1"/>
  <c r="F19" i="65124"/>
  <c r="J17"/>
  <c r="D19" i="65125"/>
  <c r="C19" s="1"/>
  <c r="J16" i="65124"/>
  <c r="D17" i="65125"/>
  <c r="C17" s="1"/>
  <c r="D15"/>
  <c r="C15" s="1"/>
  <c r="J12" i="65124"/>
  <c r="D14" i="65125"/>
  <c r="C14" s="1"/>
  <c r="J10" i="65124"/>
  <c r="D12" i="65125"/>
  <c r="C12" s="1"/>
  <c r="J5" i="65124"/>
  <c r="E16"/>
  <c r="J9"/>
  <c r="E5"/>
  <c r="F38"/>
  <c r="E39"/>
  <c r="E37"/>
  <c r="E36"/>
  <c r="E34"/>
  <c r="E33"/>
  <c r="E30"/>
  <c r="E29"/>
  <c r="N33" i="65084"/>
  <c r="O33" s="1"/>
  <c r="E28" i="65124"/>
  <c r="E27"/>
  <c r="E26"/>
  <c r="E25"/>
  <c r="E23"/>
  <c r="E22"/>
  <c r="E18"/>
  <c r="N33" i="65074"/>
  <c r="E14" i="65124"/>
  <c r="E10"/>
  <c r="N33" i="65123"/>
  <c r="O33" s="1"/>
  <c r="E8" i="65124"/>
  <c r="E6"/>
  <c r="E40"/>
  <c r="E38"/>
  <c r="E15"/>
  <c r="E7"/>
  <c r="N33" i="65068"/>
  <c r="F11" i="65137" s="1"/>
  <c r="E12" i="65124"/>
  <c r="N33" i="65087"/>
  <c r="O33" s="1"/>
  <c r="E17" i="65124"/>
  <c r="N33" i="65100"/>
  <c r="E31" i="65124"/>
  <c r="N33" i="65089"/>
  <c r="O33" s="1"/>
  <c r="N33" i="65085"/>
  <c r="O33" s="1"/>
  <c r="G6" i="65124"/>
  <c r="F13"/>
  <c r="D16" i="65125"/>
  <c r="C16" s="1"/>
  <c r="G20" i="65124"/>
  <c r="G21"/>
  <c r="J23"/>
  <c r="J24"/>
  <c r="F27"/>
  <c r="F36"/>
  <c r="N35" i="65070"/>
  <c r="F29" i="65137" s="1"/>
  <c r="E35" i="65124"/>
  <c r="N33" i="65069"/>
  <c r="F24" i="65137" s="1"/>
  <c r="N33" i="65115"/>
  <c r="N38" i="65077"/>
  <c r="N33" i="65083"/>
  <c r="D8" i="65125"/>
  <c r="C8" s="1"/>
  <c r="D18"/>
  <c r="C18" s="1"/>
  <c r="D22"/>
  <c r="C22" s="1"/>
  <c r="J20" i="65124"/>
  <c r="F23"/>
  <c r="D33" i="65125"/>
  <c r="C33" s="1"/>
  <c r="J31" i="65124"/>
  <c r="D40" i="65125"/>
  <c r="C40" s="1"/>
  <c r="J39" i="65124"/>
  <c r="D10" i="65125"/>
  <c r="C10" s="1"/>
  <c r="J8" i="65124"/>
  <c r="J13"/>
  <c r="D23" i="65125"/>
  <c r="C23" s="1"/>
  <c r="F21" i="65124"/>
  <c r="K24"/>
  <c r="D29" i="65125"/>
  <c r="C29" s="1"/>
  <c r="J28" i="65124"/>
  <c r="F31"/>
  <c r="J37"/>
  <c r="F37"/>
  <c r="F39"/>
  <c r="J40"/>
  <c r="D43" i="65125"/>
  <c r="C43" s="1"/>
  <c r="N33" i="65122"/>
  <c r="N55" i="65065"/>
  <c r="J6" i="65124"/>
  <c r="J14"/>
  <c r="J18"/>
  <c r="D26" i="65125"/>
  <c r="C26" s="1"/>
  <c r="D25"/>
  <c r="C25" s="1"/>
  <c r="D41"/>
  <c r="C41" s="1"/>
  <c r="N33" i="65088"/>
  <c r="N37" i="65095"/>
  <c r="F25" i="65137" s="1"/>
  <c r="N34" i="65071"/>
  <c r="N33" i="65098"/>
  <c r="D38" i="65125"/>
  <c r="C38" s="1"/>
  <c r="N36" i="65093"/>
  <c r="O36" s="1"/>
  <c r="G24" i="65124"/>
  <c r="C24"/>
  <c r="G19"/>
  <c r="E17" i="304"/>
  <c r="E29"/>
  <c r="E18"/>
  <c r="K9" i="300"/>
  <c r="N33" i="65081"/>
  <c r="O33" s="1"/>
  <c r="E16" i="304"/>
  <c r="L9" i="300" l="1"/>
  <c r="K99"/>
  <c r="F27" i="304" s="1"/>
  <c r="G27" s="1"/>
  <c r="F86" i="65137"/>
  <c r="F32" i="65124"/>
  <c r="E19"/>
  <c r="J36"/>
  <c r="L36" s="1"/>
  <c r="O28" i="65094"/>
  <c r="O33" i="65083"/>
  <c r="I24" i="65124"/>
  <c r="N54" i="65076"/>
  <c r="N55" s="1"/>
  <c r="I20" i="65124"/>
  <c r="I42" s="1"/>
  <c r="O33" i="65122"/>
  <c r="O55" i="65065"/>
  <c r="J7" i="65124"/>
  <c r="L109" i="300"/>
  <c r="K106"/>
  <c r="F106"/>
  <c r="N33" i="65086"/>
  <c r="O33" s="1"/>
  <c r="O8" i="65079"/>
  <c r="N43"/>
  <c r="F32" i="65137" s="1"/>
  <c r="O8" i="65075"/>
  <c r="N41"/>
  <c r="F89" i="300"/>
  <c r="F84"/>
  <c r="F70"/>
  <c r="L85"/>
  <c r="K84"/>
  <c r="L84" s="1"/>
  <c r="K70"/>
  <c r="L70" s="1"/>
  <c r="F60"/>
  <c r="F48"/>
  <c r="K60"/>
  <c r="L60" s="1"/>
  <c r="L91"/>
  <c r="K89"/>
  <c r="L89" s="1"/>
  <c r="L51"/>
  <c r="K48"/>
  <c r="L48" s="1"/>
  <c r="N33" i="65082"/>
  <c r="D27" i="65125"/>
  <c r="C27" s="1"/>
  <c r="F25" i="65124"/>
  <c r="F18"/>
  <c r="L18" s="1"/>
  <c r="L111" i="300"/>
  <c r="L71"/>
  <c r="F6" i="65124"/>
  <c r="N41" i="65078"/>
  <c r="O41" s="1"/>
  <c r="J22" i="65124"/>
  <c r="L22" s="1"/>
  <c r="O33" i="65088"/>
  <c r="N34" i="65100"/>
  <c r="O34" s="1"/>
  <c r="O8" i="65080"/>
  <c r="N53"/>
  <c r="F76" i="65137" s="1"/>
  <c r="H6" i="65124"/>
  <c r="H42" s="1"/>
  <c r="F61" i="65137"/>
  <c r="G61" s="1"/>
  <c r="E21" i="65124"/>
  <c r="F15" i="304"/>
  <c r="F37" i="300"/>
  <c r="L33"/>
  <c r="K31"/>
  <c r="L31" s="1"/>
  <c r="L27" i="65124"/>
  <c r="E41"/>
  <c r="O13" i="65105"/>
  <c r="F40" i="65124"/>
  <c r="O16" i="65098"/>
  <c r="N34"/>
  <c r="O34" s="1"/>
  <c r="O33"/>
  <c r="D35" i="65125"/>
  <c r="C35" s="1"/>
  <c r="O28" i="65088"/>
  <c r="D34" i="65125"/>
  <c r="C34" s="1"/>
  <c r="O28" i="65087"/>
  <c r="E32" i="65124"/>
  <c r="O13" i="65087"/>
  <c r="D31" i="65125"/>
  <c r="C31" s="1"/>
  <c r="O28" i="65084"/>
  <c r="F29" i="65124"/>
  <c r="L29" s="1"/>
  <c r="O16" i="65084"/>
  <c r="F28" i="65124"/>
  <c r="O16" i="65083"/>
  <c r="F26" i="65124"/>
  <c r="L26" s="1"/>
  <c r="O16" i="65081"/>
  <c r="E24" i="65124"/>
  <c r="L24" s="1"/>
  <c r="O13" i="65080"/>
  <c r="E20" i="65124"/>
  <c r="O16" i="65076"/>
  <c r="F99" i="300"/>
  <c r="D27" i="304" s="1"/>
  <c r="D20" i="65125"/>
  <c r="C20" s="1"/>
  <c r="O28" i="65115"/>
  <c r="O33" i="65100"/>
  <c r="F16" i="65124"/>
  <c r="L16" s="1"/>
  <c r="O16" i="65074"/>
  <c r="O33"/>
  <c r="J15" i="65124"/>
  <c r="O29" i="65071"/>
  <c r="F15" i="65124"/>
  <c r="O16" i="65071"/>
  <c r="N35"/>
  <c r="O35" s="1"/>
  <c r="O34"/>
  <c r="F14" i="65124"/>
  <c r="L14" s="1"/>
  <c r="O16" i="65070"/>
  <c r="E13" i="65124"/>
  <c r="O13" i="65069"/>
  <c r="N34"/>
  <c r="O34" s="1"/>
  <c r="O33"/>
  <c r="N34" i="65068"/>
  <c r="O34" s="1"/>
  <c r="O33"/>
  <c r="D11" i="65125"/>
  <c r="C11" s="1"/>
  <c r="O28" i="65099"/>
  <c r="N33"/>
  <c r="O33" s="1"/>
  <c r="E9" i="65124"/>
  <c r="O13" i="65099"/>
  <c r="L8" i="65124"/>
  <c r="D7" i="65125"/>
  <c r="C7" s="1"/>
  <c r="O28" i="16"/>
  <c r="G29" i="65137"/>
  <c r="O35" i="65070"/>
  <c r="N34" i="65115"/>
  <c r="O34" s="1"/>
  <c r="O33"/>
  <c r="N42" i="65075"/>
  <c r="O42" s="1"/>
  <c r="N38" i="65095"/>
  <c r="O37"/>
  <c r="N39" i="65077"/>
  <c r="O38"/>
  <c r="L93" i="300"/>
  <c r="L94"/>
  <c r="K21"/>
  <c r="L22"/>
  <c r="G24" i="65137"/>
  <c r="F21" i="304"/>
  <c r="G21" s="1"/>
  <c r="L37" i="65124"/>
  <c r="L38"/>
  <c r="L12"/>
  <c r="K114" i="300"/>
  <c r="F114"/>
  <c r="N33" i="65094"/>
  <c r="L34" i="65124"/>
  <c r="K34" i="300"/>
  <c r="L34" s="1"/>
  <c r="N44" i="65079"/>
  <c r="N33" i="65067"/>
  <c r="O33" s="1"/>
  <c r="L5" i="65124"/>
  <c r="E14" i="304"/>
  <c r="E40" s="1"/>
  <c r="G19"/>
  <c r="N33" i="65096"/>
  <c r="F35" i="65124"/>
  <c r="L35" s="1"/>
  <c r="J33"/>
  <c r="L33" s="1"/>
  <c r="D42"/>
  <c r="F9"/>
  <c r="F34" i="300"/>
  <c r="F31"/>
  <c r="N36" i="65066"/>
  <c r="O36" s="1"/>
  <c r="D9" i="65125"/>
  <c r="C9" s="1"/>
  <c r="F7" i="65124"/>
  <c r="L7" s="1"/>
  <c r="N33" i="16"/>
  <c r="N33" i="65097"/>
  <c r="L21" i="65124"/>
  <c r="L39"/>
  <c r="L40"/>
  <c r="G25" i="65137"/>
  <c r="N37" i="65093"/>
  <c r="L32" i="65124"/>
  <c r="L31"/>
  <c r="L30"/>
  <c r="L28"/>
  <c r="L25"/>
  <c r="K42"/>
  <c r="L23"/>
  <c r="L20"/>
  <c r="F17" i="300"/>
  <c r="F15" s="1"/>
  <c r="D22" i="304" s="1"/>
  <c r="L19" i="65124"/>
  <c r="L17"/>
  <c r="L15"/>
  <c r="L13"/>
  <c r="L10"/>
  <c r="G42"/>
  <c r="K37" i="300"/>
  <c r="L37" s="1"/>
  <c r="L43" i="65124"/>
  <c r="E35" i="304"/>
  <c r="F36" l="1"/>
  <c r="G36" s="1"/>
  <c r="L99" i="300"/>
  <c r="F26" i="65137"/>
  <c r="O54" i="65076"/>
  <c r="G69" i="65137"/>
  <c r="O33" i="65082"/>
  <c r="F9" i="65137"/>
  <c r="G32"/>
  <c r="N42" i="65078"/>
  <c r="O42" s="1"/>
  <c r="N37" i="65140"/>
  <c r="N38" s="1"/>
  <c r="E42" i="65124"/>
  <c r="L21" i="300"/>
  <c r="O41" i="65075"/>
  <c r="G70" i="65137"/>
  <c r="N34" i="65089"/>
  <c r="O34" s="1"/>
  <c r="O43" i="65079"/>
  <c r="L6" i="65124"/>
  <c r="N34" i="65122"/>
  <c r="O34" s="1"/>
  <c r="N35" i="65098"/>
  <c r="O35" s="1"/>
  <c r="N35" i="65069"/>
  <c r="O35" s="1"/>
  <c r="F47" i="300"/>
  <c r="D25" i="304" s="1"/>
  <c r="L9" i="65124"/>
  <c r="J42"/>
  <c r="O53" i="65080"/>
  <c r="O33" i="16"/>
  <c r="N34"/>
  <c r="N43" i="65075"/>
  <c r="O43" s="1"/>
  <c r="F29" i="304"/>
  <c r="G29" s="1"/>
  <c r="D36"/>
  <c r="D35" s="1"/>
  <c r="D37" s="1"/>
  <c r="N35" i="65068"/>
  <c r="O35" s="1"/>
  <c r="D44" i="65125"/>
  <c r="F42" i="65124"/>
  <c r="F23" i="304"/>
  <c r="G23" s="1"/>
  <c r="N34" i="65097"/>
  <c r="O34" s="1"/>
  <c r="O33"/>
  <c r="G26" i="65137"/>
  <c r="N34" i="65096"/>
  <c r="O34" s="1"/>
  <c r="O33"/>
  <c r="N34" i="65094"/>
  <c r="O33"/>
  <c r="N38" i="65093"/>
  <c r="O38" s="1"/>
  <c r="O37"/>
  <c r="N35" i="65115"/>
  <c r="O35" s="1"/>
  <c r="E30" i="304"/>
  <c r="E32" s="1"/>
  <c r="D31"/>
  <c r="D30" s="1"/>
  <c r="D32" s="1"/>
  <c r="F26"/>
  <c r="G26" s="1"/>
  <c r="N45" i="65079"/>
  <c r="O45" s="1"/>
  <c r="O44"/>
  <c r="N39" i="65095"/>
  <c r="O39" s="1"/>
  <c r="O38"/>
  <c r="N40" i="65077"/>
  <c r="O39"/>
  <c r="N56" i="65076"/>
  <c r="O56" s="1"/>
  <c r="O55"/>
  <c r="F31" i="304"/>
  <c r="F30" s="1"/>
  <c r="L106" i="300"/>
  <c r="C44" i="65125"/>
  <c r="L17" i="300"/>
  <c r="L114"/>
  <c r="G11" i="65137"/>
  <c r="K47" i="300"/>
  <c r="F24"/>
  <c r="K24"/>
  <c r="F18" i="304"/>
  <c r="G18" s="1"/>
  <c r="G15"/>
  <c r="E37"/>
  <c r="N43" i="65078" l="1"/>
  <c r="O43" s="1"/>
  <c r="F68" i="65137"/>
  <c r="G76"/>
  <c r="N35" i="65089"/>
  <c r="O35" s="1"/>
  <c r="O40" i="65077"/>
  <c r="G9" i="65137"/>
  <c r="F8"/>
  <c r="G8" s="1"/>
  <c r="N35" i="16"/>
  <c r="O35" s="1"/>
  <c r="O34"/>
  <c r="G68" i="65137"/>
  <c r="F32" i="304"/>
  <c r="G32" s="1"/>
  <c r="N35" i="65097"/>
  <c r="O35" s="1"/>
  <c r="F23" i="65137"/>
  <c r="G23" s="1"/>
  <c r="N35" i="65096"/>
  <c r="O35" s="1"/>
  <c r="G30" i="304"/>
  <c r="G31"/>
  <c r="O34" i="65094"/>
  <c r="N35"/>
  <c r="O35" s="1"/>
  <c r="E20" i="304"/>
  <c r="E28" s="1"/>
  <c r="E33" s="1"/>
  <c r="D24"/>
  <c r="D20" s="1"/>
  <c r="F35"/>
  <c r="F24"/>
  <c r="G24" s="1"/>
  <c r="L24" i="300"/>
  <c r="F25" i="304"/>
  <c r="G25" s="1"/>
  <c r="L47" i="300"/>
  <c r="O35" i="65123"/>
  <c r="O34"/>
  <c r="F7" i="300"/>
  <c r="F16" i="304"/>
  <c r="G16" s="1"/>
  <c r="F77" i="65137" l="1"/>
  <c r="G86"/>
  <c r="E41" i="304"/>
  <c r="E42" s="1"/>
  <c r="D41"/>
  <c r="D42" s="1"/>
  <c r="D28"/>
  <c r="D33" s="1"/>
  <c r="D38" s="1"/>
  <c r="F37"/>
  <c r="G37" s="1"/>
  <c r="G35"/>
  <c r="E38"/>
  <c r="G77" i="65137" l="1"/>
  <c r="F17" i="304" l="1"/>
  <c r="A4" i="65061" l="1"/>
  <c r="G17" i="304"/>
  <c r="F14"/>
  <c r="G14" l="1"/>
  <c r="F40"/>
  <c r="G40" l="1"/>
  <c r="O9" i="65105"/>
  <c r="N8"/>
  <c r="O8" s="1"/>
  <c r="C41" i="65124"/>
  <c r="C42" s="1"/>
  <c r="L16" i="300"/>
  <c r="L41" i="65124" l="1"/>
  <c r="L42" s="1"/>
  <c r="N33" i="65105"/>
  <c r="F39" i="65137" s="1"/>
  <c r="K15" i="300"/>
  <c r="K7" l="1"/>
  <c r="L7" s="1"/>
  <c r="K122"/>
  <c r="N34" i="65105"/>
  <c r="O34" s="1"/>
  <c r="O33"/>
  <c r="L15" i="300"/>
  <c r="F22" i="304"/>
  <c r="G22" s="1"/>
  <c r="N35" i="65105"/>
  <c r="O35" s="1"/>
  <c r="G39" i="65137"/>
  <c r="F30"/>
  <c r="F7" s="1"/>
  <c r="C131" i="300" l="1"/>
  <c r="L122"/>
  <c r="F20" i="304"/>
  <c r="G20" s="1"/>
  <c r="G30" i="65137"/>
  <c r="G7"/>
  <c r="F41" i="304" l="1"/>
  <c r="F28"/>
  <c r="F33" s="1"/>
  <c r="G41" l="1"/>
  <c r="F42"/>
  <c r="G28"/>
  <c r="G33"/>
  <c r="F38"/>
  <c r="G42" l="1"/>
  <c r="L44" i="65124"/>
  <c r="G38" i="304"/>
  <c r="L45" i="65124" l="1"/>
</calcChain>
</file>

<file path=xl/sharedStrings.xml><?xml version="1.0" encoding="utf-8"?>
<sst xmlns="http://schemas.openxmlformats.org/spreadsheetml/2006/main" count="2793" uniqueCount="939">
  <si>
    <t>073</t>
  </si>
  <si>
    <t>Bolničke usluge</t>
  </si>
  <si>
    <t>074</t>
  </si>
  <si>
    <t>Usluge zdravstvene zaštite</t>
  </si>
  <si>
    <t>075</t>
  </si>
  <si>
    <t>IiR Zdravstvo</t>
  </si>
  <si>
    <t>076</t>
  </si>
  <si>
    <t>Zdravstvo n. k.</t>
  </si>
  <si>
    <t>08</t>
  </si>
  <si>
    <t>Rekreacija, kultura i religija     (56+….+61)</t>
  </si>
  <si>
    <t>081</t>
  </si>
  <si>
    <t>082</t>
  </si>
  <si>
    <t xml:space="preserve">Usluge kulture </t>
  </si>
  <si>
    <t>083</t>
  </si>
  <si>
    <t>084</t>
  </si>
  <si>
    <t>085</t>
  </si>
  <si>
    <t>IiR Rekreacija, kultura i religija</t>
  </si>
  <si>
    <t>086</t>
  </si>
  <si>
    <t>Rekreacija, kultura i religija n. k.</t>
  </si>
  <si>
    <t>09</t>
  </si>
  <si>
    <t>Obrazovanje         (63+…..+70)</t>
  </si>
  <si>
    <t>091</t>
  </si>
  <si>
    <t>Predškolsko i osnovno obrazovanje</t>
  </si>
  <si>
    <t>092</t>
  </si>
  <si>
    <t>Srednje obrazovanje</t>
  </si>
  <si>
    <t>093</t>
  </si>
  <si>
    <t>Obrazovanje poslije srednje škole koje nije visoko obrazovanje</t>
  </si>
  <si>
    <t>094</t>
  </si>
  <si>
    <t>Visoko obrazovanje</t>
  </si>
  <si>
    <t>095</t>
  </si>
  <si>
    <t>096</t>
  </si>
  <si>
    <t>Pomoćne usluge obrazovanju</t>
  </si>
  <si>
    <t>097</t>
  </si>
  <si>
    <t>IiR Obrazovanje</t>
  </si>
  <si>
    <t>098</t>
  </si>
  <si>
    <t>Obrazovanje n. k.</t>
  </si>
  <si>
    <t>10</t>
  </si>
  <si>
    <t>Socijalna zaštita      (72+…..+80)</t>
  </si>
  <si>
    <t>101</t>
  </si>
  <si>
    <t>Bolest i hendikepiranost</t>
  </si>
  <si>
    <t>102</t>
  </si>
  <si>
    <t>Starost</t>
  </si>
  <si>
    <t>103</t>
  </si>
  <si>
    <t>Nasljednici</t>
  </si>
  <si>
    <t>104</t>
  </si>
  <si>
    <t>105</t>
  </si>
  <si>
    <t>106</t>
  </si>
  <si>
    <t>Stanovanje</t>
  </si>
  <si>
    <t>107</t>
  </si>
  <si>
    <t>Socijalno isključenje n. k.</t>
  </si>
  <si>
    <t>108</t>
  </si>
  <si>
    <t>IiR Socijalna zaštita</t>
  </si>
  <si>
    <t>109</t>
  </si>
  <si>
    <t>Socijalna zaštita n. k.</t>
  </si>
  <si>
    <t>Ukupni rashodi (zbroj funkcija) (2+11+17+24+34+41+48+55+62+71)</t>
  </si>
  <si>
    <t>INDEX
4/3</t>
  </si>
  <si>
    <t xml:space="preserve">IiR Zaštita životne sredine </t>
  </si>
  <si>
    <t xml:space="preserve">Religijske i druge zajedničke usluge </t>
  </si>
  <si>
    <t>Opće javne usluge       (3+…..+10)</t>
  </si>
  <si>
    <t>Izvršni i zakonodavni organi, financijski i fiskalni poslovi, vanjski poslovi</t>
  </si>
  <si>
    <t>Transferi općeg karaktera između različitih razina vlasti</t>
  </si>
  <si>
    <t>Obrana      (12+….+16)</t>
  </si>
  <si>
    <t>Vojna obrana</t>
  </si>
  <si>
    <t>Civilna obrana</t>
  </si>
  <si>
    <t>Inozemna vojna pomoć</t>
  </si>
  <si>
    <t>IiR Obrana</t>
  </si>
  <si>
    <t>Obrana n. k.</t>
  </si>
  <si>
    <t>Promet</t>
  </si>
  <si>
    <t>Zaštita raznovrsnosti flore i faune i zaštita okoliša</t>
  </si>
  <si>
    <t>Vodoopskrba</t>
  </si>
  <si>
    <t>Izvanbolničke usluge</t>
  </si>
  <si>
    <t xml:space="preserve">Usluge emitiranja i izdavaštva </t>
  </si>
  <si>
    <t>Obrazovanje koje nije definirano razinom</t>
  </si>
  <si>
    <t>Obitelj i djeca</t>
  </si>
  <si>
    <t>Neuposlenost</t>
  </si>
  <si>
    <t>I - PRIHODI, PRIMICI I FINANCIRANJE</t>
  </si>
  <si>
    <t xml:space="preserve">II - RASHODI I IZDACI  </t>
  </si>
  <si>
    <t>Ministarstvo
(razdjel)</t>
  </si>
  <si>
    <t>Proračunska
institucija</t>
  </si>
  <si>
    <t>OPIS</t>
  </si>
  <si>
    <t>01</t>
  </si>
  <si>
    <t>0001</t>
  </si>
  <si>
    <t xml:space="preserve"> Doprinosi poslodavca</t>
  </si>
  <si>
    <t xml:space="preserve"> Putni troškovi</t>
  </si>
  <si>
    <t xml:space="preserve"> Izdaci za energiju</t>
  </si>
  <si>
    <t xml:space="preserve"> Izdaci za usluge prijevoza i goriva</t>
  </si>
  <si>
    <t xml:space="preserve"> Izdaci za tekuće održavanje</t>
  </si>
  <si>
    <t xml:space="preserve"> Tekuće održavanje cesta</t>
  </si>
  <si>
    <t xml:space="preserve"> Kapitalni grantovi</t>
  </si>
  <si>
    <t xml:space="preserve"> Izdaci za nabavku stalnih sredstava</t>
  </si>
  <si>
    <t xml:space="preserve"> Nabavka građevina</t>
  </si>
  <si>
    <t xml:space="preserve"> Nabavka opreme</t>
  </si>
  <si>
    <t xml:space="preserve"> Ukupan broj zaposlenih:</t>
  </si>
  <si>
    <t xml:space="preserve"> Ukupno za proračunsku instituciju:</t>
  </si>
  <si>
    <t xml:space="preserve"> Ukupno za ministarstvo (razdjel):</t>
  </si>
  <si>
    <t xml:space="preserve"> Grantovi političkim strankama</t>
  </si>
  <si>
    <t xml:space="preserve"> Tekuća pričuva Vlade</t>
  </si>
  <si>
    <t xml:space="preserve"> Tekuća pričuva predsjednika Vlade</t>
  </si>
  <si>
    <t xml:space="preserve"> Grantovi za povratak raseljenih osoba</t>
  </si>
  <si>
    <t xml:space="preserve"> Grantovi za informiranje</t>
  </si>
  <si>
    <t xml:space="preserve"> Grantovi za financiranje vjerskih zajednica</t>
  </si>
  <si>
    <t>616000</t>
  </si>
  <si>
    <t xml:space="preserve"> Rekonstrukcija i investicijsko održavanje</t>
  </si>
  <si>
    <t>614200</t>
  </si>
  <si>
    <t>614300</t>
  </si>
  <si>
    <t>614100</t>
  </si>
  <si>
    <t xml:space="preserve"> Tekuća pričuva ministra financija</t>
  </si>
  <si>
    <t>Potrošačka
jedinica</t>
  </si>
  <si>
    <t xml:space="preserve"> Ostali grantovi-povrat i drugo</t>
  </si>
  <si>
    <t xml:space="preserve"> Isplate stipendija</t>
  </si>
  <si>
    <t xml:space="preserve"> Ukupno za potrošačku jedinicu:</t>
  </si>
  <si>
    <t xml:space="preserve"> Grant za zaštitu od prirodnih i drugih nesreća</t>
  </si>
  <si>
    <t>SKUPŠTINA ŽUPANIJE POSAVSKE</t>
  </si>
  <si>
    <t>0002</t>
  </si>
  <si>
    <t>VLADA ŽUPANIJE POSAVSKE</t>
  </si>
  <si>
    <t>11</t>
  </si>
  <si>
    <t xml:space="preserve"> Rashodi - Tekuća pričuva</t>
  </si>
  <si>
    <t xml:space="preserve"> Tekuća pričuva zamjenika pred. Vlade</t>
  </si>
  <si>
    <t>0003</t>
  </si>
  <si>
    <t>0004</t>
  </si>
  <si>
    <t>12</t>
  </si>
  <si>
    <t>MINISTARSTVO UNUTARNJIH POSLOVA ŽUPANIJE POSAVSKE</t>
  </si>
  <si>
    <t>13</t>
  </si>
  <si>
    <t>14</t>
  </si>
  <si>
    <t>02</t>
  </si>
  <si>
    <t>05</t>
  </si>
  <si>
    <t>15</t>
  </si>
  <si>
    <t>16</t>
  </si>
  <si>
    <t>17</t>
  </si>
  <si>
    <t>18</t>
  </si>
  <si>
    <t>19</t>
  </si>
  <si>
    <t>20</t>
  </si>
  <si>
    <t>03</t>
  </si>
  <si>
    <t>0005</t>
  </si>
  <si>
    <t>0006</t>
  </si>
  <si>
    <t>0007</t>
  </si>
  <si>
    <t>21</t>
  </si>
  <si>
    <t>22</t>
  </si>
  <si>
    <t>23</t>
  </si>
  <si>
    <t>KANTONALNI SUD ODŽAK</t>
  </si>
  <si>
    <t>24</t>
  </si>
  <si>
    <t>26</t>
  </si>
  <si>
    <t>27</t>
  </si>
  <si>
    <t xml:space="preserve"> UKUPNI IZDACI </t>
  </si>
  <si>
    <t xml:space="preserve"> Grantovi za šumarstvo</t>
  </si>
  <si>
    <t xml:space="preserve"> Doprinosi poslodavca i ostali doprinosi</t>
  </si>
  <si>
    <t xml:space="preserve"> Plaće i naknade troškova zaposlenih</t>
  </si>
  <si>
    <t xml:space="preserve"> Izdaci za materijal, sitan inv. i usluge</t>
  </si>
  <si>
    <t xml:space="preserve"> Nabavka materijala i sitnog inventara</t>
  </si>
  <si>
    <t xml:space="preserve"> Izdaci osiguranja, bank. usluga i usluga p.p.</t>
  </si>
  <si>
    <t xml:space="preserve"> Ugovorene i druge posebne usluge</t>
  </si>
  <si>
    <t xml:space="preserve"> </t>
  </si>
  <si>
    <t xml:space="preserve"> Grant za zaštitu okoliša</t>
  </si>
  <si>
    <t xml:space="preserve"> Vozački ispiti-vlastiti prihodi</t>
  </si>
  <si>
    <t>28</t>
  </si>
  <si>
    <t>ŽUPANIJSKA UPRAVA ZA INSPEKCIJSKE POSLOVE</t>
  </si>
  <si>
    <t>I PRIHODI OD POREZA</t>
  </si>
  <si>
    <t>Ekonomski kod</t>
  </si>
  <si>
    <t xml:space="preserve"> Otplate domaćeg pozajmljivanja</t>
  </si>
  <si>
    <t xml:space="preserve"> Izdaci za negativne tečajne razlike</t>
  </si>
  <si>
    <t>II NEPOREZNI PRIHODI</t>
  </si>
  <si>
    <t>1.Porez na dobit pojedinaca i poduzeća</t>
  </si>
  <si>
    <t>3.Porez na imovinu</t>
  </si>
  <si>
    <t>5.Porez na dohodak</t>
  </si>
  <si>
    <t>6.Prihodi od neizravnih poreza</t>
  </si>
  <si>
    <t>7.Ostali porezi</t>
  </si>
  <si>
    <t>3.Novčane kazne</t>
  </si>
  <si>
    <t xml:space="preserve"> Kamate na domaće pozajmljivanje-OPEC fond</t>
  </si>
  <si>
    <t>06</t>
  </si>
  <si>
    <t>I  OPĆI DIO</t>
  </si>
  <si>
    <t>Članak 1.</t>
  </si>
  <si>
    <t xml:space="preserve">Bosna i Hercegovina </t>
  </si>
  <si>
    <t>ŽUPANIJA POSAVSKA</t>
  </si>
  <si>
    <t xml:space="preserve">Skupština </t>
  </si>
  <si>
    <t xml:space="preserve"> Bruto plaće i naknade plaća</t>
  </si>
  <si>
    <t xml:space="preserve"> Naknade troškova zaposlenih</t>
  </si>
  <si>
    <t xml:space="preserve"> Izdaci za komunikaciju i komunalne usluge</t>
  </si>
  <si>
    <t xml:space="preserve"> Unajmljivanje imovine, opreme i nemat.imovine</t>
  </si>
  <si>
    <t xml:space="preserve"> Tekući grantovi i drugi tekući rashodi</t>
  </si>
  <si>
    <t xml:space="preserve"> Izdaci za kamate </t>
  </si>
  <si>
    <t xml:space="preserve"> Izdaci za otplate dugova</t>
  </si>
  <si>
    <t xml:space="preserve"> Izdaci za kamate</t>
  </si>
  <si>
    <t>614500</t>
  </si>
  <si>
    <t xml:space="preserve"> Agencija za državnu službu ŽP</t>
  </si>
  <si>
    <t>615100</t>
  </si>
  <si>
    <t>1.Prihodi od poduzetničkih aktivnosti i imovine i prihodi od pozitivnih tečajnih razlika</t>
  </si>
  <si>
    <t xml:space="preserve"> Kamate na domaće pozajmljivanje-Koreja</t>
  </si>
  <si>
    <t>Izdaci za otplate dugova</t>
  </si>
  <si>
    <t xml:space="preserve"> Kamate na domaće pozajmljivanje-OPEC</t>
  </si>
  <si>
    <t xml:space="preserve"> Otplate domaćeg pozajmljivanja - OPEC</t>
  </si>
  <si>
    <t xml:space="preserve"> Kamate na domaće pozajmljivanje-Austrija</t>
  </si>
  <si>
    <t>Članak 2.</t>
  </si>
  <si>
    <t>II POSEBAN DIO</t>
  </si>
  <si>
    <t>Članak 3.</t>
  </si>
  <si>
    <t xml:space="preserve"> Grant za razvoj turizma</t>
  </si>
  <si>
    <t xml:space="preserve"> Grantovi za financiranje višeg i visokog obrazovanja    
 i Zavoda za školstvo</t>
  </si>
  <si>
    <t xml:space="preserve"> Grant za Crveni križ Županije Posavske</t>
  </si>
  <si>
    <t>ŽUPANIJSKO PRAVOBRANITELJSTVO</t>
  </si>
  <si>
    <t xml:space="preserve"> Grant za Gospodarsku komoru ŽP</t>
  </si>
  <si>
    <t>SADRŽAJ</t>
  </si>
  <si>
    <t>1.</t>
  </si>
  <si>
    <t xml:space="preserve">Opći dio </t>
  </si>
  <si>
    <t>2.</t>
  </si>
  <si>
    <t>Prihodi, primici i financiranje</t>
  </si>
  <si>
    <t>3.</t>
  </si>
  <si>
    <t>4.</t>
  </si>
  <si>
    <t>Posebni dio</t>
  </si>
  <si>
    <t>Skupština Županije Posavske</t>
  </si>
  <si>
    <t>Vlada Županije Posavske</t>
  </si>
  <si>
    <t>Ministarstvo unutarnjih poslova Županije Posavske</t>
  </si>
  <si>
    <t>Stranica</t>
  </si>
  <si>
    <t>Kantonalni sud Odžak</t>
  </si>
  <si>
    <t>Županijsko pravobraniteljstvo</t>
  </si>
  <si>
    <t>Županijska uprava za inspekcijske poslove</t>
  </si>
  <si>
    <t>Završne odredbe</t>
  </si>
  <si>
    <t>RB</t>
  </si>
  <si>
    <t>5.</t>
  </si>
  <si>
    <t>O P I S</t>
  </si>
  <si>
    <t xml:space="preserve"> Grant za Kuću nade Odžak</t>
  </si>
  <si>
    <t xml:space="preserve"> Grant za Sveučilište u Mostaru</t>
  </si>
  <si>
    <t xml:space="preserve"> Grantovi nižim razinama vlasti</t>
  </si>
  <si>
    <t>Članak 4.</t>
  </si>
  <si>
    <t>Članak 5.</t>
  </si>
  <si>
    <t xml:space="preserve">   Porezi na dobit pojedinaca (zaostale uplate poreza)</t>
  </si>
  <si>
    <t xml:space="preserve">   Porez na dobit od gospodarskih i profesionalnih djelatnosti</t>
  </si>
  <si>
    <t xml:space="preserve">   Porez na prihod od imovine i imovinskih prava</t>
  </si>
  <si>
    <t xml:space="preserve">   Porez na dobit</t>
  </si>
  <si>
    <t xml:space="preserve">   Porez po odbitku</t>
  </si>
  <si>
    <t xml:space="preserve">   Porez na dobit poduzeća</t>
  </si>
  <si>
    <t>2.Porezi na plaću i radnu snagu (zaostale uplate poreza)</t>
  </si>
  <si>
    <t xml:space="preserve">   Porezi na plaću i druga osobna primanja</t>
  </si>
  <si>
    <t xml:space="preserve">   Porezi na dodatna primanja</t>
  </si>
  <si>
    <t xml:space="preserve">   Porez na imovinu od fizičkih osoba</t>
  </si>
  <si>
    <t xml:space="preserve">   Porez na imovinu od pravnih osoba</t>
  </si>
  <si>
    <t xml:space="preserve">   Porez na imovinu za motorna vozila</t>
  </si>
  <si>
    <t xml:space="preserve">   Porez na naslijeđe i darove</t>
  </si>
  <si>
    <t xml:space="preserve">   Porez na promet nepokretnosti - fizičkih osoba</t>
  </si>
  <si>
    <t xml:space="preserve">   Porez na promet nepokretnosti - pravnih osoba</t>
  </si>
  <si>
    <t>4.Domaći porezi na dobra i usluge (zaostale obveze na 
   temelju poreza na promet dobara i usluga)</t>
  </si>
  <si>
    <t xml:space="preserve">   Porez na promet proizvoda (opća stopa od 20%)</t>
  </si>
  <si>
    <t xml:space="preserve">   Kaznena kamata</t>
  </si>
  <si>
    <t xml:space="preserve">   Porez na promet usluga, osim usluga u građevinarstvu</t>
  </si>
  <si>
    <t xml:space="preserve">   Porezi na prodaju dobara i usluga, ukupni promet ili 
   dodanu vrijednost</t>
  </si>
  <si>
    <t xml:space="preserve">   Porez na promet posebnih usluga</t>
  </si>
  <si>
    <t xml:space="preserve">   Porez na dobitke od igara na sreću</t>
  </si>
  <si>
    <t xml:space="preserve">   Ostali porezi na promet proizvoda i usluga</t>
  </si>
  <si>
    <t xml:space="preserve">   Porez na promet osnovnih proizvoda poljoprivrede, ribarstva i 
   proizvoda koji služe za ljudsku prehranu</t>
  </si>
  <si>
    <t xml:space="preserve">   Porez na dohodak</t>
  </si>
  <si>
    <t xml:space="preserve">   Prihodi od poreza na dohodak po konačnom obračunu</t>
  </si>
  <si>
    <t xml:space="preserve">   Prihodi od poreza na dohodak fiz.osoba od nesam.djelatnosti</t>
  </si>
  <si>
    <t xml:space="preserve">   Prihodi od poreza na dohodak fizi.osoba od samost.djelatnosti</t>
  </si>
  <si>
    <t xml:space="preserve">   Prihodi od poreza na dohodak fiz.os.od imovine i imov.prava</t>
  </si>
  <si>
    <t xml:space="preserve">   Prihodi od poreza na dohodak fiz.osoba od ulaganja kapitala</t>
  </si>
  <si>
    <t xml:space="preserve">   Prihodi od poreza na dohodak fizičkih osoba na dobitke od 
   nagradnih igara i igara na sreću</t>
  </si>
  <si>
    <t xml:space="preserve">   Prihodi od poreza na dohodak od dr.samostalnih djelatnosti</t>
  </si>
  <si>
    <t xml:space="preserve">   Prihodi od neizravnih poreza</t>
  </si>
  <si>
    <t xml:space="preserve">   Prihodi od neizravnih poreza koji pripadaju županijama</t>
  </si>
  <si>
    <t xml:space="preserve">   Prihodi od neizravnih poreza koji pripadaju Direkciji cesta</t>
  </si>
  <si>
    <t xml:space="preserve">   Ostali porezi</t>
  </si>
  <si>
    <t xml:space="preserve">   Pos.porez na plaću za zašt.od prir.i dr.nesr.(zaost.obveze)</t>
  </si>
  <si>
    <t xml:space="preserve">   Poseban porez za zaštitu od prirodnih i drugih nesreća po 
   osnovi ugovora o djelu i povr.i privr.poslova (zaostale obveze)</t>
  </si>
  <si>
    <t xml:space="preserve">   Prihodi od nefinanc.jav.poduzeća i financ.jav.institucija</t>
  </si>
  <si>
    <t xml:space="preserve">   Prihodi od davanja prava na eksploataciju prirodnih resursa</t>
  </si>
  <si>
    <t xml:space="preserve">   Ostali prihodi od imovine</t>
  </si>
  <si>
    <t xml:space="preserve">   Prihodi od kamate za depozite u banci</t>
  </si>
  <si>
    <t xml:space="preserve">   Kamata i divid.primljene od pozajmica i udj.u kapitalu</t>
  </si>
  <si>
    <t xml:space="preserve">   Kamate primljene od pozajmica Federaciji</t>
  </si>
  <si>
    <t xml:space="preserve">   Prihodi od pozitivnih tečajnih razlika</t>
  </si>
  <si>
    <t xml:space="preserve">   Administrativne pristojbe</t>
  </si>
  <si>
    <t xml:space="preserve">   Županijske administrativne pristojbe</t>
  </si>
  <si>
    <t xml:space="preserve">   Sudske pristojbe</t>
  </si>
  <si>
    <t xml:space="preserve">   Županijske sudske pristojbe</t>
  </si>
  <si>
    <t xml:space="preserve">   Ostale proračunske naknade</t>
  </si>
  <si>
    <t xml:space="preserve">   Županijske naknade</t>
  </si>
  <si>
    <t xml:space="preserve">   Ostale županijske naknade</t>
  </si>
  <si>
    <t xml:space="preserve">   Naknade za korištenje šuma</t>
  </si>
  <si>
    <t xml:space="preserve">   Naknada za obavljeni tehn.pregl.vozila koja pripada županijama</t>
  </si>
  <si>
    <t xml:space="preserve">   Naknada za opće korisne funkcije šuma</t>
  </si>
  <si>
    <t xml:space="preserve">   Naknada za korištenje državnih šuma</t>
  </si>
  <si>
    <t xml:space="preserve">   Naknada za opće korisne funkc.šuma utvrđene žup.propisima</t>
  </si>
  <si>
    <t xml:space="preserve">   Naknada za obavljanje stručnih poslova u privatnim šumama 
   utvrđena županijskim propisima</t>
  </si>
  <si>
    <t xml:space="preserve">   Naknada za korištenje podataka premjera i katastra</t>
  </si>
  <si>
    <t xml:space="preserve">   Naknada za vršenje usluga iz oblasti premjera i katastra</t>
  </si>
  <si>
    <t xml:space="preserve">   Vodne naknade</t>
  </si>
  <si>
    <t xml:space="preserve">   Posebna vodna naknada za zaštitu od poplava</t>
  </si>
  <si>
    <t xml:space="preserve">   Opća vodna naknada</t>
  </si>
  <si>
    <t xml:space="preserve">   Cestovne naknade</t>
  </si>
  <si>
    <t xml:space="preserve">   Naknada za uporabu cesta za vozila pravnih osoba</t>
  </si>
  <si>
    <t xml:space="preserve">   Naknada za uporabu cesta za vozila građana</t>
  </si>
  <si>
    <t xml:space="preserve">   Naknada za korištenje cestovnog zemljišta</t>
  </si>
  <si>
    <t xml:space="preserve">   Zaostale obveze po osnovi naknada za korištenje šuma</t>
  </si>
  <si>
    <t xml:space="preserve">   Naknada za korištenje općekorisnih funkcija šuma</t>
  </si>
  <si>
    <t xml:space="preserve">   Naknada za zaštitu okoliša</t>
  </si>
  <si>
    <t xml:space="preserve">   Naknada zagađivača okoliša pravnih osoba</t>
  </si>
  <si>
    <t xml:space="preserve">   Prihodi od pružanja javnih usluga</t>
  </si>
  <si>
    <t xml:space="preserve">   Federalna naknada za izvršene veterinarsko-zdravstvene 
   preglede i kontrolu u zemlji</t>
  </si>
  <si>
    <t xml:space="preserve">   Posebna vodna naknada za zaštitu voda za transportna 
   sredstva koja za pogon koriste naftu ili naftne derivate</t>
  </si>
  <si>
    <t xml:space="preserve">   Posebna vodna naknada za zaštitu voda (ispuštanje otpadnih 
   voda, uzgoj ribe, upotrebu umj.đubriva i kemik.za zašt.bilja)</t>
  </si>
  <si>
    <t xml:space="preserve">   Posebna vodna naknada za korištenje površinskih i 
   podzemnih voda za javnu vodoopskrbu</t>
  </si>
  <si>
    <t xml:space="preserve">   Posebne naknade za okoliš koje plaćaju pravne osobe pri 
   svakoj registraciji motornih vozila</t>
  </si>
  <si>
    <t xml:space="preserve">   Posebne naknade za okoliš koje plaćaju fizičke osobe pri 
   svakoj registraciji motornih vozila</t>
  </si>
  <si>
    <t xml:space="preserve">   Posebne naknade za zaštitu od prirodnih i dr.nesreća</t>
  </si>
  <si>
    <t xml:space="preserve">   Naknada za vatrogasne jedinice iz premije osiguranja imovine 
   od požara i prirodnih sila</t>
  </si>
  <si>
    <t xml:space="preserve">   Naknada iz funkcionalne premije osiguranja od 
   autoodgovornosti za vatrogasne jedinice</t>
  </si>
  <si>
    <t xml:space="preserve">   Naknada za zajedničke profesionalne vatrogasne jedinice iz 
   premije osiguranja imovine od požara i prirodnih sila</t>
  </si>
  <si>
    <t xml:space="preserve">   Prihodi od pružanja usluga građanima</t>
  </si>
  <si>
    <t xml:space="preserve">   Prihodi od pružanja usluga pravnim osobama</t>
  </si>
  <si>
    <t xml:space="preserve">   Prihodi od pružanja usluga drugima</t>
  </si>
  <si>
    <t xml:space="preserve">   Prihodi od pružanja usluga drugim razinama vlasti</t>
  </si>
  <si>
    <t xml:space="preserve">   Vlastiti prihodi proračunskih korisnika</t>
  </si>
  <si>
    <t xml:space="preserve">   Neplanirane uplate - prihodi</t>
  </si>
  <si>
    <t xml:space="preserve">   Prihodi od trošk.naplate po osn.pokret.postupka prin.naplate</t>
  </si>
  <si>
    <t xml:space="preserve">   Ostale neplanirane uplate</t>
  </si>
  <si>
    <t xml:space="preserve">   Novčane kazne</t>
  </si>
  <si>
    <t xml:space="preserve">   Novčane kazne po županijskim propisima</t>
  </si>
  <si>
    <t xml:space="preserve">   Ostale kazne</t>
  </si>
  <si>
    <t xml:space="preserve">   Ostali prihodi</t>
  </si>
  <si>
    <t xml:space="preserve">   Novčane kazne za prekršaje koje su registrirane u registru 
   novčanih kazni i troškovi prekršajnog postupka</t>
  </si>
  <si>
    <t>3. Donacije</t>
  </si>
  <si>
    <t xml:space="preserve">   Donacije</t>
  </si>
  <si>
    <t xml:space="preserve">   Domaće donacije</t>
  </si>
  <si>
    <t xml:space="preserve">   Donacije iz inozemstva</t>
  </si>
  <si>
    <t>V  PRIHODI PO OSNOVI ZAOSTALIH OBVEZA</t>
  </si>
  <si>
    <t xml:space="preserve">   Uplate zaostalih obveza od por.na promet visokotar.proizvoda</t>
  </si>
  <si>
    <t xml:space="preserve">   Uplate zaost.obveza od nakn.Za puteve iz cijene naft.derivata</t>
  </si>
  <si>
    <t>VI KAPITALNI PRIMICI</t>
  </si>
  <si>
    <t xml:space="preserve">   Kapitalni primici od prodaje stalnih sredstava</t>
  </si>
  <si>
    <t>1.Kapitalni primici od prodaje stalnih sredstava</t>
  </si>
  <si>
    <t xml:space="preserve">   Porez na imovinu</t>
  </si>
  <si>
    <t xml:space="preserve">   Porezi na plaće (zaostale uplate poreza)</t>
  </si>
  <si>
    <t xml:space="preserve">2.Naknade i pristojbe i prihodi od pružanja javnih usluga </t>
  </si>
  <si>
    <t xml:space="preserve">   Naknade za korištenje, zaštitu i unapređenje šuma 
   utvrđene županijskim propisima</t>
  </si>
  <si>
    <t xml:space="preserve">   Naknade i pristojbe za veterinarske i sanitarne preglede 
   životinja i biljaka</t>
  </si>
  <si>
    <t xml:space="preserve">       9.1.  Izdaci za otplate dugova</t>
  </si>
  <si>
    <t xml:space="preserve">      99999999 Riznica ŽP - Proračunska potpora</t>
  </si>
  <si>
    <t>UKUPNO POREZNI I NEPOREZNI PRIHODI (I+II)</t>
  </si>
  <si>
    <t>UKUPNO PRIHODI (I+II+III+IV+V)</t>
  </si>
  <si>
    <t xml:space="preserve">   Naknade za korištenje poljopr.zemljišta u nepoljopr.svrhe</t>
  </si>
  <si>
    <t xml:space="preserve"> Grantovi za poljoprivredu</t>
  </si>
  <si>
    <t xml:space="preserve"> Grantovi za vodoprivredu</t>
  </si>
  <si>
    <t xml:space="preserve"> Grant za uređenje poljoprivrednog zemljišta</t>
  </si>
  <si>
    <t xml:space="preserve"> Transfer za sufinanciranje prijevoza učenika</t>
  </si>
  <si>
    <t>Proračunski
korisnik</t>
  </si>
  <si>
    <t>Bruto plaće
611100</t>
  </si>
  <si>
    <t>Nakn.trošk.zaposlenih
611200</t>
  </si>
  <si>
    <t xml:space="preserve">Tekući grantovi
614000 </t>
  </si>
  <si>
    <t>Kapitalni grantovi
615000</t>
  </si>
  <si>
    <t>Izdaci za kamate
616000</t>
  </si>
  <si>
    <t>Otplate dugova
823000</t>
  </si>
  <si>
    <t>UKUPNO</t>
  </si>
  <si>
    <t>NAZIV</t>
  </si>
  <si>
    <t>Dopr.posl.
612000</t>
  </si>
  <si>
    <t>Mat.trošk.
613000</t>
  </si>
  <si>
    <t>Nab.staln.
sredstava
821000</t>
  </si>
  <si>
    <t>UKUPNO:</t>
  </si>
  <si>
    <t>Tekuća pričuva</t>
  </si>
  <si>
    <t>Proračun</t>
  </si>
  <si>
    <t>Izvor financiranja</t>
  </si>
  <si>
    <t>3=4+5+6</t>
  </si>
  <si>
    <t>1. Primljeni tekući grantovi od inozemnih vlada i 
   međunarodnih organizacija</t>
  </si>
  <si>
    <t xml:space="preserve">   Primljeni tekući grantovi od inoz.vlada i međ.organizacija</t>
  </si>
  <si>
    <t xml:space="preserve">   Primljeni tekući grantovi od međunarodnih organizacija</t>
  </si>
  <si>
    <t>2. Primljeni tekući grantovi od ostalih razina vlasti</t>
  </si>
  <si>
    <t xml:space="preserve">   Primljeni tekući grantovi od ostalih razina vlasti i fondova</t>
  </si>
  <si>
    <t xml:space="preserve">   Primljeni tekući grantovi od ostalih razina vlasti</t>
  </si>
  <si>
    <t xml:space="preserve">   Primljeni tekući grantovi od FBiH</t>
  </si>
  <si>
    <t>IV KAPITALNI GRANTOVI</t>
  </si>
  <si>
    <t>1. Primljeni kapitalni grantovi od inozemnih vlada i 
   međunarodnih organizacija</t>
  </si>
  <si>
    <t xml:space="preserve">   Primljeni kapitalni grantovi od inozemnih vlada i 
   međunarodnih organizacija</t>
  </si>
  <si>
    <t xml:space="preserve">   Primljeni kapitalni grantovi od inozemnih vlada</t>
  </si>
  <si>
    <t>2. Kapitalni grantovi od ostalih razina vlasti</t>
  </si>
  <si>
    <t xml:space="preserve">   Kapitalni grantovi od ostalih razina vlasti i fondova</t>
  </si>
  <si>
    <t xml:space="preserve">   Primljeni kapitalni grantovi od Federacije</t>
  </si>
  <si>
    <t>UKUPNO PRIHODI, TEKUĆI I KAPITALNI GRANTOVI I PRIMICI:</t>
  </si>
  <si>
    <t>Rashodi i izdaci</t>
  </si>
  <si>
    <t>Pokriće deficita</t>
  </si>
  <si>
    <t>III TEKUĆI GRANTOVI (GRANTOVI I DONACIJE)</t>
  </si>
  <si>
    <t>Funk. kod</t>
  </si>
  <si>
    <t>Opis</t>
  </si>
  <si>
    <t>011</t>
  </si>
  <si>
    <t>012</t>
  </si>
  <si>
    <t>Strana ekonomska pomoć</t>
  </si>
  <si>
    <t>013</t>
  </si>
  <si>
    <t>Opće usluge</t>
  </si>
  <si>
    <t>014</t>
  </si>
  <si>
    <t>Osnovno istraživanje</t>
  </si>
  <si>
    <t>015</t>
  </si>
  <si>
    <t>IiR Opće javne usluge</t>
  </si>
  <si>
    <t>016</t>
  </si>
  <si>
    <t>Opće javne usluge n. k.</t>
  </si>
  <si>
    <t>017</t>
  </si>
  <si>
    <t xml:space="preserve">Transakcije vezane za javni dug </t>
  </si>
  <si>
    <t>018</t>
  </si>
  <si>
    <t>021</t>
  </si>
  <si>
    <t>022</t>
  </si>
  <si>
    <t>023</t>
  </si>
  <si>
    <t>024</t>
  </si>
  <si>
    <t>025</t>
  </si>
  <si>
    <t>031</t>
  </si>
  <si>
    <t>Policijske usluge</t>
  </si>
  <si>
    <t>032</t>
  </si>
  <si>
    <t>033</t>
  </si>
  <si>
    <t>Sudovi</t>
  </si>
  <si>
    <t>034</t>
  </si>
  <si>
    <t>Zatvori</t>
  </si>
  <si>
    <t>035</t>
  </si>
  <si>
    <t>IiR  Javni red i sigurnost</t>
  </si>
  <si>
    <t>036</t>
  </si>
  <si>
    <t>Javni red i sigurnost n. k.</t>
  </si>
  <si>
    <t>04</t>
  </si>
  <si>
    <t>Ekonomski poslovi    (25+….+33)</t>
  </si>
  <si>
    <t>041</t>
  </si>
  <si>
    <t>Opći ekonomski, komercijalni i poslovi po pitanju rada</t>
  </si>
  <si>
    <t>042</t>
  </si>
  <si>
    <t>Poljoprivreda, šumarstvo, lov i ribolov</t>
  </si>
  <si>
    <t>043</t>
  </si>
  <si>
    <t>Gorivo i energija</t>
  </si>
  <si>
    <t>044</t>
  </si>
  <si>
    <t xml:space="preserve">Rudarstvo, proizvodnja i izgradnja </t>
  </si>
  <si>
    <t>045</t>
  </si>
  <si>
    <t>046</t>
  </si>
  <si>
    <t>Komunikacije</t>
  </si>
  <si>
    <t>047</t>
  </si>
  <si>
    <t>Ostale industrije</t>
  </si>
  <si>
    <t>048</t>
  </si>
  <si>
    <t>IiR Ekonomski poslovi</t>
  </si>
  <si>
    <t>049</t>
  </si>
  <si>
    <t>Ekonomski poslovi n. k.</t>
  </si>
  <si>
    <t>Zaštita životne sredine      (35+…..+40)</t>
  </si>
  <si>
    <t>051</t>
  </si>
  <si>
    <t xml:space="preserve">Upravljanje otpadom </t>
  </si>
  <si>
    <t>052</t>
  </si>
  <si>
    <t>Upravljanje otpadnim vodama</t>
  </si>
  <si>
    <t>053</t>
  </si>
  <si>
    <t>Smanjenje zagađenosti</t>
  </si>
  <si>
    <t>054</t>
  </si>
  <si>
    <t>055</t>
  </si>
  <si>
    <t>056</t>
  </si>
  <si>
    <t>Zaštita životne sredine n. k.</t>
  </si>
  <si>
    <t>Stambeni i zajednički poslovi    (42+….+47)</t>
  </si>
  <si>
    <t>061</t>
  </si>
  <si>
    <t>Stambeni razvoj</t>
  </si>
  <si>
    <t>062</t>
  </si>
  <si>
    <t>Razvoj zajednice</t>
  </si>
  <si>
    <t>063</t>
  </si>
  <si>
    <t>064</t>
  </si>
  <si>
    <t>Ulična rasvjeta</t>
  </si>
  <si>
    <t>065</t>
  </si>
  <si>
    <t>IiR Stambeni i zajednički poslovi</t>
  </si>
  <si>
    <t>066</t>
  </si>
  <si>
    <t>Stambeni i zajednički poslovi n. k.</t>
  </si>
  <si>
    <t>07</t>
  </si>
  <si>
    <t>Zdravstvo    (49+….+54)</t>
  </si>
  <si>
    <t>071</t>
  </si>
  <si>
    <t>Medicinski proizvodi, uređaji i oprema</t>
  </si>
  <si>
    <t>072</t>
  </si>
  <si>
    <t xml:space="preserve"> Nabavka stalnih sredstava u obliku prava</t>
  </si>
  <si>
    <t xml:space="preserve">   Porez na ukupan prihod fizičkih osoba</t>
  </si>
  <si>
    <t xml:space="preserve">   Porez na promet proizvoda (niža stopa)</t>
  </si>
  <si>
    <t xml:space="preserve">   Posebna vodna naknada za vađenje materijala iz vodotoka</t>
  </si>
  <si>
    <t xml:space="preserve">   Ostali povrati</t>
  </si>
  <si>
    <t xml:space="preserve">       5.1.  Izdaci za nabavku stalnih sredstava</t>
  </si>
  <si>
    <t xml:space="preserve">   Naknada za postavljanje reklamnih panoa</t>
  </si>
  <si>
    <t xml:space="preserve">   Prihodi od mjenice</t>
  </si>
  <si>
    <t xml:space="preserve"> Naknade troškova zaposlenih - volonteri ()</t>
  </si>
  <si>
    <t xml:space="preserve"> Ugovorene i druge posebne usluge-volonteri ()</t>
  </si>
  <si>
    <t xml:space="preserve">   Primici od prodaje zemljišta</t>
  </si>
  <si>
    <t xml:space="preserve">   Primici od prodaje prometnih vozila</t>
  </si>
  <si>
    <t xml:space="preserve"> Potpora riznici</t>
  </si>
  <si>
    <t>Namjenski prihodi</t>
  </si>
  <si>
    <t>Grantovi i donacije</t>
  </si>
  <si>
    <t xml:space="preserve">   Primljeni tekući grantovi od inozemnih vlada</t>
  </si>
  <si>
    <t xml:space="preserve">   Primljeni kapitalni grantovi od Države</t>
  </si>
  <si>
    <t>URED ZA RAZVOJ I EUROPSKE INTEGRACIJE ŽUPANIJE POSAVSKE</t>
  </si>
  <si>
    <t>29 (29)</t>
  </si>
  <si>
    <t xml:space="preserve"> Ugovorene i druge posebne usluge-prostorni plan</t>
  </si>
  <si>
    <t xml:space="preserve"> o/č Izdaci za tekuće održavanje</t>
  </si>
  <si>
    <t xml:space="preserve"> o/č Tekuće održavanje cesta</t>
  </si>
  <si>
    <t xml:space="preserve"> o/č Izdaci osiguranja, bank. usluga i usluga p.p.</t>
  </si>
  <si>
    <t xml:space="preserve"> o/č Izdaci za negativne tečajne razlike</t>
  </si>
  <si>
    <t xml:space="preserve"> o/č Ugovorene i druge posebne usluge</t>
  </si>
  <si>
    <t xml:space="preserve"> o/č Agencija za državnu službu</t>
  </si>
  <si>
    <t xml:space="preserve"> o/č Potpora riznici</t>
  </si>
  <si>
    <t xml:space="preserve"> o/č Vozački ispiti-vlastiti prihodi</t>
  </si>
  <si>
    <t xml:space="preserve"> o/č Ugovorene i druge posebne usluge-prostorni plan</t>
  </si>
  <si>
    <t xml:space="preserve"> o/č Grant za Sveučilište u Mostaru</t>
  </si>
  <si>
    <t xml:space="preserve"> o/č Grantovi nižim razinama vlasti</t>
  </si>
  <si>
    <t xml:space="preserve"> o/č Transfer za zdravstvene institucije i centre za soc.rad</t>
  </si>
  <si>
    <t xml:space="preserve"> o/č Grant za zaštitu okoliša</t>
  </si>
  <si>
    <t xml:space="preserve"> o/č Grant za razvoj turizma</t>
  </si>
  <si>
    <t xml:space="preserve"> o/č Grantovi za šumarstvo</t>
  </si>
  <si>
    <t xml:space="preserve"> o/č Grantovi za financiranje višeg i visokog obrazovanja i 
       Zavoda za školstvo</t>
  </si>
  <si>
    <t xml:space="preserve"> o/č Transfer za sufinanciranje prijevoza učenika</t>
  </si>
  <si>
    <t xml:space="preserve"> o/č Grant za sufinanciranje nabavke udžbenika učenicima </t>
  </si>
  <si>
    <t xml:space="preserve"> o/č Grantovi za povratak raseljenih osoba</t>
  </si>
  <si>
    <t xml:space="preserve"> o/č Isplate stipendija</t>
  </si>
  <si>
    <t xml:space="preserve"> o/č Grant za sufinanciranje osn.i srednjeg obrazovanja djece s 
       posebnim potrebama</t>
  </si>
  <si>
    <t xml:space="preserve"> o/č Grantovi za branitelje i stradalnike dom. rata</t>
  </si>
  <si>
    <t xml:space="preserve"> o/č Grant za zaštitu od prirodnih i drugih nesreća</t>
  </si>
  <si>
    <t xml:space="preserve"> o/č Grantovi političkim strankama</t>
  </si>
  <si>
    <t xml:space="preserve"> o/č Grantovi neprofitnim organizacijama i udrugama građana</t>
  </si>
  <si>
    <t xml:space="preserve"> o/č Grant za Crveni križ Županije Posavske</t>
  </si>
  <si>
    <t xml:space="preserve"> o/č Grant za Kuću nade Odžak</t>
  </si>
  <si>
    <t xml:space="preserve"> o/č Grant za Udrugu roditelja djece s posebnim potrebama 
      Angelus Domaljevac</t>
  </si>
  <si>
    <t xml:space="preserve"> o/č Grant za Gospodarsku komoru ŽP</t>
  </si>
  <si>
    <t xml:space="preserve"> o/č Grantovi za informiranje</t>
  </si>
  <si>
    <t xml:space="preserve"> o/č Grantovi za financiranje vjerskih zajednica</t>
  </si>
  <si>
    <t xml:space="preserve"> o/č Grantovi za poljoprivredu</t>
  </si>
  <si>
    <t xml:space="preserve"> o/č Grantovi za vodoprivredu</t>
  </si>
  <si>
    <t xml:space="preserve"> o/č Grant za uređenje poljoprivrednog zemljišta</t>
  </si>
  <si>
    <t xml:space="preserve"> o/č Ostali grantovi-povrat i drugo</t>
  </si>
  <si>
    <t xml:space="preserve"> o/č Ostali grantovi-izvršenje sudskih presuda i rješenja o 
      izvršenju</t>
  </si>
  <si>
    <t xml:space="preserve"> Tekući grantovi drugim razinama vlasti i fondovima</t>
  </si>
  <si>
    <t xml:space="preserve"> Tekući grantovi pojedincima</t>
  </si>
  <si>
    <t xml:space="preserve"> Tekući grantovi neprofitnim organizacijama</t>
  </si>
  <si>
    <t xml:space="preserve"> Subvencije privatnim poduzećima i poduzetnicima</t>
  </si>
  <si>
    <t xml:space="preserve"> Drugi tekući rashodi</t>
  </si>
  <si>
    <t>Ekon. 
kod</t>
  </si>
  <si>
    <t xml:space="preserve"> Ostali grantovi-izvršenje sudskih presuda i rješenja
 o izvršenju</t>
  </si>
  <si>
    <t>28 (28)</t>
  </si>
  <si>
    <t>Otplate domaćeg pozajmljivanja-Austrija</t>
  </si>
  <si>
    <t>Otplate domaćeg pozajmljivanja-Koreja</t>
  </si>
  <si>
    <t xml:space="preserve"> Otplate domaćeg pozajmljivanja - Austrija</t>
  </si>
  <si>
    <t xml:space="preserve"> Otplate domaćeg pozajmljivanja - Koreja</t>
  </si>
  <si>
    <t xml:space="preserve">   Grantovi od izvanproračunskih fondova</t>
  </si>
  <si>
    <t xml:space="preserve"> o/č Grant za sufinanciranje profesionalne vatrogasne postrojbe</t>
  </si>
  <si>
    <t>Ured za razvoj i europske integracije Županije Posavske</t>
  </si>
  <si>
    <t xml:space="preserve"> Ugovorene i druge posebne usluge-volonteri (1) (0)</t>
  </si>
  <si>
    <t xml:space="preserve"> Ugovorene i druge posebne usluge-volonteri (2) (0)</t>
  </si>
  <si>
    <t>Javni red i sihurnost       (18+….+23)</t>
  </si>
  <si>
    <t xml:space="preserve">Usluge protupožarne zaštite </t>
  </si>
  <si>
    <t xml:space="preserve">   Prihodi od zakupa javnog vodnog dobra na površ.vodama I kateg.</t>
  </si>
  <si>
    <t xml:space="preserve">   Ostali prih.za korišt., zaštitu i unapređ.šuma po žup.propisima</t>
  </si>
  <si>
    <t>INDEKS
6/4</t>
  </si>
  <si>
    <t>INDEKS
(4/3)</t>
  </si>
  <si>
    <t xml:space="preserve">   Posebna naknada za zaštitu od prir.i drugih nesreća gdje 
   je osnovica sumarni iznos neto prim.po osnovi dr.samostalne 
   djelatnosti i povremenog samostalnog rada</t>
  </si>
  <si>
    <t xml:space="preserve">   Posebna vodna naknada za korištenje površ..i podzemnih 
   voda za industrijske procese, uključujući i termoelektrane</t>
  </si>
  <si>
    <t xml:space="preserve">   Poseb.vodna naknada za korištenje površ.i podzem.voda za
   flaš.vode i min.vode za uzgoj ribe u ribnj.za navod.i dr.namj.</t>
  </si>
  <si>
    <t xml:space="preserve">   Posebna naknada za zaštitu od prirodnih i drugih nesreća 
   gdje je osnovica sumarni iznos neto plaće za isplatu</t>
  </si>
  <si>
    <t xml:space="preserve">   Posebna vodna naknada za korištenje vode za proizvodnju 
   električne energije</t>
  </si>
  <si>
    <t xml:space="preserve">   Naknade i pristojbe po Fed.zakonima i dr.propisima</t>
  </si>
  <si>
    <t xml:space="preserve"> Grant za Obrtničku komoru ŽP</t>
  </si>
  <si>
    <t xml:space="preserve"> o/č Grant za Obrtničku komoru ŽP</t>
  </si>
  <si>
    <t xml:space="preserve"> Grant za sufinanc.nabavke udžbenika učenicima</t>
  </si>
  <si>
    <t xml:space="preserve"> o/č Grant za Udrugu osoba s posebnim potrebama Put u  
      život Orašje</t>
  </si>
  <si>
    <t xml:space="preserve">   Grant od Federalnog zavoda za zapošljavanje - osnovne škole</t>
  </si>
  <si>
    <t xml:space="preserve"> Grant za razvoj poduzetništva, obrta i zadruga</t>
  </si>
  <si>
    <t xml:space="preserve"> o/č Grant za razvoj poduzetništva, obrta i zadruga</t>
  </si>
  <si>
    <t xml:space="preserve">   Porez na temelju autorskih prava, patenata i tehn.unapređenja</t>
  </si>
  <si>
    <t xml:space="preserve">   Prihodi od neizravnih poreza na ime financ.autocesta u FBiH</t>
  </si>
  <si>
    <t xml:space="preserve">   Prihodi od zakupa korištenja sportsko-gospodarskih lovišta</t>
  </si>
  <si>
    <t xml:space="preserve">   Federalna naknada za uvjerenje o veterin.-zdravstvenom 
   stanju životinja iz uvoza</t>
  </si>
  <si>
    <t xml:space="preserve">   Povrati naknada troškova zaposlenih</t>
  </si>
  <si>
    <t xml:space="preserve">   Kapitalni grantovi od nevladinih izvora</t>
  </si>
  <si>
    <t xml:space="preserve">   Kapitalni grantovi od poduzeća</t>
  </si>
  <si>
    <t xml:space="preserve">   Primljeni tekući grantovi od gradova</t>
  </si>
  <si>
    <t>Subanalitika</t>
  </si>
  <si>
    <t>BA6017</t>
  </si>
  <si>
    <t>BA6006</t>
  </si>
  <si>
    <t>BA6014</t>
  </si>
  <si>
    <t>BA6016</t>
  </si>
  <si>
    <t>BA6001</t>
  </si>
  <si>
    <t>BA6008</t>
  </si>
  <si>
    <t>BA6009</t>
  </si>
  <si>
    <t>BA6013</t>
  </si>
  <si>
    <t>BA6015</t>
  </si>
  <si>
    <t>BA6007</t>
  </si>
  <si>
    <t>BA6018</t>
  </si>
  <si>
    <t>BA6010</t>
  </si>
  <si>
    <t>FA6002</t>
  </si>
  <si>
    <t>FA6001</t>
  </si>
  <si>
    <t>GA6003</t>
  </si>
  <si>
    <t>GA6002</t>
  </si>
  <si>
    <t>GA6005</t>
  </si>
  <si>
    <t>GA6006</t>
  </si>
  <si>
    <t>GA6008</t>
  </si>
  <si>
    <t>GA6009</t>
  </si>
  <si>
    <t>HA6001</t>
  </si>
  <si>
    <t>IA6004</t>
  </si>
  <si>
    <t>IA6002</t>
  </si>
  <si>
    <t>IA6003</t>
  </si>
  <si>
    <t>JA6004</t>
  </si>
  <si>
    <t>JA6008</t>
  </si>
  <si>
    <t>JA6005</t>
  </si>
  <si>
    <t>JA6007</t>
  </si>
  <si>
    <t>KA6007</t>
  </si>
  <si>
    <t>KA6004</t>
  </si>
  <si>
    <t xml:space="preserve"> Grantovi za kulturu</t>
  </si>
  <si>
    <t>KA6009</t>
  </si>
  <si>
    <t>KA6003</t>
  </si>
  <si>
    <t>KA6008</t>
  </si>
  <si>
    <t>KA6001</t>
  </si>
  <si>
    <t>KA6006</t>
  </si>
  <si>
    <t>LA6001</t>
  </si>
  <si>
    <t>NA6002</t>
  </si>
  <si>
    <t>NA6003</t>
  </si>
  <si>
    <t xml:space="preserve"> Grantovi za zdravstvene potrebe</t>
  </si>
  <si>
    <t xml:space="preserve"> Grantovi za socijalne potrebe</t>
  </si>
  <si>
    <t xml:space="preserve"> o/č Grantovi za zdravstvene potrebe</t>
  </si>
  <si>
    <t xml:space="preserve"> o/č Grantovi za socijalne potrebe</t>
  </si>
  <si>
    <t xml:space="preserve"> o/č Grantovi za kulturu</t>
  </si>
  <si>
    <t>iz prorač.
sredstava</t>
  </si>
  <si>
    <t>iz ostalih izvora</t>
  </si>
  <si>
    <t>8=6+7</t>
  </si>
  <si>
    <t>INDEKS 
8/4</t>
  </si>
  <si>
    <t xml:space="preserve"> Grantovi neprofitnim organizacijama i udrugama građana</t>
  </si>
  <si>
    <t>822, 823</t>
  </si>
  <si>
    <t>813, 814, 815</t>
  </si>
  <si>
    <t>Ekonomski 
kod</t>
  </si>
  <si>
    <t xml:space="preserve">     1.1.  Prihodi od poreza</t>
  </si>
  <si>
    <t xml:space="preserve">     1.2.  Neporezni prihodi</t>
  </si>
  <si>
    <t xml:space="preserve">     1.3.  Tekući grantovi (grantovi i donacije)</t>
  </si>
  <si>
    <t xml:space="preserve">     1.4.  Kapitalni grantovi</t>
  </si>
  <si>
    <t xml:space="preserve">     1.5.  Prihodi po osnovi zaostalih obveza</t>
  </si>
  <si>
    <t xml:space="preserve">     2.1.  Rashodi - Tekuća pričuva</t>
  </si>
  <si>
    <t xml:space="preserve">     2.2.  Plaće i naknade troškova zaposlenih</t>
  </si>
  <si>
    <t xml:space="preserve">     2.3.  Doprinosi poslodavca i ostali doprinosi</t>
  </si>
  <si>
    <t xml:space="preserve">     2.4.  Izdaci za materijal, sitan inventar i usluge</t>
  </si>
  <si>
    <t xml:space="preserve">     2.5.  Tekući grantovi i drugi tekući rashodi</t>
  </si>
  <si>
    <t xml:space="preserve">     2.6.  Kapitalni grantovi</t>
  </si>
  <si>
    <t xml:space="preserve">     2.7.  Izdaci za kamate</t>
  </si>
  <si>
    <t xml:space="preserve">   1. PRORAČUNSKI PRIHODI (1.1.+1.2.+1.3.+1.4.+1.5.)</t>
  </si>
  <si>
    <t xml:space="preserve">   2. PRORAČUNSKI RASHODI (2.1.+2.2.)</t>
  </si>
  <si>
    <t xml:space="preserve">   3. TEKUĆA BILANCA (1-2)</t>
  </si>
  <si>
    <t xml:space="preserve">   4. PRIMICI OD PRODAJE NEFINANCIJSKE IMOVINE</t>
  </si>
  <si>
    <t xml:space="preserve">   5. IZDACI ZA NABAVKU NEFINANCIJSKE IMOVINE</t>
  </si>
  <si>
    <t xml:space="preserve">   6. NETO NABAVKA NEFINANCIJSKE IMOVINE (4-5)</t>
  </si>
  <si>
    <t xml:space="preserve">   7. UKUPAN SUFICIT/DEFICIT (3+6)</t>
  </si>
  <si>
    <t xml:space="preserve">   8. PRIMICI OD FINANCIJSKE IMOVINE I ZADUŽIVANJA</t>
  </si>
  <si>
    <t xml:space="preserve">   9. IZDACI ZA NABAVKU FINANCIJSKE IMOVINE I     OTPLATE DUGOVA</t>
  </si>
  <si>
    <t xml:space="preserve">   10. NETO FINANCIRANJE (8-9)</t>
  </si>
  <si>
    <t xml:space="preserve">   11. UKUPAN FINANCIJSKI REZULTAT (7+10)</t>
  </si>
  <si>
    <t xml:space="preserve">   UKUPNO PRIHODI, PRIMICI I FINANCIRANJE</t>
  </si>
  <si>
    <t xml:space="preserve">   UKUPNO RASHODI I IZDACI</t>
  </si>
  <si>
    <t xml:space="preserve">   UKUPNO POKRIĆE AKUMULIRANOG DEFICITA</t>
  </si>
  <si>
    <t>6.</t>
  </si>
  <si>
    <t>Bosnia and Herzegovina
Federation of Bosnia and Herzegovina
Posavina County
THE ASSEMBLY</t>
  </si>
  <si>
    <t>Bosna i Hercegovina
Federacija Bosne i 
Hercegovine
Županija Posavska
S K U P Š T I N A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</si>
  <si>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</si>
  <si>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</si>
  <si>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</si>
  <si>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</si>
  <si>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</si>
  <si>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</si>
  <si>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</si>
  <si>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</si>
  <si>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</si>
  <si>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</si>
  <si>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</si>
  <si>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</si>
  <si>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</si>
  <si>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</si>
  <si>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</si>
  <si>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</si>
  <si>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</si>
  <si>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</si>
  <si>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</si>
  <si>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</si>
  <si>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</si>
  <si>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</si>
  <si>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</si>
  <si>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</si>
  <si>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</si>
  <si>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</si>
  <si>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</si>
  <si>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</si>
  <si>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</si>
  <si>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</si>
  <si>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</si>
  <si>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</si>
  <si>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</si>
  <si>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</si>
  <si>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</si>
  <si>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</si>
  <si>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</si>
  <si>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</si>
  <si>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 xml:space="preserve"> Grant za sufinanciranje osn.i srednjeg obrazovanja djece s 
 posebnim potrebama</t>
  </si>
  <si>
    <t xml:space="preserve"> Grant za sufinanc.profesionalne vatrogasne postrojbe</t>
  </si>
  <si>
    <t xml:space="preserve">      20030002 Osnovna škola V.Nazora Odžak - Federalno ministarstvo 
      obrazovanja i nauke</t>
  </si>
  <si>
    <t xml:space="preserve">      20030004 Osnovna škola fra I.Starčevića Tolisa - Federalno ministarstvo 
      obrazovanja i nauke</t>
  </si>
  <si>
    <t xml:space="preserve">      23010001 Uprava za civilnu zaštitu</t>
  </si>
  <si>
    <t xml:space="preserve">      99999999 Riznica</t>
  </si>
  <si>
    <t xml:space="preserve"> Transfer za zdravstvene institucije i centre za soc.rad</t>
  </si>
  <si>
    <t xml:space="preserve"> Grant za Udr.rod.djece s pos.potr.Angelus Domaljevac</t>
  </si>
  <si>
    <t xml:space="preserve"> Grant za Udr.osoba s pos.potrebama Put u život Orašje</t>
  </si>
  <si>
    <t xml:space="preserve">   Prihodi od iznajmljivanja zemljišta</t>
  </si>
  <si>
    <t>KA6010</t>
  </si>
  <si>
    <t>KA6011</t>
  </si>
  <si>
    <t>HA6003</t>
  </si>
  <si>
    <t>HA6004</t>
  </si>
  <si>
    <t>55 (55)</t>
  </si>
  <si>
    <r>
      <t xml:space="preserve">      20020004 Sred.struk.škola Orašje-Ured za Hrvate izvan RH </t>
    </r>
    <r>
      <rPr>
        <b/>
        <sz val="10"/>
        <color indexed="8"/>
        <rFont val="Calibri"/>
        <family val="2"/>
        <charset val="238"/>
      </rPr>
      <t>(razgr.)</t>
    </r>
  </si>
  <si>
    <r>
      <t xml:space="preserve">      27010001 Kant.tužiteljstvo - IPA </t>
    </r>
    <r>
      <rPr>
        <b/>
        <sz val="10"/>
        <color indexed="8"/>
        <rFont val="Calibri"/>
        <family val="2"/>
        <charset val="238"/>
      </rPr>
      <t>(razgr.)</t>
    </r>
  </si>
  <si>
    <t>Izdaci za nabavku stalnih sredstava za 2020.g.(po pror.korisn.i izv.financiranja)</t>
  </si>
  <si>
    <t xml:space="preserve"> Županije Posavske za 2020. godinu</t>
  </si>
  <si>
    <t>PRORAČUN za 
2020.godinu</t>
  </si>
  <si>
    <t>PRORAČUN 
za 2020.</t>
  </si>
  <si>
    <t>PRORAČUN za 2020.</t>
  </si>
  <si>
    <t>IZDACI ZA NABAVKU STALNIH SREDSTAVA ŽUPANIJE POSAVSKE ZA 2020. GODINU (po proračunskim korisnicima i izvorima financiranja)</t>
  </si>
  <si>
    <t>Usluge sporta i rekreacije</t>
  </si>
  <si>
    <t xml:space="preserve"> o/č Grantovi za sport</t>
  </si>
  <si>
    <t xml:space="preserve"> Grantovi za sport</t>
  </si>
  <si>
    <t xml:space="preserve">   Naknada zagađivača okoliša fizičkih osoba</t>
  </si>
  <si>
    <t xml:space="preserve">   Prihodi od prodanih pristojbenih biljega</t>
  </si>
  <si>
    <t xml:space="preserve">   Kamate primljene od pozajmica Državi</t>
  </si>
  <si>
    <t xml:space="preserve">      17010001 Ministarstvo zdravstva i socijalne politike - 
      Civilne žrtve rata</t>
  </si>
  <si>
    <t xml:space="preserve">   11010001 Vlada ŽP - Brčko Distrikt</t>
  </si>
  <si>
    <t xml:space="preserve">      20010001 Ministarstvo prosvjete, znanosti, kulture i sporta - Ured za 
      Hrvate izvan RH</t>
  </si>
  <si>
    <t xml:space="preserve">      19010001 Ministarstvo poljoprivrede, vodoprivrede i šumarstva - Feder. 
      Ministarstvo prostornog uređenja - Ljetni nasip Kopanice</t>
  </si>
  <si>
    <t xml:space="preserve">      20010001 Ministarstvo prosvjete, znanosti, kulture i sporta - Federalno
      ministarstvo obrazovanja i nauke</t>
  </si>
  <si>
    <t xml:space="preserve">      20020004 Srednja strukovna škola Orašje - Federalno 
      ministarstvo obrazovanja i nauke</t>
  </si>
  <si>
    <t xml:space="preserve">   Kapitalni grantovi od županija</t>
  </si>
  <si>
    <t xml:space="preserve">      20020004 Srednja strukovna škola Orašje - Min.poljoprivrede, 
      vodoprivrede i šumarstva ŽP</t>
  </si>
  <si>
    <t xml:space="preserve">      20020002 Srednja škola P.Zečevića Odžak-Strolit,Peplast i ST Company</t>
  </si>
  <si>
    <t xml:space="preserve">      20030006 Osnovna škola A.G.Matoša Vidovice- BH Telecom d.d.</t>
  </si>
  <si>
    <t xml:space="preserve">      20030007 Osnovna škola Braće Radića Domaljevac - BH Telecom d.d.</t>
  </si>
  <si>
    <t xml:space="preserve">      20030006 Osnovna škola A.G.Matoša Vidovice</t>
  </si>
  <si>
    <t xml:space="preserve">     15010001 Min.gospod.,radai prost.uređenja-Prostorni plan</t>
  </si>
  <si>
    <t xml:space="preserve">      20010001 Ministarstvo prosvjete, znanosti, kulture i sporta - 
      Nabavka besplatnih udžbenika</t>
  </si>
  <si>
    <t xml:space="preserve">   Grant od Federalnog zavoda za zapošljavanje-Min.pravosuđa i uprave</t>
  </si>
  <si>
    <t>50 (56)</t>
  </si>
  <si>
    <t>54 (55)</t>
  </si>
  <si>
    <t>41 (47)</t>
  </si>
  <si>
    <t>107 (113)</t>
  </si>
  <si>
    <t>39 (39)</t>
  </si>
  <si>
    <t>19 (19)</t>
  </si>
  <si>
    <t>KA6012</t>
  </si>
  <si>
    <t>KA6013</t>
  </si>
  <si>
    <t xml:space="preserve"> Grantovi za branitelje i stradalnike Domovinskog rata</t>
  </si>
  <si>
    <t>FA6003</t>
  </si>
  <si>
    <t>FA6004</t>
  </si>
  <si>
    <t>615500</t>
  </si>
  <si>
    <t xml:space="preserve"> Rekonstrukcija i investicijsko održavanje regionalnih cesta</t>
  </si>
  <si>
    <t xml:space="preserve"> Rekonstrukcija i investicijsko održavanje lokalnih cesta</t>
  </si>
  <si>
    <t>IA6005</t>
  </si>
  <si>
    <t>IA6006</t>
  </si>
  <si>
    <t>BA6020</t>
  </si>
  <si>
    <t>URED ZA OBNOVU, STAMBENO ZBRINJAVANJE I RASELJENE OSOBE VLADE ŽUPANIJE POSAVSKE</t>
  </si>
  <si>
    <t>Ured za obnovu, stambeno zbrinjavanje i raseljene osobe Vlade ŽP</t>
  </si>
  <si>
    <t>Zajednička služba Vlade Županije Posavske</t>
  </si>
  <si>
    <t>ZAJEDNIČKA SLUŽBA VLADE ŽUPANIJE POSAVSKE</t>
  </si>
  <si>
    <t>Služba za odnose s javnošću Vlade Županije Posavske</t>
  </si>
  <si>
    <t>SLUŽBA ZA ODNOSE S JAVNOŠĆU VLADE ŽUPANIJE POSAVSKE</t>
  </si>
  <si>
    <t>Ured za zakonodavstvo Vlade Županije Posavske</t>
  </si>
  <si>
    <t>URED ZA ZAKONODAVSTVO VLADE ŽUPANIJE POSAVSKE</t>
  </si>
  <si>
    <t>Ministarstvo pravosuđa i uprave Županije Posavske</t>
  </si>
  <si>
    <t>Ministarstvo gospodarstva, rada i prostornog uređenja Županije Posavske</t>
  </si>
  <si>
    <t>Ministarstvo financija Županije Posavske</t>
  </si>
  <si>
    <t>Ministarstvo zdravstva i socijalne politike Županije Posavske</t>
  </si>
  <si>
    <t>Ministarstvo prometa, veza i zaštite okoliša Županije Posavske</t>
  </si>
  <si>
    <t>Ministarstvo poljoprivrede, vodoprivrede i šumarstva Županije Posavske</t>
  </si>
  <si>
    <t>Ministarstvo prosvjete, znanosti, kulture i sporta Županije Posavske</t>
  </si>
  <si>
    <t>Ministarstvo branitelja Županije Posavske</t>
  </si>
  <si>
    <t>MINISTARSTVO PRAVOSUĐA I UPRAVE ŽUPANIJE POSAVSKE</t>
  </si>
  <si>
    <t>MINISTARSTVO PRAVOSUĐA I UPRAVE ŽUPANIJE POSAVSKE - OPĆINSKO PRAVOBRANITELJSTVO ORAŠJE</t>
  </si>
  <si>
    <t>MINISTARSTVO PRAVOSUĐA I UPRAVE ŽUPANIJE POSAVSKE - OPĆINSKO PRAVOBRANITELJSTVO ODŽAK</t>
  </si>
  <si>
    <t>MINISTARSTVO GOSPODARSTVA, RADA I PROSTORNOG UREĐENJA ŽUPANIJE POSAVSKE</t>
  </si>
  <si>
    <t>MINISTARSTVO FINANCIJA ŽUPANIJE POSAVSKE</t>
  </si>
  <si>
    <t>MINISTARSTVO ZDRAVSTVA I SOCIJALNE POLITIKE ŽUPANIJE POSAVSKE</t>
  </si>
  <si>
    <t>MINISTARSTVO PROMETA, VEZA  I ZAŠTITE OKOLIŠA ŽUPANIJE POSAVSKE</t>
  </si>
  <si>
    <t>MINISTARSTVO POLJOPRIVREDE, VODOPRIVREDE I ŠUMARSTVA ŽUPANIJE POSAVSKE</t>
  </si>
  <si>
    <t>MINISTARSTVO PROSVJETE, ZNANOSTI, KULTURE I SPORTA ŽUPANIJE POSAVSKE</t>
  </si>
  <si>
    <t>MINISTARSTVO BRANITELJA ŽUPANIJE POSAVSKE</t>
  </si>
  <si>
    <t>ŽUPANIJSKA UPRAVA CIVILNE ZAŠTITE</t>
  </si>
  <si>
    <t>Županijska uprava civilne zaštite</t>
  </si>
  <si>
    <t>Ured za obnovu, stambeno zbrinjavanje i raseljene osobe Vlade Županije Posavske</t>
  </si>
  <si>
    <t>Agencija za privatizaciju u Županiji Posavskoj</t>
  </si>
  <si>
    <t>Ministarstvo pravosuđa i uprave ŽP - Općinsko pravobraniteljstvo Odžak</t>
  </si>
  <si>
    <t>Ministarstvo pravosuđa i uprave ŽP - Općinsko pravobraniteljstvo Orašje</t>
  </si>
  <si>
    <t>Ministarstvo pravosuđa i uprave Županije Posavske - Općinsko pravobraniteljstvo Orašje</t>
  </si>
  <si>
    <t>Ministarstvo pravosuđa i uprave Županije Posavske - Općinsko pravobraniteljstvo Odžak</t>
  </si>
  <si>
    <t>Ministarstvo pravosuđa i uprave Županije Posavske - Županijski Zavod za pružanje pravne pomoći</t>
  </si>
  <si>
    <t>Kantonalno tužiteljstvo Posavskog kantona Orašje</t>
  </si>
  <si>
    <t>Ministarstvo pravosuđa i uprave Županije Posavske - Općinski sud u Orašju</t>
  </si>
  <si>
    <t xml:space="preserve"> MINISTARSTVO PRAVOSUĐA I UPRAVE ŽUPANIJE POSAVSKE - OPĆINSKI SUD U ORAŠJU</t>
  </si>
  <si>
    <t>MINISTARSTVO PRAVOSUĐA I UPRAVE ŽUPANIJE POSAVSKE - ŽUPANIJSKI ZAVOD ZA PRUŽANJE PRAVNE POMOĆI</t>
  </si>
  <si>
    <t>MINISTARSTVO PROSVJETE, ZNANOSTI, KULTURE I SPORTA ŽUPANIJE POSAVSKE - OSNOVNA ŠKOLA ORAŠJE U ORAŠJU</t>
  </si>
  <si>
    <t>AGENCIJA ZA PRIVATIZACIJU U ŽUPANIJI POSAVSKOJ</t>
  </si>
  <si>
    <t>KANTONALNO TUŽITELJSTVO POSAVSKOG KANTONA ORAŠJE</t>
  </si>
  <si>
    <t>Ministarstvo prosvjete, znanosti, kulture i sporta ŽP - Osnovna škola Orašje u Orašju</t>
  </si>
  <si>
    <t>Ministarstvo pravosuđa i uprave ŽP - Općinski sud u Orašju</t>
  </si>
  <si>
    <t>Ministarstvo pravosuđa i uprave ŽP - Žup.Zavod za pružanje prav.pomoći</t>
  </si>
  <si>
    <t>Ministarstvo gospodarstva, rada i prostornog uređenja Žup.Posavske</t>
  </si>
  <si>
    <t>Ministarstvo poljoprivrede, vodoprivrede i šumarstva Žup.Posavske</t>
  </si>
  <si>
    <t>Ministarstvo prosvjete... - Osnovna škola Orašje u Orašju</t>
  </si>
  <si>
    <t xml:space="preserve"> Kapitalni grant za razvoj poduzetništva, obrta i zadruga</t>
  </si>
  <si>
    <t xml:space="preserve"> Kapitalni grant za uređenje poljoprivrednog zemljišta</t>
  </si>
  <si>
    <t>9 (10)</t>
  </si>
  <si>
    <t>10 (11)</t>
  </si>
  <si>
    <t>7 (9)</t>
  </si>
  <si>
    <t>16 (17)</t>
  </si>
  <si>
    <t>URED ZA RASELJENE</t>
  </si>
  <si>
    <t>Ured za raseljene</t>
  </si>
  <si>
    <t>45.</t>
  </si>
  <si>
    <t>23 (24)</t>
  </si>
  <si>
    <t>4 (5)</t>
  </si>
  <si>
    <t xml:space="preserve">   Grant od Federalnog zavoda za zapošljavanje - pripravnici</t>
  </si>
  <si>
    <t>224 (225)</t>
  </si>
  <si>
    <t>25 (26)</t>
  </si>
  <si>
    <t xml:space="preserve"> Kapitalni grant za vodoprivredu</t>
  </si>
  <si>
    <t>MINISTARSTVO PROSVJETE, ZNANOSTI, KULTURE I SPORTA ŽUPANIJE POSAVSKE - SREDNJA STRUKOVNA ŠKOLA ORAŠJE U ORAŠJU</t>
  </si>
  <si>
    <t>MINISTARSTVO PROSVJETE, ZNANOSTI, KULTURE I SPORTA ŽUPANIJE POSAVSKE - ŠKOLSKI CENTAR FRA MARTINA NEDIĆA U ORAŠJU</t>
  </si>
  <si>
    <t>MINISTARSTVO PROSVJETE, ZNANOSTI, KULTURE I SPORTA ŽUPANIJE POSAVSKE - SREDNJA ŠKOLA PERE ZEČEVIĆA U ODŽAKU</t>
  </si>
  <si>
    <t>MINISTARSTVO PROSVJETE, ZNANOSTI, KULTURE I SPORTA ŽUPANIJE POSAVSKE - OSNOVNA ŠKOLA VLADIMIRA NAZORA U ODŽAKU</t>
  </si>
  <si>
    <t>MINISTARSTVO PROSVJETE, ZNANOSTI, KULTURE I SPORTA ŽUPANIJE POSAVSKE - OSNOVNA ŠKOLA STJEPANA RADIĆA U BOKU</t>
  </si>
  <si>
    <t>MINISTARSTVO PROSVJETE, ZNANOSTI, KULTURE I SPORTA ŽUPANIJE POSAVSKE - OSNOVNA ŠKOLA RUĐERA BOŠKOVIĆA U DONJOJ MAHALI</t>
  </si>
  <si>
    <t>MINISTARSTVO PROSVJETE, ZNANOSTI, KULTURE I SPORTA ŽUPANIJE POSAVSKE - OSNOVNA ŠKOLA ANTUNA GUSTAVA MATOŠA U VIDOVICAMA</t>
  </si>
  <si>
    <t>MINISTARSTVO PROSVJETE, ZNANOSTI, KULTURE I SPORTA ŽUPANIJE POSAVSKE - OSNOVNA ŠKOLA BRAĆE RADIĆA U DOMALJEVCU</t>
  </si>
  <si>
    <t>Ministarstvo prosvjete, znanosti, kulture i sporta ŽP - Srednja škola Pere Zečevića u Odžaku</t>
  </si>
  <si>
    <t>Ministarstvo prosvjete, znanosti, kulture i sporta ŽP - Školski centar fra Martina Nedića u Orašju</t>
  </si>
  <si>
    <t>Ministarstvo prosvjete, znanosti, kulture i sporta ŽP - Srednja strukovna škola Orašje u Orašju</t>
  </si>
  <si>
    <t>Ministarstvo prosvjete, znanosti, kulture i sporta ŽP - Osnovna škola Vladimira Nazora u Odžaku</t>
  </si>
  <si>
    <t>Ministarstvo prosvjete, znanosti, kulture i sporta ŽP - Osn.škola Ruđera Boškovića u Donjoj Mahali</t>
  </si>
  <si>
    <t>Ministarstvo prosvjete, znanosti, kulture i sporta ŽP - Osnovna škola fra Ilije Starčevića u Tolisi</t>
  </si>
  <si>
    <t>Ministarstvo prosvjete, znanosti, kulture i sporta ŽP - Osn.škola Stjepana Radića u Boku</t>
  </si>
  <si>
    <t>Ministarstvo prosvj., znan., kult.i sporta ŽP - Osnovna škola Antuna Gustava Matoša u Vidovicama</t>
  </si>
  <si>
    <t>Ministarstvo prosvjete, znanosti, kulture i sporta ŽP - Osnovna škola Braće Radića u Domaljevcu</t>
  </si>
  <si>
    <t>MINISTARSTVO PROSVJETE, ZNANOSTI, KULTURE I SPORTA ŽUPANIJE POSAVSKE - OSNOVNA ŠKOLA FRA ILIJE STARČEVIĆA U TOLISI</t>
  </si>
  <si>
    <t>Ministarstvo prosvjete, znanosti, kulture i sporta ŽP - Osnovna škola Stjepana Radića u Boku</t>
  </si>
  <si>
    <t>Ministarstvo prosvjete... - Srednja škola Pere Zečevića u Odžaku</t>
  </si>
  <si>
    <t>Ministarstvo prosvjete... - Školski centar Fra Martina Nedića u Orašju</t>
  </si>
  <si>
    <t>Ministarstvo prosvjete... - Srednja strukovna škola Orašje u Orašju</t>
  </si>
  <si>
    <t>Ministarstvo prosvjete... - Osnovna škola Vladimira Nazora u Odžaku</t>
  </si>
  <si>
    <t>Ministarstvo prosvjete... - Osn.škola Ruđera Boškovića u Donjoj Mahali</t>
  </si>
  <si>
    <t>Ministarstvo prosvjete... - Osnovna škola Fra Ilije Starčevića u Tolisi</t>
  </si>
  <si>
    <t>Ministarstvo prosvjete... - Osnovna škola Stjepana Radića u Boku</t>
  </si>
  <si>
    <t>Ministarstvo prosvjete.. - Osnovna škola Antuna Gustava Matoša u Vidovicama</t>
  </si>
  <si>
    <t>Ministarstvo prosvjete... - Osnovna škola Braće Radića u Domaljevcu</t>
  </si>
  <si>
    <t>Funkcija</t>
  </si>
  <si>
    <t>0111</t>
  </si>
  <si>
    <t>13=11+12</t>
  </si>
  <si>
    <t>0133</t>
  </si>
  <si>
    <t>0310</t>
  </si>
  <si>
    <t>0360</t>
  </si>
  <si>
    <t>0330</t>
  </si>
  <si>
    <t>0490</t>
  </si>
  <si>
    <t>0112</t>
  </si>
  <si>
    <t>1090</t>
  </si>
  <si>
    <t>0421</t>
  </si>
  <si>
    <t>0980</t>
  </si>
  <si>
    <t>0941</t>
  </si>
  <si>
    <t>0820</t>
  </si>
  <si>
    <t>0810</t>
  </si>
  <si>
    <t>0912
0921</t>
  </si>
  <si>
    <t>0830</t>
  </si>
  <si>
    <t>0840</t>
  </si>
  <si>
    <t>0922</t>
  </si>
  <si>
    <t>0912</t>
  </si>
  <si>
    <t>0320</t>
  </si>
  <si>
    <t>31 (32)</t>
  </si>
  <si>
    <t>46 (47)</t>
  </si>
  <si>
    <t>53 (55)</t>
  </si>
  <si>
    <t xml:space="preserve"> Povjerenstva po Zakonu o drž.službenicima i namještenic.</t>
  </si>
  <si>
    <t xml:space="preserve"> o/č Povjerenstva po Zakonu o drž.službenicima i namještenic.</t>
  </si>
  <si>
    <t>EA6001</t>
  </si>
  <si>
    <t>JA6009</t>
  </si>
  <si>
    <t>JA6010</t>
  </si>
  <si>
    <t xml:space="preserve"> o/č Grant za pomoć pri stambenom zbrinjavanju mladih obitelji 
      i socijalnih kategorija</t>
  </si>
  <si>
    <t xml:space="preserve"> Grant za pomoć pri stambenom zbrinjavanju mladih obitelji 
 i socijalnih kategorija</t>
  </si>
  <si>
    <t>966 (1000)</t>
  </si>
  <si>
    <t>Federacija Bosne i Hercegovine</t>
  </si>
  <si>
    <t>Blaž Župarić, v.r.</t>
  </si>
  <si>
    <t>Povećanje/ smanjenje PRORAČUNA za 2020.</t>
  </si>
  <si>
    <t>Izvršenje Proračuna 01.01.-31.03.20.</t>
  </si>
  <si>
    <t>Izmjene i dopune PRORAČUNA za 2020.</t>
  </si>
  <si>
    <t>Izmjene i dopune PRORAČUNA 
za 2020. godinu</t>
  </si>
  <si>
    <t>INDEKS 13/9</t>
  </si>
  <si>
    <t>Povećanje/ smanjenje Proračuna za 2020.</t>
  </si>
  <si>
    <t>Izmjene i dopune PRORAČUNA 
za 2020.</t>
  </si>
  <si>
    <t>Povećanje/ smanjenje 
Proračuna 
za 2020.</t>
  </si>
  <si>
    <t>Izvršenje 
Proračuna 
01.01.-31.03.20.</t>
  </si>
  <si>
    <t>Povećanje/ smajenje Proračuna za 2020.godinu</t>
  </si>
  <si>
    <t>Izmjene i dopune PRORAČUNA za 
2020.godinu</t>
  </si>
  <si>
    <t>Na temelju članka 26. stavak (1.) točka f) Ustava Županije Posavske ("Narodne novine Županije Posavske", broj: 1/96, 3/96, 7/99, 3/00, 5/00 i 7/04) i članka 37.(3.) Zakona o proračunima u Federaciji Bosne i Hercegovine ("Službene novine Federacije BiH", broj: 102/13, 9/14, 13/14, 8/15, 91/15, 102/15, 104/16, 5/18, 11/19 i 99/19), Skupština Županije Posavske na _________ sjednici održanoj dana ________________ 2020. godine usvaja</t>
  </si>
  <si>
    <t>IZMJENE I DOPUNE PRORAČUNA</t>
  </si>
  <si>
    <t xml:space="preserve">     U Proračunu Županije Posavske za 2020. godinu ("Narodne novine Županije Posavske", broj: 15/19) članak 1. mijenja se i glasi: </t>
  </si>
  <si>
    <t xml:space="preserve">     Članak 2. Proračuna mijenja se i glasi:</t>
  </si>
  <si>
    <t>"Prihodi, primici i financiranje" i "Rashodi i izdaci" po grupama utvrđuju se u Računu prihoda i rashoda za 2020.godinu kako slijedi:</t>
  </si>
  <si>
    <t>Proračun Županije Posavske za 2020.godinu sastoji se od:</t>
  </si>
  <si>
    <t xml:space="preserve">     Članak 3. Proračuna mijenja se i glasi:</t>
  </si>
  <si>
    <t>IZMJENE I DOPUNE PRORAČUNA ŽUPANIJE POSAVSKE ZA 2020. GODINU (po korisnicima i ekonomskim klasifikacijama izdataka)</t>
  </si>
  <si>
    <t>FUNKCIJSKA KLASIFIKACIJA RASHODA I IZDATAKA IZMJENA I DOPUNA PRORAČUNA ŽUPANIJE POSAVSKE ZA 2020.GODINU</t>
  </si>
  <si>
    <t>PRORAČUN za 2020./Povećanje/  smanjenje Proračuna za 2020.</t>
  </si>
  <si>
    <t>Izmjene i dopune PRORAČUNA za 2020. godinu</t>
  </si>
  <si>
    <t>Članak 4. Proračuna mijenja se i glasi:</t>
  </si>
  <si>
    <t>Predsjednik Skupštine</t>
  </si>
  <si>
    <t xml:space="preserve">     Izmjene i dopune Proračuna Županije Posavske za 2020. godinu stupaju na snagu narednog dana od dana objave u "Narodnim novinama Županije Posavske".</t>
  </si>
  <si>
    <t>Broj: ______________/20</t>
  </si>
  <si>
    <t>Domaljevac, _____________ 2020.g.</t>
  </si>
  <si>
    <r>
      <t>IZMJENE I DOPUNE 
PRORAČUNA ŽUPANIJE POSAVSKE</t>
    </r>
    <r>
      <rPr>
        <b/>
        <sz val="10"/>
        <rFont val="Arial"/>
        <family val="2"/>
      </rPr>
      <t xml:space="preserve">
</t>
    </r>
    <r>
      <rPr>
        <b/>
        <sz val="14"/>
        <rFont val="Arial"/>
        <family val="2"/>
      </rPr>
      <t>za 2020. godinu</t>
    </r>
  </si>
  <si>
    <t>Funkc.klasifik.rashoda i izdataka Izmjena i dopuna Proračuna ŽP za 2020. godinu</t>
  </si>
  <si>
    <t>Izmjene i dopune Proračuna ŽP za 2020. godinu (po korisn.i ek.klasif.izdataka)</t>
  </si>
  <si>
    <t>BA6019</t>
  </si>
  <si>
    <t>48 (56)</t>
  </si>
  <si>
    <t>42 (47)</t>
  </si>
  <si>
    <t>52 (54)</t>
  </si>
  <si>
    <t>107 (111)</t>
  </si>
  <si>
    <t>38 (40)</t>
  </si>
  <si>
    <t>44 (46)</t>
  </si>
  <si>
    <t>18 (18)</t>
  </si>
  <si>
    <t xml:space="preserve">      20010001 Ministarstvo prosvjete, znanosti, kulture i sporta - Ured za 
      obnovu i stambeno zbrinjavanje</t>
  </si>
  <si>
    <t xml:space="preserve">      20010001 Ministarstvo prosvjete, znanosti, kulture i sporta - Poboljšanje 
      kvalitete prakt.nastave u srednjem obrazovanju</t>
  </si>
  <si>
    <t xml:space="preserve">   Prihodi od iznajmljivanja vozila</t>
  </si>
  <si>
    <t xml:space="preserve">      12010001 Zajednička služba Vlade Županije Posavske</t>
  </si>
  <si>
    <t xml:space="preserve">      19010001 Ministarstvo poljoprivrede, vodoprivrede i šumarstva ŽP</t>
  </si>
  <si>
    <t xml:space="preserve">      20030001 Osnovna škola Orašje u Orašju - Ured za Hrvate izvan RH</t>
  </si>
  <si>
    <t>928 (952)</t>
  </si>
  <si>
    <t xml:space="preserve">      20010001 Ministarstvo prosvjete, znan.,kulture i sporta - UNICEF</t>
  </si>
  <si>
    <t>EA6002</t>
  </si>
  <si>
    <t xml:space="preserve">      19010001 Minist.poljopr., vodoprivrede i šumarstva</t>
  </si>
  <si>
    <t xml:space="preserve">      19010001 Minist.poljopr., vodoprivrede i šumarstva </t>
  </si>
  <si>
    <t xml:space="preserve">    o/t Prihodi od neizravnih poreza na ime financ.autocesta u FBiH</t>
  </si>
  <si>
    <t xml:space="preserve">    o/t Prihodi od neizravnih poreza koji pripadaju Direkciji cesta</t>
  </si>
  <si>
    <r>
      <t xml:space="preserve">    o/t Prihodi od neizravnih poreza na ime financ.autocesta u FBiH </t>
    </r>
    <r>
      <rPr>
        <b/>
        <i/>
        <sz val="10"/>
        <color indexed="8"/>
        <rFont val="Calibri"/>
        <family val="2"/>
        <charset val="238"/>
      </rPr>
      <t>(razgr.)</t>
    </r>
  </si>
  <si>
    <r>
      <t xml:space="preserve">    o/t Prihodi od neizravnih poreza koji pripadaju Direkciji cesta </t>
    </r>
    <r>
      <rPr>
        <b/>
        <i/>
        <sz val="10"/>
        <color indexed="8"/>
        <rFont val="Calibri"/>
        <family val="2"/>
        <charset val="238"/>
      </rPr>
      <t>(razgr.)</t>
    </r>
  </si>
  <si>
    <r>
      <t xml:space="preserve">      19010001 Minist.poljopr., vodoprivrede i šumarstva </t>
    </r>
    <r>
      <rPr>
        <b/>
        <i/>
        <sz val="10"/>
        <color indexed="8"/>
        <rFont val="Calibri"/>
        <family val="2"/>
        <charset val="238"/>
      </rPr>
      <t>(razgraničenja)</t>
    </r>
  </si>
  <si>
    <r>
      <t xml:space="preserve">      19010001 Minist.poljopr., vodoprivrede i šumarstva </t>
    </r>
    <r>
      <rPr>
        <b/>
        <i/>
        <sz val="10"/>
        <color indexed="8"/>
        <rFont val="Calibri"/>
        <family val="2"/>
        <charset val="238"/>
      </rPr>
      <t>(razgr.)</t>
    </r>
  </si>
  <si>
    <r>
      <t xml:space="preserve">      99999999 Riznica </t>
    </r>
    <r>
      <rPr>
        <b/>
        <i/>
        <sz val="10"/>
        <color indexed="8"/>
        <rFont val="Calibri"/>
        <family val="2"/>
        <charset val="238"/>
      </rPr>
      <t>(razgr.)</t>
    </r>
  </si>
  <si>
    <r>
      <t xml:space="preserve">      23010001 Uprava za civilnu zaštitu </t>
    </r>
    <r>
      <rPr>
        <b/>
        <i/>
        <sz val="10"/>
        <color indexed="8"/>
        <rFont val="Calibri"/>
        <family val="2"/>
        <charset val="238"/>
      </rPr>
      <t>(razgr.)</t>
    </r>
  </si>
  <si>
    <t xml:space="preserve"> o/č Ugovorene i dr.pos.usluge - troškovi izvršenja mjere pritvora</t>
  </si>
  <si>
    <t xml:space="preserve"> Ugovorene i dr.pos.usluge - troškovi izvršenja mjere pritvora</t>
  </si>
  <si>
    <t>41 (46)</t>
  </si>
  <si>
    <t>21 (22)</t>
  </si>
  <si>
    <t xml:space="preserve">      99999999 Riznica ŽP - Paket makrofinancijske potpore EU</t>
  </si>
  <si>
    <t xml:space="preserve">      99999999 Riznica ŽP - Potpora iz sredstava MMF-a</t>
  </si>
  <si>
    <t xml:space="preserve"> Izdaci za inozemne kamate-Koreja</t>
  </si>
  <si>
    <t xml:space="preserve"> Izdaci za inozemne kamate-Austrija</t>
  </si>
  <si>
    <t>Vanjske otplate-Koreja</t>
  </si>
  <si>
    <t>Vanjske otplate-Austrija</t>
  </si>
  <si>
    <t xml:space="preserve"> Vanjske otplate - Koreja</t>
  </si>
  <si>
    <t xml:space="preserve"> Vanjske otplate - Austrija</t>
  </si>
  <si>
    <t>216 (217)</t>
  </si>
  <si>
    <t>15 (16)</t>
  </si>
  <si>
    <t>11 (12)</t>
  </si>
  <si>
    <t>950 (985)</t>
  </si>
  <si>
    <t xml:space="preserve"> Naknade troškova zaposlenih - volonteri (2) (25)</t>
  </si>
  <si>
    <t xml:space="preserve"> Ugovorene i dr. posebne usluge-volonteri (2) (25)</t>
  </si>
  <si>
    <t xml:space="preserve"> o/č Ugovorene i druge posebne usluge-volonterski rad (2) (25)</t>
  </si>
  <si>
    <t>Domaljevac, lipanj 2020. godine</t>
  </si>
</sst>
</file>

<file path=xl/styles.xml><?xml version="1.0" encoding="utf-8"?>
<styleSheet xmlns="http://schemas.openxmlformats.org/spreadsheetml/2006/main">
  <numFmts count="5">
    <numFmt numFmtId="43" formatCode="_-* #,##0.00\ _k_n_-;\-* #,##0.00\ _k_n_-;_-* &quot;-&quot;??\ _k_n_-;_-@_-"/>
    <numFmt numFmtId="164" formatCode="#,##0\ &quot;KM&quot;;\-#,##0\ &quot;KM&quot;"/>
    <numFmt numFmtId="165" formatCode="_-* #,##0.00_-;\-* #,##0.00_-;_-* &quot;-&quot;??_-;_-@_-"/>
    <numFmt numFmtId="166" formatCode="_-* #,##0_-;\-* #,##0_-;_-* &quot;-&quot;??_-;_-@_-"/>
    <numFmt numFmtId="167" formatCode="000"/>
  </numFmts>
  <fonts count="48">
    <font>
      <sz val="10"/>
      <name val="Arial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sz val="10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i/>
      <sz val="10"/>
      <name val="Arial"/>
      <family val="2"/>
      <charset val="238"/>
    </font>
    <font>
      <b/>
      <i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 CE"/>
      <family val="2"/>
      <charset val="238"/>
    </font>
    <font>
      <b/>
      <sz val="11"/>
      <name val="Arial CE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i/>
      <sz val="10"/>
      <color indexed="8"/>
      <name val="Calibri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i/>
      <sz val="10"/>
      <name val="Arial"/>
      <family val="2"/>
      <charset val="238"/>
    </font>
    <font>
      <sz val="11"/>
      <color rgb="FF9C0006"/>
      <name val="Calibri"/>
      <family val="2"/>
      <charset val="238"/>
      <scheme val="minor"/>
    </font>
    <font>
      <sz val="10"/>
      <color theme="0"/>
      <name val="Arial"/>
      <family val="2"/>
    </font>
    <font>
      <b/>
      <sz val="9"/>
      <name val="Arial"/>
      <family val="2"/>
    </font>
    <font>
      <b/>
      <sz val="9"/>
      <name val="Arial"/>
      <family val="2"/>
      <charset val="238"/>
    </font>
    <font>
      <sz val="9"/>
      <name val="Arial"/>
      <family val="2"/>
    </font>
    <font>
      <i/>
      <sz val="8"/>
      <name val="Arial"/>
      <family val="2"/>
    </font>
    <font>
      <i/>
      <sz val="11"/>
      <name val="Arial"/>
      <family val="2"/>
    </font>
    <font>
      <sz val="11"/>
      <name val="Arial"/>
      <family val="2"/>
      <charset val="238"/>
    </font>
    <font>
      <b/>
      <i/>
      <sz val="11"/>
      <name val="Arial"/>
      <family val="2"/>
      <charset val="238"/>
    </font>
    <font>
      <i/>
      <sz val="9"/>
      <name val="Arial"/>
      <family val="2"/>
      <charset val="238"/>
    </font>
    <font>
      <b/>
      <i/>
      <sz val="9"/>
      <name val="Arial"/>
      <family val="2"/>
      <charset val="238"/>
    </font>
    <font>
      <sz val="7"/>
      <name val="Arial"/>
      <family val="2"/>
      <charset val="238"/>
    </font>
    <font>
      <b/>
      <sz val="7"/>
      <name val="Arial"/>
      <family val="2"/>
      <charset val="238"/>
    </font>
    <font>
      <b/>
      <sz val="12"/>
      <name val="Arial"/>
      <family val="2"/>
      <charset val="238"/>
    </font>
    <font>
      <sz val="10"/>
      <color rgb="FFFF0000"/>
      <name val="Arial"/>
      <family val="2"/>
      <charset val="238"/>
    </font>
    <font>
      <i/>
      <sz val="11"/>
      <name val="Arial"/>
      <family val="2"/>
      <charset val="238"/>
    </font>
    <font>
      <i/>
      <sz val="10"/>
      <color indexed="8"/>
      <name val="Calibri"/>
      <family val="2"/>
      <charset val="238"/>
    </font>
    <font>
      <i/>
      <sz val="11"/>
      <color rgb="FF9C0006"/>
      <name val="Calibri"/>
      <family val="2"/>
      <charset val="238"/>
      <scheme val="minor"/>
    </font>
    <font>
      <b/>
      <sz val="16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4">
    <xf numFmtId="0" fontId="0" fillId="0" borderId="0"/>
    <xf numFmtId="165" fontId="11" fillId="0" borderId="0" applyFont="0" applyFill="0" applyBorder="0" applyAlignment="0" applyProtection="0"/>
    <xf numFmtId="0" fontId="29" fillId="5" borderId="0" applyNumberFormat="0" applyBorder="0" applyAlignment="0" applyProtection="0"/>
    <xf numFmtId="0" fontId="2" fillId="0" borderId="0"/>
    <xf numFmtId="0" fontId="10" fillId="0" borderId="0"/>
    <xf numFmtId="9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943">
    <xf numFmtId="0" fontId="0" fillId="0" borderId="0" xfId="0"/>
    <xf numFmtId="0" fontId="3" fillId="0" borderId="0" xfId="3" applyFont="1"/>
    <xf numFmtId="0" fontId="3" fillId="0" borderId="0" xfId="3" applyFont="1" applyAlignment="1">
      <alignment horizontal="center"/>
    </xf>
    <xf numFmtId="0" fontId="3" fillId="0" borderId="1" xfId="3" applyFont="1" applyBorder="1" applyAlignment="1">
      <alignment horizontal="center" vertical="center" textRotation="90" wrapText="1"/>
    </xf>
    <xf numFmtId="0" fontId="3" fillId="0" borderId="3" xfId="3" applyFont="1" applyBorder="1" applyAlignment="1">
      <alignment horizontal="center"/>
    </xf>
    <xf numFmtId="0" fontId="3" fillId="0" borderId="4" xfId="3" applyFont="1" applyBorder="1" applyAlignment="1">
      <alignment horizontal="center"/>
    </xf>
    <xf numFmtId="49" fontId="3" fillId="0" borderId="3" xfId="3" applyNumberFormat="1" applyFont="1" applyBorder="1" applyAlignment="1">
      <alignment horizontal="center"/>
    </xf>
    <xf numFmtId="49" fontId="3" fillId="0" borderId="4" xfId="3" applyNumberFormat="1" applyFont="1" applyBorder="1" applyAlignment="1">
      <alignment horizontal="center"/>
    </xf>
    <xf numFmtId="0" fontId="3" fillId="0" borderId="4" xfId="3" applyFont="1" applyBorder="1"/>
    <xf numFmtId="0" fontId="2" fillId="0" borderId="0" xfId="3"/>
    <xf numFmtId="0" fontId="2" fillId="0" borderId="3" xfId="3" applyBorder="1"/>
    <xf numFmtId="0" fontId="2" fillId="0" borderId="4" xfId="3" applyBorder="1"/>
    <xf numFmtId="0" fontId="3" fillId="0" borderId="3" xfId="3" applyFont="1" applyBorder="1"/>
    <xf numFmtId="0" fontId="4" fillId="0" borderId="4" xfId="3" applyFont="1" applyBorder="1"/>
    <xf numFmtId="0" fontId="2" fillId="0" borderId="4" xfId="3" applyFill="1" applyBorder="1"/>
    <xf numFmtId="3" fontId="3" fillId="0" borderId="4" xfId="3" applyNumberFormat="1" applyFont="1" applyBorder="1"/>
    <xf numFmtId="0" fontId="2" fillId="0" borderId="5" xfId="3" applyBorder="1"/>
    <xf numFmtId="0" fontId="2" fillId="0" borderId="6" xfId="3" applyBorder="1"/>
    <xf numFmtId="0" fontId="2" fillId="0" borderId="0" xfId="3" applyAlignment="1">
      <alignment horizontal="center"/>
    </xf>
    <xf numFmtId="3" fontId="3" fillId="0" borderId="4" xfId="3" applyNumberFormat="1" applyFont="1" applyBorder="1" applyAlignment="1">
      <alignment horizontal="right"/>
    </xf>
    <xf numFmtId="0" fontId="2" fillId="0" borderId="4" xfId="3" applyFont="1" applyBorder="1"/>
    <xf numFmtId="0" fontId="3" fillId="0" borderId="4" xfId="3" applyFont="1" applyBorder="1" applyAlignment="1">
      <alignment horizontal="left"/>
    </xf>
    <xf numFmtId="0" fontId="3" fillId="0" borderId="7" xfId="3" applyFont="1" applyBorder="1"/>
    <xf numFmtId="0" fontId="0" fillId="0" borderId="4" xfId="0" applyBorder="1"/>
    <xf numFmtId="0" fontId="2" fillId="0" borderId="8" xfId="3" applyBorder="1"/>
    <xf numFmtId="0" fontId="3" fillId="0" borderId="8" xfId="3" applyFont="1" applyBorder="1"/>
    <xf numFmtId="0" fontId="3" fillId="0" borderId="4" xfId="0" applyFont="1" applyBorder="1"/>
    <xf numFmtId="0" fontId="2" fillId="0" borderId="9" xfId="3" applyBorder="1"/>
    <xf numFmtId="0" fontId="2" fillId="0" borderId="3" xfId="3" applyBorder="1" applyAlignment="1">
      <alignment horizontal="center"/>
    </xf>
    <xf numFmtId="0" fontId="2" fillId="0" borderId="5" xfId="3" applyBorder="1" applyAlignment="1">
      <alignment horizontal="center"/>
    </xf>
    <xf numFmtId="3" fontId="2" fillId="0" borderId="4" xfId="3" applyNumberFormat="1" applyBorder="1"/>
    <xf numFmtId="3" fontId="4" fillId="0" borderId="4" xfId="3" applyNumberFormat="1" applyFont="1" applyBorder="1"/>
    <xf numFmtId="3" fontId="2" fillId="0" borderId="6" xfId="3" applyNumberFormat="1" applyBorder="1"/>
    <xf numFmtId="0" fontId="2" fillId="0" borderId="0" xfId="3" applyFont="1" applyAlignment="1">
      <alignment horizontal="left"/>
    </xf>
    <xf numFmtId="0" fontId="7" fillId="0" borderId="0" xfId="3" applyFont="1" applyAlignment="1">
      <alignment horizontal="left"/>
    </xf>
    <xf numFmtId="0" fontId="3" fillId="0" borderId="3" xfId="0" applyFont="1" applyBorder="1" applyAlignment="1">
      <alignment horizontal="center"/>
    </xf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4" xfId="3" applyFont="1" applyBorder="1" applyAlignment="1">
      <alignment horizontal="left"/>
    </xf>
    <xf numFmtId="0" fontId="0" fillId="0" borderId="10" xfId="0" applyBorder="1"/>
    <xf numFmtId="0" fontId="2" fillId="0" borderId="10" xfId="3" applyFill="1" applyBorder="1"/>
    <xf numFmtId="3" fontId="4" fillId="0" borderId="4" xfId="3" applyNumberFormat="1" applyFont="1" applyBorder="1" applyAlignment="1">
      <alignment horizontal="right"/>
    </xf>
    <xf numFmtId="0" fontId="4" fillId="0" borderId="4" xfId="0" applyFont="1" applyBorder="1"/>
    <xf numFmtId="0" fontId="3" fillId="0" borderId="0" xfId="0" applyFont="1"/>
    <xf numFmtId="0" fontId="2" fillId="0" borderId="12" xfId="3" applyFont="1" applyBorder="1"/>
    <xf numFmtId="0" fontId="10" fillId="0" borderId="0" xfId="0" applyFont="1"/>
    <xf numFmtId="0" fontId="0" fillId="0" borderId="4" xfId="0" applyBorder="1" applyAlignment="1">
      <alignment wrapText="1"/>
    </xf>
    <xf numFmtId="0" fontId="3" fillId="0" borderId="4" xfId="0" applyFont="1" applyBorder="1" applyAlignment="1">
      <alignment horizontal="right" wrapText="1"/>
    </xf>
    <xf numFmtId="0" fontId="3" fillId="0" borderId="4" xfId="0" applyFont="1" applyFill="1" applyBorder="1" applyAlignment="1">
      <alignment wrapText="1"/>
    </xf>
    <xf numFmtId="0" fontId="3" fillId="0" borderId="3" xfId="0" applyFont="1" applyBorder="1" applyAlignment="1">
      <alignment horizontal="right" wrapText="1"/>
    </xf>
    <xf numFmtId="0" fontId="3" fillId="0" borderId="12" xfId="3" applyFont="1" applyBorder="1"/>
    <xf numFmtId="0" fontId="2" fillId="0" borderId="13" xfId="3" applyBorder="1" applyAlignment="1">
      <alignment horizontal="center"/>
    </xf>
    <xf numFmtId="0" fontId="2" fillId="0" borderId="14" xfId="3" applyBorder="1"/>
    <xf numFmtId="0" fontId="2" fillId="0" borderId="0" xfId="3" applyFont="1"/>
    <xf numFmtId="3" fontId="2" fillId="0" borderId="4" xfId="3" applyNumberFormat="1" applyFill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0" fillId="0" borderId="0" xfId="0" applyBorder="1" applyAlignment="1"/>
    <xf numFmtId="0" fontId="7" fillId="0" borderId="0" xfId="0" applyFont="1" applyBorder="1" applyAlignment="1"/>
    <xf numFmtId="3" fontId="2" fillId="0" borderId="15" xfId="3" applyNumberFormat="1" applyBorder="1"/>
    <xf numFmtId="2" fontId="3" fillId="0" borderId="0" xfId="3" applyNumberFormat="1" applyFont="1"/>
    <xf numFmtId="3" fontId="2" fillId="0" borderId="0" xfId="3" applyNumberFormat="1"/>
    <xf numFmtId="3" fontId="3" fillId="0" borderId="0" xfId="3" applyNumberFormat="1" applyFont="1"/>
    <xf numFmtId="3" fontId="3" fillId="0" borderId="8" xfId="0" applyNumberFormat="1" applyFont="1" applyBorder="1"/>
    <xf numFmtId="3" fontId="0" fillId="0" borderId="8" xfId="0" applyNumberFormat="1" applyBorder="1"/>
    <xf numFmtId="3" fontId="2" fillId="0" borderId="0" xfId="3" applyNumberFormat="1" applyFont="1"/>
    <xf numFmtId="0" fontId="4" fillId="0" borderId="0" xfId="3" applyFont="1"/>
    <xf numFmtId="0" fontId="4" fillId="0" borderId="3" xfId="3" applyFont="1" applyBorder="1"/>
    <xf numFmtId="0" fontId="4" fillId="0" borderId="0" xfId="0" applyFont="1"/>
    <xf numFmtId="0" fontId="4" fillId="0" borderId="3" xfId="0" applyFont="1" applyBorder="1" applyAlignment="1">
      <alignment horizontal="center"/>
    </xf>
    <xf numFmtId="0" fontId="4" fillId="0" borderId="4" xfId="0" applyFont="1" applyFill="1" applyBorder="1" applyAlignment="1">
      <alignment wrapText="1"/>
    </xf>
    <xf numFmtId="3" fontId="4" fillId="0" borderId="8" xfId="0" applyNumberFormat="1" applyFont="1" applyBorder="1"/>
    <xf numFmtId="3" fontId="0" fillId="0" borderId="0" xfId="0" applyNumberFormat="1"/>
    <xf numFmtId="0" fontId="6" fillId="0" borderId="0" xfId="3" applyFont="1" applyAlignment="1">
      <alignment horizontal="left"/>
    </xf>
    <xf numFmtId="0" fontId="10" fillId="0" borderId="0" xfId="3" applyFont="1" applyAlignment="1">
      <alignment horizontal="left"/>
    </xf>
    <xf numFmtId="0" fontId="10" fillId="0" borderId="0" xfId="3" applyFont="1"/>
    <xf numFmtId="0" fontId="2" fillId="0" borderId="4" xfId="3" applyFont="1" applyFill="1" applyBorder="1"/>
    <xf numFmtId="0" fontId="2" fillId="0" borderId="0" xfId="3" applyFont="1" applyFill="1"/>
    <xf numFmtId="0" fontId="2" fillId="0" borderId="0" xfId="3" applyFill="1"/>
    <xf numFmtId="0" fontId="3" fillId="0" borderId="0" xfId="3" applyFont="1" applyFill="1"/>
    <xf numFmtId="0" fontId="0" fillId="0" borderId="4" xfId="0" applyFill="1" applyBorder="1" applyAlignment="1">
      <alignment wrapText="1"/>
    </xf>
    <xf numFmtId="0" fontId="0" fillId="0" borderId="4" xfId="0" applyFill="1" applyBorder="1"/>
    <xf numFmtId="0" fontId="4" fillId="0" borderId="4" xfId="3" applyFont="1" applyFill="1" applyBorder="1"/>
    <xf numFmtId="3" fontId="4" fillId="0" borderId="4" xfId="3" applyNumberFormat="1" applyFont="1" applyFill="1" applyBorder="1"/>
    <xf numFmtId="3" fontId="4" fillId="0" borderId="4" xfId="3" applyNumberFormat="1" applyFont="1" applyFill="1" applyBorder="1" applyProtection="1">
      <protection locked="0"/>
    </xf>
    <xf numFmtId="0" fontId="9" fillId="0" borderId="0" xfId="0" applyFont="1" applyAlignment="1">
      <alignment horizontal="center" vertical="top"/>
    </xf>
    <xf numFmtId="0" fontId="3" fillId="2" borderId="4" xfId="0" applyFont="1" applyFill="1" applyBorder="1" applyAlignment="1">
      <alignment horizontal="center"/>
    </xf>
    <xf numFmtId="3" fontId="3" fillId="0" borderId="4" xfId="3" applyNumberFormat="1" applyFont="1" applyFill="1" applyBorder="1" applyAlignment="1">
      <alignment horizontal="right"/>
    </xf>
    <xf numFmtId="49" fontId="3" fillId="0" borderId="3" xfId="3" applyNumberFormat="1" applyFont="1" applyFill="1" applyBorder="1" applyAlignment="1">
      <alignment horizontal="center"/>
    </xf>
    <xf numFmtId="49" fontId="3" fillId="0" borderId="4" xfId="3" applyNumberFormat="1" applyFont="1" applyFill="1" applyBorder="1" applyAlignment="1">
      <alignment horizontal="center"/>
    </xf>
    <xf numFmtId="3" fontId="3" fillId="0" borderId="0" xfId="3" applyNumberFormat="1" applyFont="1" applyAlignment="1">
      <alignment horizontal="center"/>
    </xf>
    <xf numFmtId="0" fontId="5" fillId="0" borderId="0" xfId="3" applyFont="1" applyBorder="1" applyAlignment="1">
      <alignment horizontal="left"/>
    </xf>
    <xf numFmtId="0" fontId="3" fillId="2" borderId="2" xfId="0" applyFont="1" applyFill="1" applyBorder="1" applyAlignment="1">
      <alignment horizontal="center" vertical="center" wrapText="1"/>
    </xf>
    <xf numFmtId="4" fontId="2" fillId="0" borderId="0" xfId="3" applyNumberFormat="1"/>
    <xf numFmtId="4" fontId="2" fillId="0" borderId="19" xfId="3" applyNumberFormat="1" applyBorder="1"/>
    <xf numFmtId="4" fontId="7" fillId="0" borderId="0" xfId="3" applyNumberFormat="1" applyFont="1" applyAlignment="1">
      <alignment horizontal="left"/>
    </xf>
    <xf numFmtId="4" fontId="2" fillId="0" borderId="21" xfId="3" applyNumberFormat="1" applyBorder="1"/>
    <xf numFmtId="0" fontId="3" fillId="0" borderId="10" xfId="3" applyFont="1" applyBorder="1" applyAlignment="1">
      <alignment horizontal="center"/>
    </xf>
    <xf numFmtId="3" fontId="3" fillId="0" borderId="4" xfId="3" applyNumberFormat="1" applyFont="1" applyBorder="1" applyAlignment="1">
      <alignment horizontal="center"/>
    </xf>
    <xf numFmtId="3" fontId="2" fillId="0" borderId="4" xfId="3" applyNumberFormat="1" applyFont="1" applyFill="1" applyBorder="1"/>
    <xf numFmtId="3" fontId="10" fillId="0" borderId="4" xfId="3" applyNumberFormat="1" applyFont="1" applyFill="1" applyBorder="1"/>
    <xf numFmtId="3" fontId="3" fillId="0" borderId="6" xfId="3" applyNumberFormat="1" applyFont="1" applyBorder="1"/>
    <xf numFmtId="4" fontId="4" fillId="0" borderId="20" xfId="3" applyNumberFormat="1" applyFont="1" applyBorder="1" applyAlignment="1">
      <alignment horizontal="right"/>
    </xf>
    <xf numFmtId="3" fontId="4" fillId="0" borderId="0" xfId="0" applyNumberFormat="1" applyFont="1"/>
    <xf numFmtId="3" fontId="4" fillId="0" borderId="8" xfId="0" applyNumberFormat="1" applyFont="1" applyFill="1" applyBorder="1"/>
    <xf numFmtId="164" fontId="9" fillId="0" borderId="14" xfId="3" applyNumberFormat="1" applyFont="1" applyBorder="1" applyAlignment="1"/>
    <xf numFmtId="0" fontId="2" fillId="0" borderId="3" xfId="3" applyBorder="1" applyAlignment="1">
      <alignment vertical="center"/>
    </xf>
    <xf numFmtId="0" fontId="2" fillId="0" borderId="4" xfId="3" applyBorder="1" applyAlignment="1">
      <alignment vertical="center"/>
    </xf>
    <xf numFmtId="0" fontId="2" fillId="0" borderId="8" xfId="3" applyBorder="1" applyAlignment="1">
      <alignment vertical="center"/>
    </xf>
    <xf numFmtId="0" fontId="0" fillId="0" borderId="4" xfId="0" applyFill="1" applyBorder="1" applyAlignment="1">
      <alignment vertical="center" wrapText="1"/>
    </xf>
    <xf numFmtId="0" fontId="10" fillId="0" borderId="0" xfId="3" applyFont="1" applyAlignment="1">
      <alignment vertical="center"/>
    </xf>
    <xf numFmtId="0" fontId="2" fillId="0" borderId="0" xfId="3" applyAlignment="1">
      <alignment vertical="center"/>
    </xf>
    <xf numFmtId="0" fontId="0" fillId="0" borderId="4" xfId="0" applyBorder="1" applyAlignment="1">
      <alignment vertical="center" wrapText="1"/>
    </xf>
    <xf numFmtId="0" fontId="4" fillId="0" borderId="3" xfId="3" applyFont="1" applyBorder="1" applyAlignment="1">
      <alignment vertical="center"/>
    </xf>
    <xf numFmtId="0" fontId="4" fillId="0" borderId="4" xfId="3" applyFont="1" applyBorder="1" applyAlignment="1">
      <alignment vertical="center"/>
    </xf>
    <xf numFmtId="0" fontId="4" fillId="0" borderId="4" xfId="3" applyFont="1" applyFill="1" applyBorder="1" applyAlignment="1">
      <alignment vertical="center" wrapText="1"/>
    </xf>
    <xf numFmtId="0" fontId="4" fillId="0" borderId="0" xfId="3" applyFont="1" applyAlignment="1">
      <alignment vertical="center"/>
    </xf>
    <xf numFmtId="3" fontId="4" fillId="0" borderId="0" xfId="3" applyNumberFormat="1" applyFont="1" applyAlignment="1">
      <alignment vertical="center"/>
    </xf>
    <xf numFmtId="0" fontId="10" fillId="0" borderId="4" xfId="0" applyFont="1" applyBorder="1" applyAlignment="1">
      <alignment wrapText="1"/>
    </xf>
    <xf numFmtId="0" fontId="0" fillId="0" borderId="3" xfId="0" applyBorder="1" applyAlignment="1">
      <alignment horizontal="right"/>
    </xf>
    <xf numFmtId="3" fontId="8" fillId="0" borderId="8" xfId="0" applyNumberFormat="1" applyFont="1" applyBorder="1"/>
    <xf numFmtId="4" fontId="8" fillId="0" borderId="18" xfId="0" applyNumberFormat="1" applyFont="1" applyBorder="1"/>
    <xf numFmtId="0" fontId="8" fillId="0" borderId="0" xfId="0" applyFont="1"/>
    <xf numFmtId="0" fontId="8" fillId="0" borderId="3" xfId="0" applyFont="1" applyBorder="1" applyAlignment="1">
      <alignment horizontal="right"/>
    </xf>
    <xf numFmtId="0" fontId="8" fillId="0" borderId="4" xfId="0" applyFont="1" applyBorder="1" applyAlignment="1">
      <alignment wrapText="1"/>
    </xf>
    <xf numFmtId="4" fontId="10" fillId="0" borderId="18" xfId="0" applyNumberFormat="1" applyFont="1" applyFill="1" applyBorder="1"/>
    <xf numFmtId="0" fontId="10" fillId="0" borderId="3" xfId="0" applyFont="1" applyBorder="1" applyAlignment="1">
      <alignment horizontal="right"/>
    </xf>
    <xf numFmtId="3" fontId="15" fillId="0" borderId="8" xfId="0" applyNumberFormat="1" applyFont="1" applyFill="1" applyBorder="1"/>
    <xf numFmtId="4" fontId="10" fillId="0" borderId="18" xfId="0" applyNumberFormat="1" applyFont="1" applyBorder="1"/>
    <xf numFmtId="3" fontId="10" fillId="0" borderId="8" xfId="0" applyNumberFormat="1" applyFont="1" applyBorder="1"/>
    <xf numFmtId="0" fontId="3" fillId="0" borderId="3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3" fillId="0" borderId="4" xfId="0" applyFont="1" applyFill="1" applyBorder="1"/>
    <xf numFmtId="4" fontId="8" fillId="0" borderId="18" xfId="0" applyNumberFormat="1" applyFont="1" applyFill="1" applyBorder="1"/>
    <xf numFmtId="3" fontId="16" fillId="0" borderId="8" xfId="0" applyNumberFormat="1" applyFont="1" applyFill="1" applyBorder="1"/>
    <xf numFmtId="0" fontId="8" fillId="0" borderId="4" xfId="0" applyFont="1" applyFill="1" applyBorder="1"/>
    <xf numFmtId="3" fontId="8" fillId="0" borderId="8" xfId="0" applyNumberFormat="1" applyFont="1" applyFill="1" applyBorder="1"/>
    <xf numFmtId="0" fontId="16" fillId="0" borderId="3" xfId="0" applyFont="1" applyBorder="1" applyAlignment="1">
      <alignment horizontal="right"/>
    </xf>
    <xf numFmtId="0" fontId="8" fillId="0" borderId="4" xfId="0" applyFont="1" applyFill="1" applyBorder="1" applyAlignment="1">
      <alignment wrapText="1"/>
    </xf>
    <xf numFmtId="0" fontId="15" fillId="0" borderId="3" xfId="0" applyFont="1" applyBorder="1" applyAlignment="1">
      <alignment horizontal="right"/>
    </xf>
    <xf numFmtId="3" fontId="3" fillId="0" borderId="8" xfId="0" applyNumberFormat="1" applyFont="1" applyFill="1" applyBorder="1"/>
    <xf numFmtId="0" fontId="16" fillId="0" borderId="4" xfId="0" applyFont="1" applyFill="1" applyBorder="1" applyAlignment="1">
      <alignment wrapText="1"/>
    </xf>
    <xf numFmtId="0" fontId="16" fillId="0" borderId="4" xfId="0" applyFont="1" applyFill="1" applyBorder="1"/>
    <xf numFmtId="0" fontId="12" fillId="0" borderId="3" xfId="0" applyFont="1" applyBorder="1" applyAlignment="1">
      <alignment horizontal="right" wrapText="1"/>
    </xf>
    <xf numFmtId="0" fontId="12" fillId="0" borderId="4" xfId="0" applyFont="1" applyBorder="1" applyAlignment="1">
      <alignment horizontal="right" wrapText="1"/>
    </xf>
    <xf numFmtId="3" fontId="12" fillId="0" borderId="4" xfId="0" applyNumberFormat="1" applyFont="1" applyBorder="1"/>
    <xf numFmtId="0" fontId="12" fillId="0" borderId="0" xfId="0" applyFont="1"/>
    <xf numFmtId="0" fontId="3" fillId="0" borderId="0" xfId="0" applyFont="1" applyFill="1" applyBorder="1" applyAlignment="1"/>
    <xf numFmtId="3" fontId="4" fillId="0" borderId="4" xfId="0" applyNumberFormat="1" applyFont="1" applyFill="1" applyBorder="1" applyAlignment="1">
      <alignment horizontal="right" vertical="center"/>
    </xf>
    <xf numFmtId="0" fontId="18" fillId="0" borderId="25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/>
    </xf>
    <xf numFmtId="3" fontId="0" fillId="0" borderId="4" xfId="0" applyNumberFormat="1" applyBorder="1"/>
    <xf numFmtId="3" fontId="3" fillId="0" borderId="4" xfId="0" applyNumberFormat="1" applyFont="1" applyBorder="1"/>
    <xf numFmtId="0" fontId="0" fillId="0" borderId="4" xfId="0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0" fontId="3" fillId="2" borderId="0" xfId="0" applyFont="1" applyFill="1"/>
    <xf numFmtId="0" fontId="3" fillId="2" borderId="4" xfId="0" applyFont="1" applyFill="1" applyBorder="1"/>
    <xf numFmtId="3" fontId="3" fillId="2" borderId="4" xfId="0" applyNumberFormat="1" applyFont="1" applyFill="1" applyBorder="1"/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3" fontId="3" fillId="2" borderId="0" xfId="0" applyNumberFormat="1" applyFont="1" applyFill="1"/>
    <xf numFmtId="0" fontId="0" fillId="0" borderId="14" xfId="0" applyBorder="1"/>
    <xf numFmtId="0" fontId="0" fillId="0" borderId="5" xfId="0" applyBorder="1" applyAlignment="1">
      <alignment horizontal="center"/>
    </xf>
    <xf numFmtId="0" fontId="0" fillId="0" borderId="6" xfId="0" applyBorder="1"/>
    <xf numFmtId="0" fontId="19" fillId="0" borderId="0" xfId="0" applyFont="1" applyFill="1" applyBorder="1" applyAlignment="1"/>
    <xf numFmtId="0" fontId="20" fillId="0" borderId="0" xfId="0" applyFont="1" applyFill="1" applyBorder="1" applyAlignment="1">
      <alignment horizontal="centerContinuous"/>
    </xf>
    <xf numFmtId="0" fontId="20" fillId="0" borderId="0" xfId="0" applyFont="1" applyAlignment="1">
      <alignment horizontal="centerContinuous"/>
    </xf>
    <xf numFmtId="0" fontId="21" fillId="0" borderId="0" xfId="0" applyFont="1" applyFill="1" applyBorder="1" applyAlignment="1"/>
    <xf numFmtId="0" fontId="21" fillId="0" borderId="0" xfId="0" applyFont="1" applyAlignment="1">
      <alignment horizontal="center"/>
    </xf>
    <xf numFmtId="0" fontId="21" fillId="0" borderId="0" xfId="0" applyFont="1" applyAlignment="1">
      <alignment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Continuous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167" fontId="4" fillId="0" borderId="4" xfId="0" applyNumberFormat="1" applyFont="1" applyFill="1" applyBorder="1" applyAlignment="1">
      <alignment horizontal="left" vertical="center" wrapText="1"/>
    </xf>
    <xf numFmtId="4" fontId="4" fillId="0" borderId="4" xfId="0" applyNumberFormat="1" applyFont="1" applyFill="1" applyBorder="1"/>
    <xf numFmtId="4" fontId="4" fillId="0" borderId="4" xfId="0" applyNumberFormat="1" applyFont="1" applyBorder="1"/>
    <xf numFmtId="0" fontId="10" fillId="0" borderId="4" xfId="3" applyFont="1" applyFill="1" applyBorder="1"/>
    <xf numFmtId="0" fontId="18" fillId="0" borderId="18" xfId="4" applyFont="1" applyFill="1" applyBorder="1" applyAlignment="1">
      <alignment horizontal="center" vertical="center" wrapText="1"/>
    </xf>
    <xf numFmtId="0" fontId="0" fillId="0" borderId="0" xfId="0" applyFill="1"/>
    <xf numFmtId="0" fontId="6" fillId="0" borderId="0" xfId="0" applyFont="1" applyFill="1"/>
    <xf numFmtId="43" fontId="8" fillId="0" borderId="0" xfId="0" applyNumberFormat="1" applyFont="1" applyFill="1"/>
    <xf numFmtId="0" fontId="8" fillId="0" borderId="0" xfId="0" applyFont="1" applyFill="1"/>
    <xf numFmtId="0" fontId="23" fillId="0" borderId="4" xfId="0" applyFont="1" applyBorder="1"/>
    <xf numFmtId="0" fontId="24" fillId="0" borderId="4" xfId="0" applyFont="1" applyFill="1" applyBorder="1" applyAlignment="1">
      <alignment wrapText="1"/>
    </xf>
    <xf numFmtId="0" fontId="24" fillId="0" borderId="4" xfId="0" applyFont="1" applyBorder="1"/>
    <xf numFmtId="0" fontId="23" fillId="0" borderId="4" xfId="0" applyFont="1" applyBorder="1" applyAlignment="1">
      <alignment wrapText="1"/>
    </xf>
    <xf numFmtId="43" fontId="8" fillId="0" borderId="0" xfId="6" applyFont="1" applyFill="1"/>
    <xf numFmtId="9" fontId="8" fillId="0" borderId="0" xfId="0" applyNumberFormat="1" applyFont="1" applyFill="1"/>
    <xf numFmtId="0" fontId="23" fillId="0" borderId="4" xfId="0" applyFont="1" applyFill="1" applyBorder="1"/>
    <xf numFmtId="0" fontId="25" fillId="0" borderId="4" xfId="0" applyFont="1" applyFill="1" applyBorder="1"/>
    <xf numFmtId="0" fontId="23" fillId="0" borderId="4" xfId="0" applyFont="1" applyFill="1" applyBorder="1" applyAlignment="1">
      <alignment wrapText="1"/>
    </xf>
    <xf numFmtId="0" fontId="25" fillId="0" borderId="4" xfId="0" applyFont="1" applyFill="1" applyBorder="1" applyAlignment="1">
      <alignment wrapText="1"/>
    </xf>
    <xf numFmtId="0" fontId="0" fillId="0" borderId="25" xfId="0" applyBorder="1" applyAlignment="1">
      <alignment horizontal="right"/>
    </xf>
    <xf numFmtId="0" fontId="23" fillId="0" borderId="12" xfId="0" applyFont="1" applyBorder="1"/>
    <xf numFmtId="0" fontId="0" fillId="0" borderId="12" xfId="0" applyFill="1" applyBorder="1" applyAlignment="1">
      <alignment wrapText="1"/>
    </xf>
    <xf numFmtId="0" fontId="10" fillId="0" borderId="25" xfId="0" applyFont="1" applyBorder="1" applyAlignment="1">
      <alignment horizontal="right"/>
    </xf>
    <xf numFmtId="0" fontId="0" fillId="0" borderId="12" xfId="0" applyBorder="1"/>
    <xf numFmtId="4" fontId="22" fillId="6" borderId="18" xfId="0" applyNumberFormat="1" applyFont="1" applyFill="1" applyBorder="1"/>
    <xf numFmtId="4" fontId="8" fillId="6" borderId="18" xfId="0" applyNumberFormat="1" applyFont="1" applyFill="1" applyBorder="1"/>
    <xf numFmtId="4" fontId="10" fillId="0" borderId="28" xfId="0" applyNumberFormat="1" applyFont="1" applyBorder="1"/>
    <xf numFmtId="4" fontId="10" fillId="0" borderId="28" xfId="0" applyNumberFormat="1" applyFont="1" applyFill="1" applyBorder="1"/>
    <xf numFmtId="4" fontId="22" fillId="0" borderId="18" xfId="0" applyNumberFormat="1" applyFont="1" applyBorder="1"/>
    <xf numFmtId="4" fontId="22" fillId="6" borderId="29" xfId="0" applyNumberFormat="1" applyFont="1" applyFill="1" applyBorder="1"/>
    <xf numFmtId="0" fontId="10" fillId="0" borderId="4" xfId="3" applyFont="1" applyBorder="1"/>
    <xf numFmtId="3" fontId="3" fillId="0" borderId="0" xfId="0" applyNumberFormat="1" applyFont="1" applyFill="1" applyBorder="1" applyAlignment="1"/>
    <xf numFmtId="2" fontId="3" fillId="0" borderId="0" xfId="0" applyNumberFormat="1" applyFont="1" applyFill="1" applyBorder="1" applyAlignment="1">
      <alignment horizontal="right"/>
    </xf>
    <xf numFmtId="10" fontId="0" fillId="0" borderId="0" xfId="0" applyNumberFormat="1"/>
    <xf numFmtId="4" fontId="30" fillId="0" borderId="0" xfId="5" applyNumberFormat="1" applyFont="1"/>
    <xf numFmtId="4" fontId="26" fillId="6" borderId="18" xfId="0" applyNumberFormat="1" applyFont="1" applyFill="1" applyBorder="1"/>
    <xf numFmtId="4" fontId="27" fillId="0" borderId="18" xfId="0" applyNumberFormat="1" applyFont="1" applyBorder="1"/>
    <xf numFmtId="4" fontId="27" fillId="0" borderId="18" xfId="0" applyNumberFormat="1" applyFont="1" applyFill="1" applyBorder="1"/>
    <xf numFmtId="0" fontId="3" fillId="2" borderId="17" xfId="4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/>
    </xf>
    <xf numFmtId="0" fontId="12" fillId="6" borderId="4" xfId="0" applyFont="1" applyFill="1" applyBorder="1"/>
    <xf numFmtId="3" fontId="12" fillId="6" borderId="4" xfId="0" applyNumberFormat="1" applyFont="1" applyFill="1" applyBorder="1"/>
    <xf numFmtId="0" fontId="8" fillId="6" borderId="3" xfId="0" applyFont="1" applyFill="1" applyBorder="1" applyAlignment="1">
      <alignment horizontal="center"/>
    </xf>
    <xf numFmtId="0" fontId="8" fillId="6" borderId="4" xfId="0" applyFont="1" applyFill="1" applyBorder="1" applyAlignment="1">
      <alignment wrapText="1"/>
    </xf>
    <xf numFmtId="3" fontId="8" fillId="6" borderId="8" xfId="0" applyNumberFormat="1" applyFont="1" applyFill="1" applyBorder="1"/>
    <xf numFmtId="0" fontId="8" fillId="6" borderId="4" xfId="0" applyFont="1" applyFill="1" applyBorder="1"/>
    <xf numFmtId="0" fontId="8" fillId="6" borderId="4" xfId="1" applyNumberFormat="1" applyFont="1" applyFill="1" applyBorder="1" applyAlignment="1">
      <alignment wrapText="1"/>
    </xf>
    <xf numFmtId="3" fontId="8" fillId="6" borderId="4" xfId="0" applyNumberFormat="1" applyFont="1" applyFill="1" applyBorder="1"/>
    <xf numFmtId="0" fontId="12" fillId="6" borderId="4" xfId="0" applyFont="1" applyFill="1" applyBorder="1" applyAlignment="1">
      <alignment wrapText="1"/>
    </xf>
    <xf numFmtId="0" fontId="3" fillId="6" borderId="3" xfId="0" applyFont="1" applyFill="1" applyBorder="1" applyAlignment="1">
      <alignment horizontal="center"/>
    </xf>
    <xf numFmtId="0" fontId="3" fillId="6" borderId="4" xfId="0" applyFont="1" applyFill="1" applyBorder="1" applyAlignment="1">
      <alignment wrapText="1"/>
    </xf>
    <xf numFmtId="3" fontId="3" fillId="6" borderId="8" xfId="0" applyNumberFormat="1" applyFont="1" applyFill="1" applyBorder="1"/>
    <xf numFmtId="0" fontId="16" fillId="6" borderId="3" xfId="0" applyFont="1" applyFill="1" applyBorder="1" applyAlignment="1">
      <alignment horizontal="center"/>
    </xf>
    <xf numFmtId="3" fontId="12" fillId="6" borderId="8" xfId="0" applyNumberFormat="1" applyFont="1" applyFill="1" applyBorder="1"/>
    <xf numFmtId="3" fontId="12" fillId="6" borderId="30" xfId="0" applyNumberFormat="1" applyFont="1" applyFill="1" applyBorder="1"/>
    <xf numFmtId="3" fontId="10" fillId="0" borderId="4" xfId="4" applyNumberFormat="1" applyFill="1" applyBorder="1"/>
    <xf numFmtId="3" fontId="3" fillId="0" borderId="4" xfId="4" applyNumberFormat="1" applyFont="1" applyFill="1" applyBorder="1"/>
    <xf numFmtId="3" fontId="10" fillId="0" borderId="10" xfId="4" applyNumberFormat="1" applyFill="1" applyBorder="1"/>
    <xf numFmtId="3" fontId="4" fillId="0" borderId="4" xfId="4" applyNumberFormat="1" applyFont="1" applyFill="1" applyBorder="1"/>
    <xf numFmtId="3" fontId="10" fillId="0" borderId="4" xfId="4" applyNumberFormat="1" applyFont="1" applyFill="1" applyBorder="1"/>
    <xf numFmtId="3" fontId="3" fillId="0" borderId="10" xfId="4" applyNumberFormat="1" applyFont="1" applyFill="1" applyBorder="1"/>
    <xf numFmtId="3" fontId="0" fillId="0" borderId="0" xfId="0" applyNumberFormat="1" applyFill="1"/>
    <xf numFmtId="3" fontId="4" fillId="0" borderId="4" xfId="3" applyNumberFormat="1" applyFont="1" applyFill="1" applyBorder="1" applyAlignment="1">
      <alignment horizontal="right"/>
    </xf>
    <xf numFmtId="4" fontId="26" fillId="0" borderId="18" xfId="0" applyNumberFormat="1" applyFont="1" applyBorder="1"/>
    <xf numFmtId="0" fontId="2" fillId="0" borderId="3" xfId="0" applyFont="1" applyBorder="1" applyAlignment="1">
      <alignment horizontal="right"/>
    </xf>
    <xf numFmtId="3" fontId="2" fillId="0" borderId="8" xfId="0" applyNumberFormat="1" applyFont="1" applyBorder="1"/>
    <xf numFmtId="4" fontId="2" fillId="0" borderId="18" xfId="0" applyNumberFormat="1" applyFont="1" applyBorder="1"/>
    <xf numFmtId="3" fontId="2" fillId="0" borderId="8" xfId="0" applyNumberFormat="1" applyFont="1" applyFill="1" applyBorder="1"/>
    <xf numFmtId="4" fontId="2" fillId="0" borderId="31" xfId="0" applyNumberFormat="1" applyFont="1" applyBorder="1"/>
    <xf numFmtId="3" fontId="3" fillId="7" borderId="4" xfId="4" applyNumberFormat="1" applyFont="1" applyFill="1" applyBorder="1"/>
    <xf numFmtId="3" fontId="10" fillId="7" borderId="4" xfId="4" applyNumberFormat="1" applyFill="1" applyBorder="1"/>
    <xf numFmtId="3" fontId="4" fillId="7" borderId="4" xfId="4" applyNumberFormat="1" applyFont="1" applyFill="1" applyBorder="1"/>
    <xf numFmtId="0" fontId="28" fillId="0" borderId="4" xfId="3" applyFont="1" applyBorder="1"/>
    <xf numFmtId="3" fontId="28" fillId="0" borderId="4" xfId="3" applyNumberFormat="1" applyFont="1" applyBorder="1"/>
    <xf numFmtId="4" fontId="28" fillId="0" borderId="20" xfId="3" applyNumberFormat="1" applyFont="1" applyBorder="1" applyAlignment="1">
      <alignment horizontal="right"/>
    </xf>
    <xf numFmtId="0" fontId="28" fillId="0" borderId="4" xfId="3" applyFont="1" applyFill="1" applyBorder="1"/>
    <xf numFmtId="3" fontId="28" fillId="0" borderId="4" xfId="3" applyNumberFormat="1" applyFont="1" applyFill="1" applyBorder="1"/>
    <xf numFmtId="3" fontId="28" fillId="0" borderId="4" xfId="3" applyNumberFormat="1" applyFont="1" applyFill="1" applyBorder="1" applyProtection="1">
      <protection locked="0"/>
    </xf>
    <xf numFmtId="0" fontId="28" fillId="0" borderId="4" xfId="0" applyFont="1" applyBorder="1"/>
    <xf numFmtId="0" fontId="28" fillId="0" borderId="12" xfId="3" applyFont="1" applyBorder="1"/>
    <xf numFmtId="0" fontId="28" fillId="0" borderId="4" xfId="0" applyFont="1" applyFill="1" applyBorder="1" applyAlignment="1">
      <alignment wrapText="1"/>
    </xf>
    <xf numFmtId="0" fontId="28" fillId="0" borderId="4" xfId="0" applyFont="1" applyFill="1" applyBorder="1"/>
    <xf numFmtId="0" fontId="28" fillId="0" borderId="4" xfId="3" applyFont="1" applyFill="1" applyBorder="1" applyAlignment="1">
      <alignment wrapText="1"/>
    </xf>
    <xf numFmtId="0" fontId="28" fillId="0" borderId="4" xfId="0" applyFont="1" applyBorder="1" applyAlignment="1">
      <alignment wrapText="1"/>
    </xf>
    <xf numFmtId="0" fontId="2" fillId="0" borderId="4" xfId="0" applyFont="1" applyBorder="1"/>
    <xf numFmtId="0" fontId="2" fillId="0" borderId="4" xfId="0" applyFont="1" applyFill="1" applyBorder="1"/>
    <xf numFmtId="0" fontId="4" fillId="0" borderId="3" xfId="3" applyFont="1" applyBorder="1" applyAlignment="1">
      <alignment horizontal="center" vertical="top"/>
    </xf>
    <xf numFmtId="0" fontId="2" fillId="0" borderId="3" xfId="3" applyBorder="1" applyAlignment="1">
      <alignment horizontal="center" vertical="top"/>
    </xf>
    <xf numFmtId="0" fontId="28" fillId="0" borderId="3" xfId="3" applyFont="1" applyBorder="1" applyAlignment="1">
      <alignment horizontal="right" vertical="top"/>
    </xf>
    <xf numFmtId="0" fontId="2" fillId="0" borderId="3" xfId="3" applyFill="1" applyBorder="1" applyAlignment="1">
      <alignment horizontal="center" vertical="top"/>
    </xf>
    <xf numFmtId="0" fontId="28" fillId="0" borderId="3" xfId="3" applyFont="1" applyFill="1" applyBorder="1" applyAlignment="1">
      <alignment horizontal="right" vertical="top"/>
    </xf>
    <xf numFmtId="49" fontId="28" fillId="0" borderId="3" xfId="0" applyNumberFormat="1" applyFont="1" applyBorder="1" applyAlignment="1">
      <alignment horizontal="right" vertical="top"/>
    </xf>
    <xf numFmtId="49" fontId="28" fillId="0" borderId="3" xfId="0" applyNumberFormat="1" applyFont="1" applyFill="1" applyBorder="1" applyAlignment="1">
      <alignment horizontal="right" vertical="top"/>
    </xf>
    <xf numFmtId="0" fontId="3" fillId="0" borderId="3" xfId="3" applyFont="1" applyBorder="1" applyAlignment="1">
      <alignment vertical="top"/>
    </xf>
    <xf numFmtId="49" fontId="4" fillId="0" borderId="3" xfId="0" applyNumberFormat="1" applyFont="1" applyBorder="1" applyAlignment="1">
      <alignment horizontal="center" vertical="top"/>
    </xf>
    <xf numFmtId="49" fontId="2" fillId="0" borderId="3" xfId="3" applyNumberFormat="1" applyFont="1" applyBorder="1" applyAlignment="1">
      <alignment horizontal="center" vertical="top"/>
    </xf>
    <xf numFmtId="0" fontId="2" fillId="0" borderId="3" xfId="3" applyFont="1" applyBorder="1"/>
    <xf numFmtId="0" fontId="2" fillId="0" borderId="3" xfId="3" applyFont="1" applyBorder="1" applyAlignment="1">
      <alignment horizontal="center" vertical="top"/>
    </xf>
    <xf numFmtId="49" fontId="2" fillId="0" borderId="3" xfId="0" applyNumberFormat="1" applyFont="1" applyFill="1" applyBorder="1" applyAlignment="1">
      <alignment horizontal="center" vertical="top"/>
    </xf>
    <xf numFmtId="0" fontId="2" fillId="0" borderId="4" xfId="3" applyFont="1" applyFill="1" applyBorder="1" applyAlignment="1">
      <alignment wrapText="1"/>
    </xf>
    <xf numFmtId="49" fontId="2" fillId="0" borderId="3" xfId="0" applyNumberFormat="1" applyFont="1" applyBorder="1" applyAlignment="1">
      <alignment horizontal="center" vertical="top"/>
    </xf>
    <xf numFmtId="3" fontId="2" fillId="0" borderId="4" xfId="3" applyNumberFormat="1" applyFont="1" applyBorder="1"/>
    <xf numFmtId="0" fontId="3" fillId="0" borderId="14" xfId="3" applyFont="1" applyBorder="1" applyAlignment="1">
      <alignment horizontal="right"/>
    </xf>
    <xf numFmtId="0" fontId="2" fillId="0" borderId="10" xfId="0" applyFont="1" applyBorder="1" applyAlignment="1">
      <alignment wrapText="1"/>
    </xf>
    <xf numFmtId="0" fontId="18" fillId="0" borderId="27" xfId="0" applyFont="1" applyFill="1" applyBorder="1" applyAlignment="1">
      <alignment horizontal="center" vertical="center"/>
    </xf>
    <xf numFmtId="0" fontId="0" fillId="0" borderId="0" xfId="0" applyFill="1" applyAlignment="1">
      <alignment wrapText="1"/>
    </xf>
    <xf numFmtId="3" fontId="12" fillId="0" borderId="0" xfId="0" applyNumberFormat="1" applyFont="1" applyFill="1"/>
    <xf numFmtId="3" fontId="8" fillId="0" borderId="0" xfId="0" applyNumberFormat="1" applyFont="1" applyFill="1"/>
    <xf numFmtId="4" fontId="8" fillId="0" borderId="0" xfId="0" applyNumberFormat="1" applyFont="1" applyFill="1"/>
    <xf numFmtId="0" fontId="3" fillId="0" borderId="0" xfId="0" applyFont="1" applyFill="1" applyBorder="1"/>
    <xf numFmtId="3" fontId="0" fillId="0" borderId="0" xfId="0" applyNumberFormat="1" applyFill="1" applyBorder="1"/>
    <xf numFmtId="0" fontId="10" fillId="0" borderId="0" xfId="0" applyFont="1" applyFill="1"/>
    <xf numFmtId="0" fontId="2" fillId="0" borderId="0" xfId="0" applyFont="1" applyFill="1"/>
    <xf numFmtId="0" fontId="8" fillId="0" borderId="4" xfId="0" applyFont="1" applyBorder="1" applyAlignment="1">
      <alignment horizontal="center"/>
    </xf>
    <xf numFmtId="4" fontId="8" fillId="0" borderId="20" xfId="3" applyNumberFormat="1" applyFont="1" applyBorder="1" applyAlignment="1">
      <alignment horizontal="right"/>
    </xf>
    <xf numFmtId="0" fontId="2" fillId="0" borderId="4" xfId="0" applyFont="1" applyFill="1" applyBorder="1" applyAlignment="1">
      <alignment wrapText="1"/>
    </xf>
    <xf numFmtId="3" fontId="0" fillId="0" borderId="4" xfId="0" applyNumberFormat="1" applyFill="1" applyBorder="1"/>
    <xf numFmtId="3" fontId="2" fillId="0" borderId="10" xfId="3" applyNumberFormat="1" applyBorder="1"/>
    <xf numFmtId="3" fontId="3" fillId="3" borderId="10" xfId="3" applyNumberFormat="1" applyFont="1" applyFill="1" applyBorder="1"/>
    <xf numFmtId="3" fontId="4" fillId="0" borderId="10" xfId="3" applyNumberFormat="1" applyFont="1" applyBorder="1"/>
    <xf numFmtId="3" fontId="2" fillId="0" borderId="10" xfId="3" applyNumberFormat="1" applyFill="1" applyBorder="1"/>
    <xf numFmtId="3" fontId="3" fillId="0" borderId="10" xfId="3" applyNumberFormat="1" applyFont="1" applyFill="1" applyBorder="1" applyAlignment="1">
      <alignment horizontal="right"/>
    </xf>
    <xf numFmtId="3" fontId="3" fillId="0" borderId="10" xfId="3" applyNumberFormat="1" applyFont="1" applyBorder="1"/>
    <xf numFmtId="3" fontId="4" fillId="0" borderId="10" xfId="3" applyNumberFormat="1" applyFont="1" applyFill="1" applyBorder="1"/>
    <xf numFmtId="3" fontId="8" fillId="0" borderId="4" xfId="3" applyNumberFormat="1" applyFont="1" applyFill="1" applyBorder="1"/>
    <xf numFmtId="3" fontId="4" fillId="0" borderId="4" xfId="3" applyNumberFormat="1" applyFont="1" applyFill="1" applyBorder="1" applyAlignment="1">
      <alignment vertical="center"/>
    </xf>
    <xf numFmtId="3" fontId="2" fillId="0" borderId="4" xfId="3" applyNumberFormat="1" applyFont="1" applyBorder="1"/>
    <xf numFmtId="3" fontId="2" fillId="0" borderId="4" xfId="3" applyNumberFormat="1" applyFont="1" applyFill="1" applyBorder="1"/>
    <xf numFmtId="3" fontId="3" fillId="0" borderId="4" xfId="3" applyNumberFormat="1" applyFont="1" applyBorder="1" applyAlignment="1">
      <alignment horizontal="right"/>
    </xf>
    <xf numFmtId="3" fontId="2" fillId="0" borderId="4" xfId="3" applyNumberFormat="1" applyBorder="1"/>
    <xf numFmtId="3" fontId="2" fillId="0" borderId="4" xfId="3" applyNumberFormat="1" applyFill="1" applyBorder="1"/>
    <xf numFmtId="0" fontId="3" fillId="0" borderId="0" xfId="3" applyFont="1"/>
    <xf numFmtId="0" fontId="3" fillId="0" borderId="0" xfId="3" applyFont="1" applyAlignment="1">
      <alignment horizontal="center"/>
    </xf>
    <xf numFmtId="0" fontId="3" fillId="0" borderId="4" xfId="3" applyFont="1" applyBorder="1" applyAlignment="1">
      <alignment horizontal="center"/>
    </xf>
    <xf numFmtId="0" fontId="2" fillId="0" borderId="0" xfId="3"/>
    <xf numFmtId="0" fontId="2" fillId="0" borderId="3" xfId="3" applyBorder="1"/>
    <xf numFmtId="0" fontId="2" fillId="0" borderId="4" xfId="3" applyBorder="1"/>
    <xf numFmtId="0" fontId="3" fillId="0" borderId="3" xfId="3" applyFont="1" applyBorder="1"/>
    <xf numFmtId="3" fontId="3" fillId="0" borderId="4" xfId="3" applyNumberFormat="1" applyFont="1" applyBorder="1"/>
    <xf numFmtId="0" fontId="2" fillId="0" borderId="0" xfId="3" applyAlignment="1">
      <alignment horizontal="center"/>
    </xf>
    <xf numFmtId="0" fontId="2" fillId="0" borderId="4" xfId="3" applyFont="1" applyBorder="1"/>
    <xf numFmtId="3" fontId="4" fillId="0" borderId="4" xfId="3" applyNumberFormat="1" applyFont="1" applyBorder="1"/>
    <xf numFmtId="0" fontId="2" fillId="0" borderId="0" xfId="3" applyFont="1" applyAlignment="1">
      <alignment horizontal="left"/>
    </xf>
    <xf numFmtId="3" fontId="3" fillId="3" borderId="4" xfId="3" applyNumberFormat="1" applyFont="1" applyFill="1" applyBorder="1"/>
    <xf numFmtId="0" fontId="6" fillId="0" borderId="0" xfId="3" applyFont="1" applyAlignment="1">
      <alignment horizontal="left"/>
    </xf>
    <xf numFmtId="3" fontId="3" fillId="0" borderId="4" xfId="3" applyNumberFormat="1" applyFont="1" applyFill="1" applyBorder="1"/>
    <xf numFmtId="3" fontId="4" fillId="0" borderId="4" xfId="3" applyNumberFormat="1" applyFont="1" applyFill="1" applyBorder="1"/>
    <xf numFmtId="3" fontId="3" fillId="0" borderId="4" xfId="3" applyNumberFormat="1" applyFont="1" applyFill="1" applyBorder="1" applyAlignment="1">
      <alignment horizontal="right"/>
    </xf>
    <xf numFmtId="0" fontId="3" fillId="0" borderId="10" xfId="3" applyFont="1" applyBorder="1" applyAlignment="1">
      <alignment horizontal="center"/>
    </xf>
    <xf numFmtId="0" fontId="28" fillId="0" borderId="4" xfId="3" applyFont="1" applyBorder="1"/>
    <xf numFmtId="3" fontId="28" fillId="0" borderId="4" xfId="3" applyNumberFormat="1" applyFont="1" applyBorder="1"/>
    <xf numFmtId="4" fontId="28" fillId="0" borderId="20" xfId="3" applyNumberFormat="1" applyFont="1" applyBorder="1" applyAlignment="1">
      <alignment horizontal="right"/>
    </xf>
    <xf numFmtId="3" fontId="28" fillId="0" borderId="4" xfId="3" applyNumberFormat="1" applyFont="1" applyFill="1" applyBorder="1"/>
    <xf numFmtId="3" fontId="28" fillId="0" borderId="4" xfId="3" applyNumberFormat="1" applyFont="1" applyFill="1" applyBorder="1" applyProtection="1">
      <protection locked="0"/>
    </xf>
    <xf numFmtId="0" fontId="2" fillId="0" borderId="14" xfId="3" applyBorder="1" applyAlignment="1">
      <alignment horizontal="center"/>
    </xf>
    <xf numFmtId="0" fontId="31" fillId="0" borderId="4" xfId="3" applyFont="1" applyBorder="1" applyAlignment="1">
      <alignment horizontal="center"/>
    </xf>
    <xf numFmtId="0" fontId="33" fillId="0" borderId="4" xfId="3" applyFont="1" applyBorder="1" applyAlignment="1">
      <alignment horizontal="center"/>
    </xf>
    <xf numFmtId="0" fontId="33" fillId="0" borderId="6" xfId="3" applyFont="1" applyBorder="1" applyAlignment="1">
      <alignment horizontal="center"/>
    </xf>
    <xf numFmtId="0" fontId="33" fillId="0" borderId="0" xfId="3" applyFont="1" applyAlignment="1">
      <alignment horizontal="center"/>
    </xf>
    <xf numFmtId="0" fontId="33" fillId="0" borderId="4" xfId="3" applyFont="1" applyFill="1" applyBorder="1" applyAlignment="1">
      <alignment horizontal="center"/>
    </xf>
    <xf numFmtId="0" fontId="33" fillId="0" borderId="4" xfId="3" applyFont="1" applyBorder="1" applyAlignment="1">
      <alignment horizontal="center" vertical="center"/>
    </xf>
    <xf numFmtId="0" fontId="33" fillId="0" borderId="12" xfId="3" applyFont="1" applyFill="1" applyBorder="1" applyAlignment="1">
      <alignment horizontal="center"/>
    </xf>
    <xf numFmtId="0" fontId="33" fillId="0" borderId="11" xfId="3" applyFont="1" applyBorder="1" applyAlignment="1">
      <alignment horizontal="center"/>
    </xf>
    <xf numFmtId="0" fontId="33" fillId="0" borderId="10" xfId="3" applyFont="1" applyBorder="1" applyAlignment="1">
      <alignment horizontal="center"/>
    </xf>
    <xf numFmtId="0" fontId="33" fillId="0" borderId="12" xfId="3" applyFont="1" applyBorder="1" applyAlignment="1">
      <alignment horizontal="center"/>
    </xf>
    <xf numFmtId="0" fontId="31" fillId="0" borderId="16" xfId="3" applyFont="1" applyBorder="1" applyAlignment="1">
      <alignment horizontal="center"/>
    </xf>
    <xf numFmtId="0" fontId="31" fillId="0" borderId="11" xfId="3" applyFont="1" applyBorder="1" applyAlignment="1">
      <alignment horizontal="center"/>
    </xf>
    <xf numFmtId="0" fontId="18" fillId="0" borderId="10" xfId="3" applyFont="1" applyBorder="1" applyAlignment="1">
      <alignment horizontal="center"/>
    </xf>
    <xf numFmtId="0" fontId="18" fillId="0" borderId="10" xfId="3" applyFont="1" applyBorder="1" applyAlignment="1">
      <alignment horizontal="center" vertical="top"/>
    </xf>
    <xf numFmtId="0" fontId="17" fillId="0" borderId="10" xfId="3" applyFont="1" applyBorder="1" applyAlignment="1">
      <alignment horizontal="center" vertical="top"/>
    </xf>
    <xf numFmtId="0" fontId="34" fillId="0" borderId="10" xfId="3" applyFont="1" applyBorder="1" applyAlignment="1">
      <alignment horizontal="center" vertical="top"/>
    </xf>
    <xf numFmtId="0" fontId="17" fillId="0" borderId="10" xfId="3" applyFont="1" applyFill="1" applyBorder="1" applyAlignment="1">
      <alignment horizontal="center" vertical="top"/>
    </xf>
    <xf numFmtId="0" fontId="34" fillId="0" borderId="10" xfId="3" applyFont="1" applyFill="1" applyBorder="1" applyAlignment="1">
      <alignment horizontal="center" vertical="top"/>
    </xf>
    <xf numFmtId="49" fontId="34" fillId="0" borderId="10" xfId="0" applyNumberFormat="1" applyFont="1" applyBorder="1" applyAlignment="1">
      <alignment horizontal="center" vertical="top"/>
    </xf>
    <xf numFmtId="0" fontId="34" fillId="0" borderId="16" xfId="3" applyFont="1" applyBorder="1" applyAlignment="1">
      <alignment horizontal="center" vertical="top"/>
    </xf>
    <xf numFmtId="49" fontId="34" fillId="0" borderId="10" xfId="0" applyNumberFormat="1" applyFont="1" applyFill="1" applyBorder="1" applyAlignment="1">
      <alignment horizontal="center" vertical="top"/>
    </xf>
    <xf numFmtId="49" fontId="17" fillId="0" borderId="10" xfId="0" applyNumberFormat="1" applyFont="1" applyFill="1" applyBorder="1" applyAlignment="1">
      <alignment horizontal="center" vertical="top"/>
    </xf>
    <xf numFmtId="49" fontId="17" fillId="0" borderId="10" xfId="0" applyNumberFormat="1" applyFont="1" applyBorder="1" applyAlignment="1">
      <alignment horizontal="center" vertical="top"/>
    </xf>
    <xf numFmtId="49" fontId="17" fillId="0" borderId="10" xfId="3" applyNumberFormat="1" applyFont="1" applyBorder="1" applyAlignment="1">
      <alignment horizontal="center" vertical="top"/>
    </xf>
    <xf numFmtId="0" fontId="17" fillId="0" borderId="10" xfId="3" applyFont="1" applyBorder="1" applyAlignment="1">
      <alignment horizontal="center"/>
    </xf>
    <xf numFmtId="0" fontId="17" fillId="0" borderId="35" xfId="3" applyFont="1" applyBorder="1" applyAlignment="1">
      <alignment horizontal="center"/>
    </xf>
    <xf numFmtId="0" fontId="18" fillId="0" borderId="4" xfId="3" applyFont="1" applyBorder="1" applyAlignment="1">
      <alignment horizontal="center"/>
    </xf>
    <xf numFmtId="0" fontId="17" fillId="0" borderId="4" xfId="3" applyFont="1" applyBorder="1" applyAlignment="1">
      <alignment horizontal="center"/>
    </xf>
    <xf numFmtId="0" fontId="17" fillId="0" borderId="6" xfId="3" applyFont="1" applyBorder="1" applyAlignment="1">
      <alignment horizontal="center"/>
    </xf>
    <xf numFmtId="0" fontId="17" fillId="0" borderId="0" xfId="3" applyFont="1" applyAlignment="1">
      <alignment horizontal="center"/>
    </xf>
    <xf numFmtId="0" fontId="17" fillId="0" borderId="4" xfId="3" applyFont="1" applyFill="1" applyBorder="1" applyAlignment="1">
      <alignment horizontal="center"/>
    </xf>
    <xf numFmtId="0" fontId="17" fillId="0" borderId="4" xfId="3" applyFont="1" applyBorder="1" applyAlignment="1">
      <alignment horizontal="center" vertical="center"/>
    </xf>
    <xf numFmtId="0" fontId="17" fillId="0" borderId="12" xfId="3" applyFont="1" applyFill="1" applyBorder="1" applyAlignment="1">
      <alignment horizontal="center"/>
    </xf>
    <xf numFmtId="0" fontId="17" fillId="0" borderId="11" xfId="3" applyFont="1" applyBorder="1" applyAlignment="1">
      <alignment horizontal="center"/>
    </xf>
    <xf numFmtId="0" fontId="17" fillId="0" borderId="12" xfId="3" applyFont="1" applyBorder="1" applyAlignment="1">
      <alignment horizontal="center"/>
    </xf>
    <xf numFmtId="49" fontId="17" fillId="0" borderId="10" xfId="0" applyNumberFormat="1" applyFont="1" applyBorder="1" applyAlignment="1">
      <alignment horizontal="center"/>
    </xf>
    <xf numFmtId="49" fontId="17" fillId="0" borderId="16" xfId="0" applyNumberFormat="1" applyFont="1" applyBorder="1" applyAlignment="1">
      <alignment horizontal="center"/>
    </xf>
    <xf numFmtId="0" fontId="18" fillId="0" borderId="16" xfId="3" applyFont="1" applyBorder="1" applyAlignment="1">
      <alignment horizontal="center"/>
    </xf>
    <xf numFmtId="0" fontId="18" fillId="0" borderId="11" xfId="3" applyFont="1" applyBorder="1" applyAlignment="1">
      <alignment horizontal="center"/>
    </xf>
    <xf numFmtId="164" fontId="21" fillId="0" borderId="14" xfId="0" applyNumberFormat="1" applyFont="1" applyBorder="1" applyAlignment="1"/>
    <xf numFmtId="4" fontId="32" fillId="0" borderId="20" xfId="3" applyNumberFormat="1" applyFont="1" applyBorder="1" applyAlignment="1">
      <alignment horizontal="center"/>
    </xf>
    <xf numFmtId="4" fontId="32" fillId="0" borderId="20" xfId="3" applyNumberFormat="1" applyFont="1" applyFill="1" applyBorder="1"/>
    <xf numFmtId="4" fontId="21" fillId="0" borderId="20" xfId="3" applyNumberFormat="1" applyFont="1" applyFill="1" applyBorder="1"/>
    <xf numFmtId="4" fontId="21" fillId="0" borderId="20" xfId="3" applyNumberFormat="1" applyFont="1" applyBorder="1"/>
    <xf numFmtId="4" fontId="21" fillId="0" borderId="21" xfId="3" applyNumberFormat="1" applyFont="1" applyBorder="1"/>
    <xf numFmtId="4" fontId="21" fillId="0" borderId="0" xfId="3" applyNumberFormat="1" applyFont="1"/>
    <xf numFmtId="4" fontId="32" fillId="0" borderId="21" xfId="3" applyNumberFormat="1" applyFont="1" applyBorder="1"/>
    <xf numFmtId="4" fontId="21" fillId="0" borderId="15" xfId="3" applyNumberFormat="1" applyFont="1" applyBorder="1"/>
    <xf numFmtId="4" fontId="32" fillId="0" borderId="20" xfId="3" applyNumberFormat="1" applyFont="1" applyBorder="1"/>
    <xf numFmtId="49" fontId="33" fillId="0" borderId="4" xfId="0" applyNumberFormat="1" applyFont="1" applyBorder="1" applyAlignment="1">
      <alignment horizontal="center"/>
    </xf>
    <xf numFmtId="49" fontId="33" fillId="0" borderId="12" xfId="0" applyNumberFormat="1" applyFont="1" applyBorder="1" applyAlignment="1">
      <alignment horizontal="center"/>
    </xf>
    <xf numFmtId="0" fontId="1" fillId="0" borderId="4" xfId="3" applyFont="1" applyBorder="1"/>
    <xf numFmtId="3" fontId="4" fillId="0" borderId="10" xfId="12" applyNumberFormat="1" applyFont="1" applyBorder="1"/>
    <xf numFmtId="3" fontId="4" fillId="0" borderId="10" xfId="12" applyNumberFormat="1" applyFont="1" applyFill="1" applyBorder="1"/>
    <xf numFmtId="3" fontId="8" fillId="0" borderId="4" xfId="12" applyNumberFormat="1" applyFont="1" applyFill="1" applyBorder="1"/>
    <xf numFmtId="3" fontId="1" fillId="0" borderId="4" xfId="12" applyNumberFormat="1" applyFont="1" applyBorder="1"/>
    <xf numFmtId="3" fontId="4" fillId="7" borderId="4" xfId="12" applyNumberFormat="1" applyFont="1" applyFill="1" applyBorder="1"/>
    <xf numFmtId="3" fontId="1" fillId="0" borderId="4" xfId="12" applyNumberFormat="1" applyFont="1" applyFill="1" applyBorder="1"/>
    <xf numFmtId="3" fontId="1" fillId="0" borderId="4" xfId="12" applyNumberFormat="1" applyBorder="1"/>
    <xf numFmtId="3" fontId="3" fillId="0" borderId="4" xfId="12" applyNumberFormat="1" applyFont="1" applyBorder="1"/>
    <xf numFmtId="3" fontId="4" fillId="0" borderId="4" xfId="12" applyNumberFormat="1" applyFont="1" applyBorder="1"/>
    <xf numFmtId="3" fontId="1" fillId="0" borderId="4" xfId="12" applyNumberFormat="1" applyFill="1" applyBorder="1"/>
    <xf numFmtId="3" fontId="4" fillId="0" borderId="4" xfId="12" applyNumberFormat="1" applyFont="1" applyFill="1" applyBorder="1"/>
    <xf numFmtId="0" fontId="23" fillId="0" borderId="4" xfId="11" applyFont="1" applyFill="1" applyBorder="1" applyAlignment="1">
      <alignment wrapText="1"/>
    </xf>
    <xf numFmtId="164" fontId="18" fillId="0" borderId="14" xfId="3" applyNumberFormat="1" applyFont="1" applyBorder="1" applyAlignment="1"/>
    <xf numFmtId="164" fontId="3" fillId="0" borderId="0" xfId="3" applyNumberFormat="1" applyFont="1"/>
    <xf numFmtId="0" fontId="5" fillId="0" borderId="0" xfId="3" applyFont="1" applyBorder="1" applyAlignment="1">
      <alignment horizontal="left"/>
    </xf>
    <xf numFmtId="0" fontId="7" fillId="0" borderId="0" xfId="3" applyFont="1" applyAlignment="1">
      <alignment horizontal="left"/>
    </xf>
    <xf numFmtId="0" fontId="3" fillId="0" borderId="12" xfId="3" applyFont="1" applyFill="1" applyBorder="1" applyAlignment="1">
      <alignment horizontal="center" vertical="center" wrapText="1"/>
    </xf>
    <xf numFmtId="0" fontId="8" fillId="0" borderId="12" xfId="3" applyFont="1" applyFill="1" applyBorder="1" applyAlignment="1">
      <alignment horizontal="center" vertical="center" wrapText="1"/>
    </xf>
    <xf numFmtId="0" fontId="3" fillId="0" borderId="25" xfId="3" applyFont="1" applyBorder="1" applyAlignment="1">
      <alignment horizontal="center" vertical="center" textRotation="90" wrapText="1"/>
    </xf>
    <xf numFmtId="0" fontId="1" fillId="0" borderId="4" xfId="3" applyFont="1" applyFill="1" applyBorder="1" applyAlignment="1">
      <alignment wrapText="1"/>
    </xf>
    <xf numFmtId="0" fontId="1" fillId="3" borderId="4" xfId="3" applyFont="1" applyFill="1" applyBorder="1" applyAlignment="1">
      <alignment wrapText="1"/>
    </xf>
    <xf numFmtId="0" fontId="2" fillId="0" borderId="0" xfId="3" applyFill="1" applyAlignment="1">
      <alignment vertical="center"/>
    </xf>
    <xf numFmtId="0" fontId="9" fillId="6" borderId="42" xfId="3" applyFont="1" applyFill="1" applyBorder="1" applyAlignment="1">
      <alignment horizontal="left" vertical="center"/>
    </xf>
    <xf numFmtId="3" fontId="14" fillId="6" borderId="42" xfId="3" applyNumberFormat="1" applyFont="1" applyFill="1" applyBorder="1" applyAlignment="1">
      <alignment vertical="center"/>
    </xf>
    <xf numFmtId="0" fontId="14" fillId="6" borderId="42" xfId="3" applyFont="1" applyFill="1" applyBorder="1" applyAlignment="1">
      <alignment vertical="center"/>
    </xf>
    <xf numFmtId="4" fontId="9" fillId="6" borderId="43" xfId="3" applyNumberFormat="1" applyFont="1" applyFill="1" applyBorder="1" applyAlignment="1">
      <alignment horizontal="left" vertical="center"/>
    </xf>
    <xf numFmtId="4" fontId="14" fillId="6" borderId="43" xfId="3" applyNumberFormat="1" applyFont="1" applyFill="1" applyBorder="1" applyAlignment="1">
      <alignment vertical="center"/>
    </xf>
    <xf numFmtId="3" fontId="4" fillId="0" borderId="10" xfId="12" applyNumberFormat="1" applyFont="1" applyFill="1" applyBorder="1" applyAlignment="1">
      <alignment vertical="center"/>
    </xf>
    <xf numFmtId="0" fontId="12" fillId="6" borderId="12" xfId="3" applyFont="1" applyFill="1" applyBorder="1" applyAlignment="1">
      <alignment horizontal="center" vertical="center" wrapText="1"/>
    </xf>
    <xf numFmtId="3" fontId="12" fillId="6" borderId="4" xfId="4" applyNumberFormat="1" applyFont="1" applyFill="1" applyBorder="1"/>
    <xf numFmtId="3" fontId="6" fillId="6" borderId="4" xfId="4" applyNumberFormat="1" applyFont="1" applyFill="1" applyBorder="1"/>
    <xf numFmtId="3" fontId="6" fillId="6" borderId="4" xfId="3" applyNumberFormat="1" applyFont="1" applyFill="1" applyBorder="1"/>
    <xf numFmtId="3" fontId="12" fillId="6" borderId="4" xfId="3" applyNumberFormat="1" applyFont="1" applyFill="1" applyBorder="1"/>
    <xf numFmtId="3" fontId="6" fillId="6" borderId="4" xfId="12" applyNumberFormat="1" applyFont="1" applyFill="1" applyBorder="1"/>
    <xf numFmtId="3" fontId="12" fillId="6" borderId="4" xfId="3" applyNumberFormat="1" applyFont="1" applyFill="1" applyBorder="1" applyAlignment="1">
      <alignment horizontal="right"/>
    </xf>
    <xf numFmtId="3" fontId="6" fillId="6" borderId="6" xfId="3" applyNumberFormat="1" applyFont="1" applyFill="1" applyBorder="1"/>
    <xf numFmtId="0" fontId="6" fillId="0" borderId="0" xfId="3" applyFont="1"/>
    <xf numFmtId="3" fontId="12" fillId="6" borderId="4" xfId="3" applyNumberFormat="1" applyFont="1" applyFill="1" applyBorder="1" applyAlignment="1">
      <alignment horizontal="center"/>
    </xf>
    <xf numFmtId="3" fontId="6" fillId="0" borderId="0" xfId="3" applyNumberFormat="1" applyFont="1"/>
    <xf numFmtId="0" fontId="6" fillId="6" borderId="6" xfId="3" applyFont="1" applyFill="1" applyBorder="1"/>
    <xf numFmtId="3" fontId="6" fillId="0" borderId="15" xfId="3" applyNumberFormat="1" applyFont="1" applyBorder="1"/>
    <xf numFmtId="3" fontId="12" fillId="6" borderId="4" xfId="12" applyNumberFormat="1" applyFont="1" applyFill="1" applyBorder="1"/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3" fillId="6" borderId="12" xfId="3" applyFont="1" applyFill="1" applyBorder="1" applyAlignment="1">
      <alignment horizontal="center" vertical="center" wrapText="1"/>
    </xf>
    <xf numFmtId="3" fontId="6" fillId="6" borderId="4" xfId="3" applyNumberFormat="1" applyFont="1" applyFill="1" applyBorder="1" applyAlignment="1">
      <alignment horizontal="right"/>
    </xf>
    <xf numFmtId="3" fontId="35" fillId="6" borderId="4" xfId="3" applyNumberFormat="1" applyFont="1" applyFill="1" applyBorder="1"/>
    <xf numFmtId="3" fontId="6" fillId="6" borderId="4" xfId="3" applyNumberFormat="1" applyFont="1" applyFill="1" applyBorder="1" applyProtection="1">
      <protection locked="0"/>
    </xf>
    <xf numFmtId="3" fontId="35" fillId="6" borderId="4" xfId="3" applyNumberFormat="1" applyFont="1" applyFill="1" applyBorder="1" applyProtection="1">
      <protection locked="0"/>
    </xf>
    <xf numFmtId="0" fontId="3" fillId="6" borderId="3" xfId="3" applyFont="1" applyFill="1" applyBorder="1" applyAlignment="1">
      <alignment horizontal="center"/>
    </xf>
    <xf numFmtId="0" fontId="3" fillId="6" borderId="10" xfId="3" applyFont="1" applyFill="1" applyBorder="1" applyAlignment="1">
      <alignment horizontal="center"/>
    </xf>
    <xf numFmtId="0" fontId="3" fillId="6" borderId="4" xfId="3" applyFont="1" applyFill="1" applyBorder="1" applyAlignment="1">
      <alignment horizontal="left"/>
    </xf>
    <xf numFmtId="3" fontId="3" fillId="6" borderId="4" xfId="3" applyNumberFormat="1" applyFont="1" applyFill="1" applyBorder="1" applyAlignment="1">
      <alignment horizontal="right"/>
    </xf>
    <xf numFmtId="4" fontId="3" fillId="6" borderId="20" xfId="3" applyNumberFormat="1" applyFont="1" applyFill="1" applyBorder="1" applyAlignment="1">
      <alignment horizontal="right"/>
    </xf>
    <xf numFmtId="0" fontId="3" fillId="6" borderId="3" xfId="3" applyFont="1" applyFill="1" applyBorder="1" applyAlignment="1">
      <alignment horizontal="center" vertical="top"/>
    </xf>
    <xf numFmtId="0" fontId="18" fillId="6" borderId="10" xfId="3" applyFont="1" applyFill="1" applyBorder="1" applyAlignment="1">
      <alignment horizontal="center" vertical="top"/>
    </xf>
    <xf numFmtId="0" fontId="3" fillId="6" borderId="4" xfId="3" applyFont="1" applyFill="1" applyBorder="1"/>
    <xf numFmtId="3" fontId="3" fillId="6" borderId="4" xfId="3" applyNumberFormat="1" applyFont="1" applyFill="1" applyBorder="1"/>
    <xf numFmtId="4" fontId="8" fillId="6" borderId="20" xfId="3" applyNumberFormat="1" applyFont="1" applyFill="1" applyBorder="1" applyAlignment="1">
      <alignment horizontal="right"/>
    </xf>
    <xf numFmtId="49" fontId="3" fillId="6" borderId="3" xfId="0" applyNumberFormat="1" applyFont="1" applyFill="1" applyBorder="1" applyAlignment="1">
      <alignment horizontal="center" vertical="top"/>
    </xf>
    <xf numFmtId="49" fontId="18" fillId="6" borderId="10" xfId="0" applyNumberFormat="1" applyFont="1" applyFill="1" applyBorder="1" applyAlignment="1">
      <alignment horizontal="center" vertical="top"/>
    </xf>
    <xf numFmtId="0" fontId="3" fillId="6" borderId="4" xfId="0" applyFont="1" applyFill="1" applyBorder="1"/>
    <xf numFmtId="49" fontId="3" fillId="6" borderId="3" xfId="3" applyNumberFormat="1" applyFont="1" applyFill="1" applyBorder="1" applyAlignment="1">
      <alignment horizontal="center" vertical="top"/>
    </xf>
    <xf numFmtId="49" fontId="18" fillId="6" borderId="10" xfId="3" applyNumberFormat="1" applyFont="1" applyFill="1" applyBorder="1" applyAlignment="1">
      <alignment horizontal="center" vertical="top"/>
    </xf>
    <xf numFmtId="0" fontId="22" fillId="2" borderId="2" xfId="0" applyFont="1" applyFill="1" applyBorder="1" applyAlignment="1">
      <alignment horizontal="center" vertical="center" wrapText="1"/>
    </xf>
    <xf numFmtId="3" fontId="22" fillId="6" borderId="4" xfId="0" applyNumberFormat="1" applyFont="1" applyFill="1" applyBorder="1"/>
    <xf numFmtId="3" fontId="22" fillId="6" borderId="8" xfId="0" applyNumberFormat="1" applyFont="1" applyFill="1" applyBorder="1"/>
    <xf numFmtId="3" fontId="22" fillId="0" borderId="8" xfId="0" applyNumberFormat="1" applyFont="1" applyBorder="1"/>
    <xf numFmtId="3" fontId="36" fillId="0" borderId="8" xfId="0" applyNumberFormat="1" applyFont="1" applyBorder="1"/>
    <xf numFmtId="3" fontId="36" fillId="0" borderId="8" xfId="0" applyNumberFormat="1" applyFont="1" applyFill="1" applyBorder="1"/>
    <xf numFmtId="3" fontId="22" fillId="0" borderId="8" xfId="0" applyNumberFormat="1" applyFont="1" applyFill="1" applyBorder="1"/>
    <xf numFmtId="3" fontId="36" fillId="0" borderId="27" xfId="0" applyNumberFormat="1" applyFont="1" applyFill="1" applyBorder="1"/>
    <xf numFmtId="3" fontId="37" fillId="0" borderId="8" xfId="0" applyNumberFormat="1" applyFont="1" applyFill="1" applyBorder="1"/>
    <xf numFmtId="3" fontId="36" fillId="0" borderId="27" xfId="0" applyNumberFormat="1" applyFont="1" applyBorder="1"/>
    <xf numFmtId="3" fontId="22" fillId="0" borderId="4" xfId="0" applyNumberFormat="1" applyFont="1" applyBorder="1"/>
    <xf numFmtId="0" fontId="36" fillId="0" borderId="6" xfId="0" applyFont="1" applyBorder="1"/>
    <xf numFmtId="3" fontId="22" fillId="6" borderId="30" xfId="0" applyNumberFormat="1" applyFont="1" applyFill="1" applyBorder="1"/>
    <xf numFmtId="0" fontId="36" fillId="0" borderId="0" xfId="0" applyFont="1"/>
    <xf numFmtId="0" fontId="26" fillId="0" borderId="27" xfId="4" applyFont="1" applyFill="1" applyBorder="1" applyAlignment="1">
      <alignment horizontal="center" vertical="center" wrapText="1"/>
    </xf>
    <xf numFmtId="0" fontId="0" fillId="0" borderId="0" xfId="0"/>
    <xf numFmtId="3" fontId="1" fillId="0" borderId="4" xfId="0" applyNumberFormat="1" applyFont="1" applyFill="1" applyBorder="1" applyAlignment="1"/>
    <xf numFmtId="3" fontId="1" fillId="0" borderId="4" xfId="0" applyNumberFormat="1" applyFont="1" applyFill="1" applyBorder="1" applyAlignment="1">
      <alignment horizontal="right" vertical="center"/>
    </xf>
    <xf numFmtId="3" fontId="1" fillId="0" borderId="22" xfId="0" applyNumberFormat="1" applyFont="1" applyFill="1" applyBorder="1" applyAlignment="1">
      <alignment horizontal="right" vertical="center"/>
    </xf>
    <xf numFmtId="0" fontId="21" fillId="0" borderId="0" xfId="0" applyFont="1"/>
    <xf numFmtId="0" fontId="32" fillId="6" borderId="4" xfId="0" applyFont="1" applyFill="1" applyBorder="1" applyAlignment="1">
      <alignment horizontal="center" vertical="center"/>
    </xf>
    <xf numFmtId="0" fontId="32" fillId="6" borderId="4" xfId="0" applyFont="1" applyFill="1" applyBorder="1" applyAlignment="1">
      <alignment horizontal="center" vertical="center" wrapText="1"/>
    </xf>
    <xf numFmtId="0" fontId="21" fillId="0" borderId="0" xfId="0" applyFont="1" applyBorder="1" applyAlignment="1"/>
    <xf numFmtId="0" fontId="32" fillId="6" borderId="4" xfId="0" applyFont="1" applyFill="1" applyBorder="1" applyAlignment="1"/>
    <xf numFmtId="3" fontId="32" fillId="6" borderId="4" xfId="0" applyNumberFormat="1" applyFont="1" applyFill="1" applyBorder="1" applyAlignment="1"/>
    <xf numFmtId="2" fontId="32" fillId="6" borderId="4" xfId="0" applyNumberFormat="1" applyFont="1" applyFill="1" applyBorder="1" applyAlignment="1"/>
    <xf numFmtId="0" fontId="21" fillId="0" borderId="4" xfId="0" applyFont="1" applyFill="1" applyBorder="1" applyAlignment="1"/>
    <xf numFmtId="0" fontId="38" fillId="0" borderId="4" xfId="0" applyFont="1" applyFill="1" applyBorder="1" applyAlignment="1">
      <alignment horizontal="center"/>
    </xf>
    <xf numFmtId="3" fontId="21" fillId="0" borderId="4" xfId="0" applyNumberFormat="1" applyFont="1" applyFill="1" applyBorder="1" applyAlignment="1"/>
    <xf numFmtId="2" fontId="21" fillId="0" borderId="4" xfId="0" applyNumberFormat="1" applyFont="1" applyFill="1" applyBorder="1" applyAlignment="1">
      <alignment horizontal="right"/>
    </xf>
    <xf numFmtId="0" fontId="21" fillId="0" borderId="4" xfId="0" applyFont="1" applyFill="1" applyBorder="1" applyAlignment="1">
      <alignment horizontal="left" vertical="center"/>
    </xf>
    <xf numFmtId="0" fontId="38" fillId="0" borderId="4" xfId="0" applyFont="1" applyFill="1" applyBorder="1" applyAlignment="1">
      <alignment horizontal="center" vertical="center"/>
    </xf>
    <xf numFmtId="3" fontId="21" fillId="0" borderId="4" xfId="0" applyNumberFormat="1" applyFont="1" applyFill="1" applyBorder="1" applyAlignment="1">
      <alignment horizontal="right" vertical="center"/>
    </xf>
    <xf numFmtId="2" fontId="21" fillId="0" borderId="4" xfId="0" applyNumberFormat="1" applyFont="1" applyFill="1" applyBorder="1" applyAlignment="1">
      <alignment horizontal="right" vertical="center"/>
    </xf>
    <xf numFmtId="0" fontId="32" fillId="4" borderId="4" xfId="0" applyFont="1" applyFill="1" applyBorder="1" applyAlignment="1"/>
    <xf numFmtId="0" fontId="39" fillId="4" borderId="4" xfId="0" applyFont="1" applyFill="1" applyBorder="1" applyAlignment="1">
      <alignment horizontal="center"/>
    </xf>
    <xf numFmtId="3" fontId="32" fillId="4" borderId="4" xfId="0" applyNumberFormat="1" applyFont="1" applyFill="1" applyBorder="1" applyAlignment="1"/>
    <xf numFmtId="2" fontId="32" fillId="4" borderId="4" xfId="0" applyNumberFormat="1" applyFont="1" applyFill="1" applyBorder="1" applyAlignment="1">
      <alignment horizontal="right" vertical="center"/>
    </xf>
    <xf numFmtId="0" fontId="32" fillId="0" borderId="0" xfId="0" applyFont="1"/>
    <xf numFmtId="0" fontId="32" fillId="0" borderId="0" xfId="0" applyFont="1" applyFill="1" applyBorder="1" applyAlignment="1"/>
    <xf numFmtId="0" fontId="32" fillId="0" borderId="0" xfId="0" applyFont="1" applyBorder="1" applyAlignment="1"/>
    <xf numFmtId="0" fontId="21" fillId="0" borderId="22" xfId="0" applyFont="1" applyFill="1" applyBorder="1" applyAlignment="1">
      <alignment horizontal="left" vertical="center"/>
    </xf>
    <xf numFmtId="0" fontId="38" fillId="0" borderId="22" xfId="0" applyFont="1" applyFill="1" applyBorder="1" applyAlignment="1">
      <alignment horizontal="center" vertical="center"/>
    </xf>
    <xf numFmtId="3" fontId="21" fillId="0" borderId="22" xfId="0" applyNumberFormat="1" applyFont="1" applyFill="1" applyBorder="1" applyAlignment="1">
      <alignment horizontal="right" vertical="center"/>
    </xf>
    <xf numFmtId="2" fontId="21" fillId="0" borderId="22" xfId="0" applyNumberFormat="1" applyFont="1" applyFill="1" applyBorder="1" applyAlignment="1">
      <alignment horizontal="right" vertical="center"/>
    </xf>
    <xf numFmtId="0" fontId="32" fillId="4" borderId="22" xfId="0" applyFont="1" applyFill="1" applyBorder="1" applyAlignment="1">
      <alignment horizontal="left" vertical="center"/>
    </xf>
    <xf numFmtId="0" fontId="39" fillId="4" borderId="22" xfId="0" applyFont="1" applyFill="1" applyBorder="1" applyAlignment="1">
      <alignment horizontal="center" vertical="center"/>
    </xf>
    <xf numFmtId="3" fontId="32" fillId="4" borderId="22" xfId="0" applyNumberFormat="1" applyFont="1" applyFill="1" applyBorder="1" applyAlignment="1"/>
    <xf numFmtId="2" fontId="32" fillId="4" borderId="22" xfId="0" applyNumberFormat="1" applyFont="1" applyFill="1" applyBorder="1" applyAlignment="1">
      <alignment horizontal="right" vertical="center"/>
    </xf>
    <xf numFmtId="0" fontId="32" fillId="4" borderId="23" xfId="0" applyFont="1" applyFill="1" applyBorder="1" applyAlignment="1"/>
    <xf numFmtId="0" fontId="39" fillId="4" borderId="23" xfId="0" applyFont="1" applyFill="1" applyBorder="1" applyAlignment="1">
      <alignment horizontal="center"/>
    </xf>
    <xf numFmtId="3" fontId="32" fillId="4" borderId="23" xfId="0" applyNumberFormat="1" applyFont="1" applyFill="1" applyBorder="1" applyAlignment="1"/>
    <xf numFmtId="2" fontId="32" fillId="4" borderId="23" xfId="0" applyNumberFormat="1" applyFont="1" applyFill="1" applyBorder="1" applyAlignment="1">
      <alignment horizontal="right" vertical="center"/>
    </xf>
    <xf numFmtId="3" fontId="32" fillId="4" borderId="22" xfId="0" applyNumberFormat="1" applyFont="1" applyFill="1" applyBorder="1" applyAlignment="1">
      <alignment vertical="center"/>
    </xf>
    <xf numFmtId="0" fontId="32" fillId="4" borderId="4" xfId="0" applyFont="1" applyFill="1" applyBorder="1" applyAlignment="1">
      <alignment wrapText="1"/>
    </xf>
    <xf numFmtId="0" fontId="39" fillId="4" borderId="4" xfId="0" applyFont="1" applyFill="1" applyBorder="1" applyAlignment="1">
      <alignment horizontal="center" wrapText="1"/>
    </xf>
    <xf numFmtId="3" fontId="32" fillId="4" borderId="4" xfId="0" applyNumberFormat="1" applyFont="1" applyFill="1" applyBorder="1" applyAlignment="1">
      <alignment vertical="center"/>
    </xf>
    <xf numFmtId="0" fontId="32" fillId="0" borderId="24" xfId="0" applyFont="1" applyFill="1" applyBorder="1" applyAlignment="1"/>
    <xf numFmtId="0" fontId="39" fillId="0" borderId="24" xfId="0" applyFont="1" applyFill="1" applyBorder="1" applyAlignment="1">
      <alignment horizontal="center"/>
    </xf>
    <xf numFmtId="4" fontId="21" fillId="0" borderId="24" xfId="0" applyNumberFormat="1" applyFont="1" applyFill="1" applyBorder="1" applyAlignment="1"/>
    <xf numFmtId="2" fontId="21" fillId="0" borderId="24" xfId="0" applyNumberFormat="1" applyFont="1" applyFill="1" applyBorder="1" applyAlignment="1">
      <alignment horizontal="right" vertical="center"/>
    </xf>
    <xf numFmtId="3" fontId="21" fillId="0" borderId="0" xfId="0" applyNumberFormat="1" applyFont="1" applyBorder="1" applyAlignment="1"/>
    <xf numFmtId="0" fontId="8" fillId="6" borderId="4" xfId="0" applyFont="1" applyFill="1" applyBorder="1" applyAlignment="1">
      <alignment horizontal="center" vertical="center" wrapText="1"/>
    </xf>
    <xf numFmtId="3" fontId="8" fillId="6" borderId="4" xfId="0" applyNumberFormat="1" applyFont="1" applyFill="1" applyBorder="1" applyAlignment="1"/>
    <xf numFmtId="3" fontId="8" fillId="4" borderId="4" xfId="0" applyNumberFormat="1" applyFont="1" applyFill="1" applyBorder="1" applyAlignment="1"/>
    <xf numFmtId="3" fontId="8" fillId="4" borderId="22" xfId="0" applyNumberFormat="1" applyFont="1" applyFill="1" applyBorder="1" applyAlignment="1"/>
    <xf numFmtId="3" fontId="8" fillId="4" borderId="23" xfId="0" applyNumberFormat="1" applyFont="1" applyFill="1" applyBorder="1" applyAlignment="1"/>
    <xf numFmtId="3" fontId="8" fillId="4" borderId="22" xfId="0" applyNumberFormat="1" applyFont="1" applyFill="1" applyBorder="1" applyAlignment="1">
      <alignment vertical="center"/>
    </xf>
    <xf numFmtId="3" fontId="8" fillId="4" borderId="4" xfId="0" applyNumberFormat="1" applyFont="1" applyFill="1" applyBorder="1" applyAlignment="1">
      <alignment vertical="center"/>
    </xf>
    <xf numFmtId="4" fontId="1" fillId="0" borderId="24" xfId="0" applyNumberFormat="1" applyFont="1" applyFill="1" applyBorder="1" applyAlignment="1"/>
    <xf numFmtId="0" fontId="40" fillId="0" borderId="0" xfId="0" applyFont="1"/>
    <xf numFmtId="0" fontId="41" fillId="0" borderId="4" xfId="0" applyFont="1" applyFill="1" applyBorder="1" applyAlignment="1">
      <alignment horizontal="center"/>
    </xf>
    <xf numFmtId="0" fontId="41" fillId="0" borderId="4" xfId="0" applyFont="1" applyFill="1" applyBorder="1" applyAlignment="1">
      <alignment horizontal="center" wrapText="1"/>
    </xf>
    <xf numFmtId="0" fontId="40" fillId="0" borderId="0" xfId="0" applyFont="1" applyBorder="1" applyAlignment="1"/>
    <xf numFmtId="0" fontId="18" fillId="0" borderId="3" xfId="3" applyFont="1" applyBorder="1" applyAlignment="1">
      <alignment horizontal="center"/>
    </xf>
    <xf numFmtId="0" fontId="18" fillId="0" borderId="8" xfId="3" applyFont="1" applyBorder="1" applyAlignment="1">
      <alignment horizontal="center"/>
    </xf>
    <xf numFmtId="0" fontId="18" fillId="0" borderId="20" xfId="3" applyFont="1" applyBorder="1" applyAlignment="1">
      <alignment horizontal="center"/>
    </xf>
    <xf numFmtId="0" fontId="18" fillId="0" borderId="4" xfId="3" applyFont="1" applyFill="1" applyBorder="1" applyAlignment="1">
      <alignment horizontal="center"/>
    </xf>
    <xf numFmtId="0" fontId="0" fillId="0" borderId="44" xfId="0" applyBorder="1"/>
    <xf numFmtId="0" fontId="33" fillId="0" borderId="53" xfId="0" applyFont="1" applyBorder="1" applyAlignment="1">
      <alignment horizontal="center"/>
    </xf>
    <xf numFmtId="0" fontId="33" fillId="0" borderId="0" xfId="0" applyFont="1"/>
    <xf numFmtId="0" fontId="33" fillId="0" borderId="45" xfId="0" applyFont="1" applyBorder="1" applyAlignment="1">
      <alignment horizontal="center"/>
    </xf>
    <xf numFmtId="0" fontId="33" fillId="0" borderId="49" xfId="0" applyFont="1" applyBorder="1" applyAlignment="1">
      <alignment horizontal="center"/>
    </xf>
    <xf numFmtId="0" fontId="4" fillId="6" borderId="4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left" vertical="center" wrapText="1"/>
    </xf>
    <xf numFmtId="3" fontId="3" fillId="6" borderId="4" xfId="0" applyNumberFormat="1" applyFont="1" applyFill="1" applyBorder="1" applyAlignment="1">
      <alignment horizontal="right" vertical="center"/>
    </xf>
    <xf numFmtId="4" fontId="3" fillId="6" borderId="4" xfId="0" applyNumberFormat="1" applyFont="1" applyFill="1" applyBorder="1" applyAlignment="1">
      <alignment vertical="center"/>
    </xf>
    <xf numFmtId="49" fontId="3" fillId="6" borderId="4" xfId="0" applyNumberFormat="1" applyFont="1" applyFill="1" applyBorder="1" applyAlignment="1">
      <alignment horizontal="center" vertical="center" wrapText="1"/>
    </xf>
    <xf numFmtId="167" fontId="3" fillId="6" borderId="4" xfId="0" applyNumberFormat="1" applyFont="1" applyFill="1" applyBorder="1" applyAlignment="1">
      <alignment horizontal="left" vertical="center" wrapText="1"/>
    </xf>
    <xf numFmtId="4" fontId="3" fillId="6" borderId="4" xfId="0" applyNumberFormat="1" applyFont="1" applyFill="1" applyBorder="1"/>
    <xf numFmtId="0" fontId="18" fillId="6" borderId="4" xfId="3" applyFont="1" applyFill="1" applyBorder="1" applyAlignment="1">
      <alignment horizontal="center"/>
    </xf>
    <xf numFmtId="0" fontId="18" fillId="0" borderId="0" xfId="3" applyFont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1" fillId="0" borderId="4" xfId="3" applyFont="1" applyBorder="1" applyAlignment="1">
      <alignment wrapText="1"/>
    </xf>
    <xf numFmtId="0" fontId="1" fillId="0" borderId="0" xfId="0" applyFont="1"/>
    <xf numFmtId="0" fontId="1" fillId="0" borderId="4" xfId="0" applyFont="1" applyBorder="1"/>
    <xf numFmtId="0" fontId="1" fillId="0" borderId="4" xfId="0" applyFont="1" applyFill="1" applyBorder="1"/>
    <xf numFmtId="3" fontId="1" fillId="0" borderId="8" xfId="0" applyNumberFormat="1" applyFont="1" applyFill="1" applyBorder="1"/>
    <xf numFmtId="3" fontId="1" fillId="0" borderId="27" xfId="0" applyNumberFormat="1" applyFont="1" applyFill="1" applyBorder="1"/>
    <xf numFmtId="17" fontId="0" fillId="0" borderId="0" xfId="0" applyNumberFormat="1" applyFill="1"/>
    <xf numFmtId="0" fontId="1" fillId="0" borderId="0" xfId="0" applyFont="1" applyFill="1"/>
    <xf numFmtId="3" fontId="1" fillId="0" borderId="0" xfId="0" applyNumberFormat="1" applyFont="1" applyFill="1"/>
    <xf numFmtId="3" fontId="29" fillId="0" borderId="0" xfId="2" applyNumberFormat="1" applyFont="1" applyFill="1"/>
    <xf numFmtId="3" fontId="1" fillId="0" borderId="0" xfId="6" applyNumberFormat="1" applyFont="1" applyFill="1"/>
    <xf numFmtId="3" fontId="8" fillId="0" borderId="4" xfId="12" applyNumberFormat="1" applyFont="1" applyFill="1" applyBorder="1" applyAlignment="1">
      <alignment horizontal="right"/>
    </xf>
    <xf numFmtId="3" fontId="8" fillId="0" borderId="8" xfId="12" applyNumberFormat="1" applyFont="1" applyFill="1" applyBorder="1"/>
    <xf numFmtId="3" fontId="1" fillId="0" borderId="8" xfId="12" applyNumberFormat="1" applyFont="1" applyFill="1" applyBorder="1"/>
    <xf numFmtId="3" fontId="8" fillId="0" borderId="8" xfId="12" applyNumberFormat="1" applyFont="1" applyFill="1" applyBorder="1" applyAlignment="1">
      <alignment horizontal="right"/>
    </xf>
    <xf numFmtId="3" fontId="1" fillId="0" borderId="18" xfId="12" applyNumberFormat="1" applyFont="1" applyFill="1" applyBorder="1"/>
    <xf numFmtId="3" fontId="8" fillId="0" borderId="18" xfId="12" applyNumberFormat="1" applyFont="1" applyFill="1" applyBorder="1"/>
    <xf numFmtId="3" fontId="10" fillId="0" borderId="10" xfId="3" applyNumberFormat="1" applyFont="1" applyFill="1" applyBorder="1"/>
    <xf numFmtId="0" fontId="2" fillId="0" borderId="10" xfId="3" applyBorder="1"/>
    <xf numFmtId="0" fontId="18" fillId="0" borderId="18" xfId="3" applyFont="1" applyBorder="1" applyAlignment="1">
      <alignment horizontal="center"/>
    </xf>
    <xf numFmtId="0" fontId="3" fillId="0" borderId="18" xfId="3" applyFont="1" applyBorder="1" applyAlignment="1">
      <alignment horizontal="center"/>
    </xf>
    <xf numFmtId="3" fontId="3" fillId="0" borderId="18" xfId="3" applyNumberFormat="1" applyFont="1" applyBorder="1"/>
    <xf numFmtId="0" fontId="2" fillId="0" borderId="18" xfId="3" applyBorder="1"/>
    <xf numFmtId="0" fontId="2" fillId="0" borderId="31" xfId="3" applyBorder="1"/>
    <xf numFmtId="3" fontId="1" fillId="0" borderId="3" xfId="12" applyNumberFormat="1" applyFill="1" applyBorder="1"/>
    <xf numFmtId="3" fontId="1" fillId="0" borderId="3" xfId="12" applyNumberFormat="1" applyBorder="1"/>
    <xf numFmtId="3" fontId="4" fillId="0" borderId="3" xfId="12" applyNumberFormat="1" applyFont="1" applyBorder="1"/>
    <xf numFmtId="3" fontId="4" fillId="0" borderId="3" xfId="12" applyNumberFormat="1" applyFont="1" applyFill="1" applyBorder="1"/>
    <xf numFmtId="3" fontId="1" fillId="0" borderId="3" xfId="12" applyNumberFormat="1" applyFont="1" applyFill="1" applyBorder="1"/>
    <xf numFmtId="3" fontId="8" fillId="0" borderId="3" xfId="12" applyNumberFormat="1" applyFont="1" applyFill="1" applyBorder="1"/>
    <xf numFmtId="0" fontId="3" fillId="0" borderId="8" xfId="3" applyFont="1" applyBorder="1" applyAlignment="1">
      <alignment horizontal="center"/>
    </xf>
    <xf numFmtId="3" fontId="3" fillId="0" borderId="8" xfId="3" applyNumberFormat="1" applyFont="1" applyBorder="1"/>
    <xf numFmtId="3" fontId="2" fillId="0" borderId="9" xfId="3" applyNumberFormat="1" applyBorder="1"/>
    <xf numFmtId="0" fontId="3" fillId="0" borderId="25" xfId="3" applyFont="1" applyFill="1" applyBorder="1" applyAlignment="1">
      <alignment horizontal="center" vertical="center" wrapText="1"/>
    </xf>
    <xf numFmtId="3" fontId="3" fillId="0" borderId="3" xfId="4" applyNumberFormat="1" applyFont="1" applyFill="1" applyBorder="1"/>
    <xf numFmtId="3" fontId="10" fillId="0" borderId="3" xfId="4" applyNumberFormat="1" applyFill="1" applyBorder="1"/>
    <xf numFmtId="3" fontId="2" fillId="0" borderId="3" xfId="3" applyNumberFormat="1" applyBorder="1"/>
    <xf numFmtId="3" fontId="3" fillId="3" borderId="3" xfId="3" applyNumberFormat="1" applyFont="1" applyFill="1" applyBorder="1"/>
    <xf numFmtId="3" fontId="3" fillId="0" borderId="3" xfId="3" applyNumberFormat="1" applyFont="1" applyBorder="1"/>
    <xf numFmtId="3" fontId="2" fillId="0" borderId="3" xfId="3" applyNumberFormat="1" applyFill="1" applyBorder="1"/>
    <xf numFmtId="3" fontId="3" fillId="0" borderId="3" xfId="3" applyNumberFormat="1" applyFont="1" applyFill="1" applyBorder="1" applyAlignment="1">
      <alignment horizontal="right"/>
    </xf>
    <xf numFmtId="3" fontId="2" fillId="0" borderId="5" xfId="3" applyNumberFormat="1" applyBorder="1"/>
    <xf numFmtId="3" fontId="2" fillId="0" borderId="8" xfId="3" applyNumberFormat="1" applyBorder="1"/>
    <xf numFmtId="0" fontId="8" fillId="0" borderId="25" xfId="3" applyFont="1" applyFill="1" applyBorder="1" applyAlignment="1">
      <alignment horizontal="center" vertical="center" wrapText="1"/>
    </xf>
    <xf numFmtId="3" fontId="3" fillId="0" borderId="3" xfId="3" applyNumberFormat="1" applyFont="1" applyFill="1" applyBorder="1"/>
    <xf numFmtId="0" fontId="3" fillId="0" borderId="12" xfId="3" applyFont="1" applyBorder="1" applyAlignment="1">
      <alignment horizontal="center"/>
    </xf>
    <xf numFmtId="3" fontId="3" fillId="7" borderId="3" xfId="4" applyNumberFormat="1" applyFont="1" applyFill="1" applyBorder="1"/>
    <xf numFmtId="3" fontId="10" fillId="7" borderId="3" xfId="4" applyNumberFormat="1" applyFill="1" applyBorder="1"/>
    <xf numFmtId="3" fontId="3" fillId="0" borderId="8" xfId="3" applyNumberFormat="1" applyFont="1" applyBorder="1" applyAlignment="1">
      <alignment horizontal="center"/>
    </xf>
    <xf numFmtId="0" fontId="8" fillId="0" borderId="12" xfId="3" applyFont="1" applyFill="1" applyBorder="1" applyAlignment="1" applyProtection="1">
      <alignment horizontal="center" vertical="center" wrapText="1"/>
    </xf>
    <xf numFmtId="0" fontId="18" fillId="0" borderId="4" xfId="3" applyFont="1" applyBorder="1" applyAlignment="1" applyProtection="1">
      <alignment horizontal="center"/>
    </xf>
    <xf numFmtId="3" fontId="3" fillId="0" borderId="4" xfId="3" applyNumberFormat="1" applyFont="1" applyBorder="1" applyAlignment="1" applyProtection="1">
      <alignment horizontal="center"/>
    </xf>
    <xf numFmtId="3" fontId="3" fillId="0" borderId="4" xfId="4" applyNumberFormat="1" applyFont="1" applyFill="1" applyBorder="1" applyProtection="1"/>
    <xf numFmtId="3" fontId="4" fillId="0" borderId="4" xfId="4" applyNumberFormat="1" applyFont="1" applyFill="1" applyBorder="1" applyProtection="1"/>
    <xf numFmtId="3" fontId="10" fillId="0" borderId="4" xfId="4" applyNumberFormat="1" applyFill="1" applyBorder="1" applyProtection="1"/>
    <xf numFmtId="3" fontId="4" fillId="0" borderId="4" xfId="3" applyNumberFormat="1" applyFont="1" applyBorder="1" applyProtection="1"/>
    <xf numFmtId="3" fontId="3" fillId="3" borderId="4" xfId="3" applyNumberFormat="1" applyFont="1" applyFill="1" applyBorder="1" applyProtection="1"/>
    <xf numFmtId="3" fontId="2" fillId="0" borderId="4" xfId="3" applyNumberFormat="1" applyFill="1" applyBorder="1" applyProtection="1"/>
    <xf numFmtId="3" fontId="10" fillId="0" borderId="4" xfId="3" applyNumberFormat="1" applyFont="1" applyFill="1" applyBorder="1" applyProtection="1"/>
    <xf numFmtId="3" fontId="3" fillId="0" borderId="4" xfId="3" applyNumberFormat="1" applyFont="1" applyBorder="1" applyProtection="1"/>
    <xf numFmtId="3" fontId="2" fillId="0" borderId="4" xfId="3" applyNumberFormat="1" applyBorder="1" applyProtection="1"/>
    <xf numFmtId="3" fontId="2" fillId="0" borderId="6" xfId="3" applyNumberFormat="1" applyBorder="1" applyProtection="1"/>
    <xf numFmtId="0" fontId="8" fillId="0" borderId="25" xfId="3" applyFont="1" applyFill="1" applyBorder="1" applyAlignment="1" applyProtection="1">
      <alignment horizontal="center" vertical="center" wrapText="1"/>
    </xf>
    <xf numFmtId="0" fontId="18" fillId="0" borderId="3" xfId="3" applyFont="1" applyBorder="1" applyAlignment="1" applyProtection="1">
      <alignment horizontal="center"/>
    </xf>
    <xf numFmtId="3" fontId="3" fillId="0" borderId="3" xfId="3" applyNumberFormat="1" applyFont="1" applyBorder="1" applyAlignment="1" applyProtection="1">
      <alignment horizontal="center"/>
    </xf>
    <xf numFmtId="3" fontId="3" fillId="0" borderId="3" xfId="4" applyNumberFormat="1" applyFont="1" applyFill="1" applyBorder="1" applyProtection="1"/>
    <xf numFmtId="3" fontId="4" fillId="0" borderId="3" xfId="4" applyNumberFormat="1" applyFont="1" applyFill="1" applyBorder="1" applyProtection="1"/>
    <xf numFmtId="3" fontId="10" fillId="0" borderId="3" xfId="4" applyNumberFormat="1" applyFill="1" applyBorder="1" applyProtection="1"/>
    <xf numFmtId="3" fontId="4" fillId="0" borderId="3" xfId="3" applyNumberFormat="1" applyFont="1" applyBorder="1" applyProtection="1"/>
    <xf numFmtId="3" fontId="3" fillId="3" borderId="3" xfId="3" applyNumberFormat="1" applyFont="1" applyFill="1" applyBorder="1" applyProtection="1"/>
    <xf numFmtId="3" fontId="2" fillId="0" borderId="3" xfId="3" applyNumberFormat="1" applyFill="1" applyBorder="1" applyProtection="1"/>
    <xf numFmtId="3" fontId="10" fillId="0" borderId="3" xfId="3" applyNumberFormat="1" applyFont="1" applyFill="1" applyBorder="1" applyProtection="1"/>
    <xf numFmtId="3" fontId="3" fillId="0" borderId="3" xfId="3" applyNumberFormat="1" applyFont="1" applyBorder="1" applyProtection="1"/>
    <xf numFmtId="3" fontId="2" fillId="0" borderId="3" xfId="3" applyNumberFormat="1" applyBorder="1" applyProtection="1"/>
    <xf numFmtId="3" fontId="2" fillId="0" borderId="5" xfId="3" applyNumberFormat="1" applyBorder="1" applyProtection="1"/>
    <xf numFmtId="3" fontId="3" fillId="0" borderId="3" xfId="3" applyNumberFormat="1" applyFont="1" applyBorder="1" applyAlignment="1">
      <alignment horizontal="center"/>
    </xf>
    <xf numFmtId="3" fontId="4" fillId="7" borderId="3" xfId="4" applyNumberFormat="1" applyFont="1" applyFill="1" applyBorder="1"/>
    <xf numFmtId="3" fontId="4" fillId="0" borderId="3" xfId="3" applyNumberFormat="1" applyFont="1" applyBorder="1"/>
    <xf numFmtId="3" fontId="4" fillId="0" borderId="3" xfId="3" applyNumberFormat="1" applyFont="1" applyFill="1" applyBorder="1"/>
    <xf numFmtId="0" fontId="8" fillId="0" borderId="3" xfId="3" applyFont="1" applyFill="1" applyBorder="1" applyAlignment="1">
      <alignment horizontal="center" vertical="center" wrapText="1"/>
    </xf>
    <xf numFmtId="0" fontId="8" fillId="0" borderId="4" xfId="3" applyFont="1" applyFill="1" applyBorder="1" applyAlignment="1">
      <alignment horizontal="center" vertical="center" wrapText="1"/>
    </xf>
    <xf numFmtId="0" fontId="12" fillId="6" borderId="4" xfId="3" applyFont="1" applyFill="1" applyBorder="1" applyAlignment="1">
      <alignment horizontal="center" vertical="center" wrapText="1"/>
    </xf>
    <xf numFmtId="3" fontId="4" fillId="0" borderId="3" xfId="4" applyNumberFormat="1" applyFont="1" applyFill="1" applyBorder="1"/>
    <xf numFmtId="3" fontId="3" fillId="0" borderId="3" xfId="3" applyNumberFormat="1" applyFont="1" applyBorder="1" applyAlignment="1">
      <alignment horizontal="right"/>
    </xf>
    <xf numFmtId="3" fontId="8" fillId="0" borderId="3" xfId="3" applyNumberFormat="1" applyFont="1" applyFill="1" applyBorder="1"/>
    <xf numFmtId="3" fontId="10" fillId="0" borderId="3" xfId="4" applyNumberFormat="1" applyFont="1" applyFill="1" applyBorder="1"/>
    <xf numFmtId="3" fontId="4" fillId="0" borderId="3" xfId="3" applyNumberFormat="1" applyFont="1" applyFill="1" applyBorder="1" applyAlignment="1">
      <alignment vertical="center"/>
    </xf>
    <xf numFmtId="3" fontId="4" fillId="0" borderId="8" xfId="3" applyNumberFormat="1" applyFont="1" applyFill="1" applyBorder="1"/>
    <xf numFmtId="3" fontId="3" fillId="0" borderId="8" xfId="3" applyNumberFormat="1" applyFont="1" applyFill="1" applyBorder="1"/>
    <xf numFmtId="3" fontId="3" fillId="0" borderId="9" xfId="3" applyNumberFormat="1" applyFont="1" applyBorder="1"/>
    <xf numFmtId="3" fontId="3" fillId="0" borderId="5" xfId="3" applyNumberFormat="1" applyFont="1" applyBorder="1"/>
    <xf numFmtId="3" fontId="3" fillId="0" borderId="32" xfId="3" applyNumberFormat="1" applyFont="1" applyFill="1" applyBorder="1"/>
    <xf numFmtId="3" fontId="2" fillId="0" borderId="18" xfId="3" applyNumberFormat="1" applyBorder="1"/>
    <xf numFmtId="0" fontId="0" fillId="0" borderId="10" xfId="0" applyBorder="1" applyAlignment="1">
      <alignment wrapText="1"/>
    </xf>
    <xf numFmtId="0" fontId="1" fillId="0" borderId="0" xfId="3" applyFont="1" applyAlignment="1">
      <alignment horizontal="center"/>
    </xf>
    <xf numFmtId="0" fontId="0" fillId="0" borderId="14" xfId="0" applyBorder="1" applyAlignment="1"/>
    <xf numFmtId="0" fontId="1" fillId="0" borderId="0" xfId="3" applyFont="1"/>
    <xf numFmtId="0" fontId="33" fillId="0" borderId="47" xfId="0" applyFont="1" applyBorder="1" applyAlignment="1">
      <alignment horizontal="left"/>
    </xf>
    <xf numFmtId="0" fontId="33" fillId="0" borderId="48" xfId="0" applyFont="1" applyBorder="1" applyAlignment="1">
      <alignment horizontal="left"/>
    </xf>
    <xf numFmtId="0" fontId="33" fillId="0" borderId="46" xfId="0" applyFont="1" applyBorder="1" applyAlignment="1">
      <alignment horizontal="left"/>
    </xf>
    <xf numFmtId="0" fontId="3" fillId="0" borderId="14" xfId="3" applyFont="1" applyBorder="1" applyAlignment="1">
      <alignment horizontal="right"/>
    </xf>
    <xf numFmtId="0" fontId="43" fillId="0" borderId="0" xfId="3" applyFont="1" applyFill="1" applyAlignment="1">
      <alignment vertical="center"/>
    </xf>
    <xf numFmtId="3" fontId="2" fillId="0" borderId="0" xfId="3" applyNumberFormat="1" applyFill="1"/>
    <xf numFmtId="0" fontId="33" fillId="0" borderId="46" xfId="0" applyFont="1" applyBorder="1" applyAlignment="1">
      <alignment horizontal="left"/>
    </xf>
    <xf numFmtId="0" fontId="33" fillId="0" borderId="47" xfId="0" applyFont="1" applyBorder="1" applyAlignment="1">
      <alignment horizontal="left"/>
    </xf>
    <xf numFmtId="0" fontId="33" fillId="0" borderId="48" xfId="0" applyFont="1" applyBorder="1" applyAlignment="1">
      <alignment horizontal="left"/>
    </xf>
    <xf numFmtId="0" fontId="3" fillId="0" borderId="3" xfId="3" applyFont="1" applyFill="1" applyBorder="1" applyAlignment="1">
      <alignment horizontal="right"/>
    </xf>
    <xf numFmtId="0" fontId="3" fillId="0" borderId="4" xfId="3" applyFont="1" applyFill="1" applyBorder="1" applyAlignment="1">
      <alignment horizontal="right"/>
    </xf>
    <xf numFmtId="3" fontId="3" fillId="0" borderId="4" xfId="3" applyNumberFormat="1" applyFont="1" applyBorder="1" applyAlignment="1" applyProtection="1">
      <alignment horizontal="right"/>
    </xf>
    <xf numFmtId="3" fontId="3" fillId="0" borderId="3" xfId="3" applyNumberFormat="1" applyFont="1" applyFill="1" applyBorder="1" applyAlignment="1" applyProtection="1">
      <alignment horizontal="right"/>
    </xf>
    <xf numFmtId="0" fontId="33" fillId="0" borderId="59" xfId="0" applyFont="1" applyBorder="1" applyAlignment="1">
      <alignment horizontal="center"/>
    </xf>
    <xf numFmtId="0" fontId="33" fillId="0" borderId="11" xfId="0" applyFont="1" applyBorder="1" applyAlignment="1">
      <alignment horizontal="center"/>
    </xf>
    <xf numFmtId="0" fontId="0" fillId="0" borderId="0" xfId="0"/>
    <xf numFmtId="0" fontId="33" fillId="0" borderId="46" xfId="0" applyFont="1" applyBorder="1" applyAlignment="1">
      <alignment horizontal="left"/>
    </xf>
    <xf numFmtId="0" fontId="33" fillId="0" borderId="0" xfId="0" applyFont="1" applyBorder="1"/>
    <xf numFmtId="0" fontId="33" fillId="0" borderId="0" xfId="0" applyFont="1" applyBorder="1" applyAlignment="1">
      <alignment horizontal="left"/>
    </xf>
    <xf numFmtId="3" fontId="8" fillId="0" borderId="4" xfId="3" applyNumberFormat="1" applyFont="1" applyBorder="1"/>
    <xf numFmtId="3" fontId="8" fillId="0" borderId="18" xfId="3" applyNumberFormat="1" applyFont="1" applyBorder="1"/>
    <xf numFmtId="0" fontId="2" fillId="0" borderId="12" xfId="3" applyBorder="1"/>
    <xf numFmtId="0" fontId="2" fillId="0" borderId="11" xfId="3" applyBorder="1"/>
    <xf numFmtId="0" fontId="2" fillId="0" borderId="27" xfId="3" applyBorder="1"/>
    <xf numFmtId="0" fontId="2" fillId="0" borderId="16" xfId="3" applyBorder="1"/>
    <xf numFmtId="0" fontId="3" fillId="0" borderId="11" xfId="3" applyFont="1" applyBorder="1"/>
    <xf numFmtId="49" fontId="31" fillId="0" borderId="4" xfId="3" applyNumberFormat="1" applyFont="1" applyBorder="1" applyAlignment="1">
      <alignment horizontal="center"/>
    </xf>
    <xf numFmtId="49" fontId="31" fillId="0" borderId="4" xfId="3" applyNumberFormat="1" applyFont="1" applyFill="1" applyBorder="1" applyAlignment="1">
      <alignment horizontal="center"/>
    </xf>
    <xf numFmtId="49" fontId="31" fillId="0" borderId="4" xfId="3" applyNumberFormat="1" applyFont="1" applyBorder="1"/>
    <xf numFmtId="49" fontId="33" fillId="0" borderId="8" xfId="3" applyNumberFormat="1" applyFont="1" applyBorder="1" applyAlignment="1">
      <alignment vertical="center"/>
    </xf>
    <xf numFmtId="49" fontId="33" fillId="0" borderId="12" xfId="3" applyNumberFormat="1" applyFont="1" applyBorder="1"/>
    <xf numFmtId="49" fontId="33" fillId="0" borderId="4" xfId="3" applyNumberFormat="1" applyFont="1" applyBorder="1"/>
    <xf numFmtId="49" fontId="33" fillId="0" borderId="4" xfId="3" applyNumberFormat="1" applyFont="1" applyBorder="1" applyAlignment="1">
      <alignment vertical="center" wrapText="1"/>
    </xf>
    <xf numFmtId="49" fontId="17" fillId="0" borderId="10" xfId="0" applyNumberFormat="1" applyFont="1" applyFill="1" applyBorder="1" applyAlignment="1">
      <alignment horizontal="center"/>
    </xf>
    <xf numFmtId="0" fontId="1" fillId="0" borderId="4" xfId="3" applyFont="1" applyFill="1" applyBorder="1"/>
    <xf numFmtId="0" fontId="34" fillId="0" borderId="16" xfId="3" applyFont="1" applyFill="1" applyBorder="1" applyAlignment="1">
      <alignment horizontal="center" vertical="top"/>
    </xf>
    <xf numFmtId="0" fontId="28" fillId="0" borderId="12" xfId="3" applyFont="1" applyFill="1" applyBorder="1"/>
    <xf numFmtId="49" fontId="4" fillId="0" borderId="3" xfId="0" applyNumberFormat="1" applyFont="1" applyFill="1" applyBorder="1" applyAlignment="1">
      <alignment horizontal="center" vertical="top"/>
    </xf>
    <xf numFmtId="0" fontId="4" fillId="0" borderId="4" xfId="0" applyFont="1" applyFill="1" applyBorder="1"/>
    <xf numFmtId="0" fontId="33" fillId="0" borderId="50" xfId="0" applyFont="1" applyBorder="1" applyAlignment="1">
      <alignment horizontal="left"/>
    </xf>
    <xf numFmtId="0" fontId="33" fillId="0" borderId="51" xfId="0" applyFont="1" applyBorder="1" applyAlignment="1">
      <alignment horizontal="left"/>
    </xf>
    <xf numFmtId="0" fontId="33" fillId="0" borderId="52" xfId="0" applyFont="1" applyBorder="1" applyAlignment="1">
      <alignment horizontal="left"/>
    </xf>
    <xf numFmtId="0" fontId="0" fillId="0" borderId="0" xfId="0" applyAlignment="1"/>
    <xf numFmtId="0" fontId="0" fillId="0" borderId="0" xfId="0"/>
    <xf numFmtId="0" fontId="33" fillId="0" borderId="46" xfId="0" applyFont="1" applyBorder="1" applyAlignment="1">
      <alignment horizontal="left"/>
    </xf>
    <xf numFmtId="0" fontId="1" fillId="0" borderId="0" xfId="0" applyFont="1" applyAlignment="1">
      <alignment horizontal="justify" wrapText="1"/>
    </xf>
    <xf numFmtId="0" fontId="0" fillId="0" borderId="0" xfId="0" applyAlignment="1">
      <alignment horizontal="center"/>
    </xf>
    <xf numFmtId="3" fontId="1" fillId="0" borderId="8" xfId="0" applyNumberFormat="1" applyFont="1" applyBorder="1"/>
    <xf numFmtId="3" fontId="1" fillId="0" borderId="27" xfId="0" applyNumberFormat="1" applyFont="1" applyBorder="1"/>
    <xf numFmtId="0" fontId="7" fillId="0" borderId="0" xfId="12" applyFont="1" applyAlignment="1">
      <alignment horizontal="left"/>
    </xf>
    <xf numFmtId="0" fontId="28" fillId="0" borderId="0" xfId="12" applyFont="1" applyFill="1" applyAlignment="1">
      <alignment horizontal="left"/>
    </xf>
    <xf numFmtId="4" fontId="7" fillId="0" borderId="0" xfId="12" applyNumberFormat="1" applyFont="1" applyAlignment="1">
      <alignment horizontal="left"/>
    </xf>
    <xf numFmtId="0" fontId="1" fillId="0" borderId="0" xfId="0" applyFont="1" applyAlignment="1">
      <alignment horizontal="left"/>
    </xf>
    <xf numFmtId="3" fontId="3" fillId="0" borderId="3" xfId="12" applyNumberFormat="1" applyFont="1" applyBorder="1"/>
    <xf numFmtId="3" fontId="3" fillId="0" borderId="3" xfId="12" applyNumberFormat="1" applyFont="1" applyFill="1" applyBorder="1"/>
    <xf numFmtId="3" fontId="3" fillId="3" borderId="3" xfId="12" applyNumberFormat="1" applyFont="1" applyFill="1" applyBorder="1"/>
    <xf numFmtId="3" fontId="4" fillId="0" borderId="3" xfId="12" applyNumberFormat="1" applyFont="1" applyFill="1" applyBorder="1" applyAlignment="1">
      <alignment vertical="center"/>
    </xf>
    <xf numFmtId="3" fontId="3" fillId="0" borderId="26" xfId="3" applyNumberFormat="1" applyFont="1" applyFill="1" applyBorder="1" applyAlignment="1">
      <alignment horizontal="right"/>
    </xf>
    <xf numFmtId="3" fontId="2" fillId="0" borderId="26" xfId="3" applyNumberFormat="1" applyFill="1" applyBorder="1"/>
    <xf numFmtId="3" fontId="3" fillId="0" borderId="26" xfId="3" applyNumberFormat="1" applyFont="1" applyBorder="1"/>
    <xf numFmtId="3" fontId="3" fillId="0" borderId="26" xfId="4" applyNumberFormat="1" applyFont="1" applyFill="1" applyBorder="1"/>
    <xf numFmtId="3" fontId="10" fillId="0" borderId="26" xfId="4" applyNumberFormat="1" applyFill="1" applyBorder="1"/>
    <xf numFmtId="3" fontId="2" fillId="0" borderId="26" xfId="3" applyNumberFormat="1" applyBorder="1"/>
    <xf numFmtId="3" fontId="3" fillId="3" borderId="26" xfId="3" applyNumberFormat="1" applyFont="1" applyFill="1" applyBorder="1"/>
    <xf numFmtId="3" fontId="4" fillId="0" borderId="26" xfId="3" applyNumberFormat="1" applyFont="1" applyBorder="1"/>
    <xf numFmtId="3" fontId="4" fillId="0" borderId="26" xfId="12" applyNumberFormat="1" applyFont="1" applyBorder="1"/>
    <xf numFmtId="3" fontId="4" fillId="0" borderId="26" xfId="12" applyNumberFormat="1" applyFont="1" applyFill="1" applyBorder="1" applyAlignment="1">
      <alignment vertical="center"/>
    </xf>
    <xf numFmtId="3" fontId="4" fillId="0" borderId="26" xfId="12" applyNumberFormat="1" applyFont="1" applyFill="1" applyBorder="1"/>
    <xf numFmtId="3" fontId="4" fillId="0" borderId="26" xfId="3" applyNumberFormat="1" applyFont="1" applyFill="1" applyBorder="1"/>
    <xf numFmtId="3" fontId="10" fillId="0" borderId="26" xfId="3" applyNumberFormat="1" applyFont="1" applyFill="1" applyBorder="1"/>
    <xf numFmtId="3" fontId="3" fillId="0" borderId="18" xfId="12" applyNumberFormat="1" applyFont="1" applyFill="1" applyBorder="1" applyAlignment="1">
      <alignment horizontal="right"/>
    </xf>
    <xf numFmtId="3" fontId="1" fillId="0" borderId="18" xfId="12" applyNumberFormat="1" applyFill="1" applyBorder="1"/>
    <xf numFmtId="3" fontId="3" fillId="0" borderId="18" xfId="12" applyNumberFormat="1" applyFont="1" applyBorder="1"/>
    <xf numFmtId="3" fontId="3" fillId="0" borderId="18" xfId="12" applyNumberFormat="1" applyFont="1" applyFill="1" applyBorder="1"/>
    <xf numFmtId="3" fontId="1" fillId="0" borderId="18" xfId="12" applyNumberFormat="1" applyBorder="1"/>
    <xf numFmtId="3" fontId="3" fillId="3" borderId="18" xfId="12" applyNumberFormat="1" applyFont="1" applyFill="1" applyBorder="1"/>
    <xf numFmtId="3" fontId="4" fillId="0" borderId="18" xfId="12" applyNumberFormat="1" applyFont="1" applyBorder="1"/>
    <xf numFmtId="3" fontId="4" fillId="0" borderId="18" xfId="12" applyNumberFormat="1" applyFont="1" applyFill="1" applyBorder="1" applyAlignment="1">
      <alignment vertical="center"/>
    </xf>
    <xf numFmtId="3" fontId="4" fillId="0" borderId="18" xfId="12" applyNumberFormat="1" applyFont="1" applyFill="1" applyBorder="1"/>
    <xf numFmtId="0" fontId="12" fillId="6" borderId="28" xfId="3" applyFont="1" applyFill="1" applyBorder="1" applyAlignment="1">
      <alignment horizontal="center" vertical="center" wrapText="1"/>
    </xf>
    <xf numFmtId="0" fontId="18" fillId="6" borderId="18" xfId="3" applyFont="1" applyFill="1" applyBorder="1" applyAlignment="1">
      <alignment horizontal="center"/>
    </xf>
    <xf numFmtId="0" fontId="12" fillId="6" borderId="18" xfId="3" applyFont="1" applyFill="1" applyBorder="1" applyAlignment="1">
      <alignment horizontal="center"/>
    </xf>
    <xf numFmtId="3" fontId="12" fillId="6" borderId="18" xfId="4" applyNumberFormat="1" applyFont="1" applyFill="1" applyBorder="1"/>
    <xf numFmtId="3" fontId="6" fillId="6" borderId="18" xfId="4" applyNumberFormat="1" applyFont="1" applyFill="1" applyBorder="1"/>
    <xf numFmtId="3" fontId="6" fillId="6" borderId="18" xfId="3" applyNumberFormat="1" applyFont="1" applyFill="1" applyBorder="1"/>
    <xf numFmtId="3" fontId="12" fillId="6" borderId="18" xfId="3" applyNumberFormat="1" applyFont="1" applyFill="1" applyBorder="1"/>
    <xf numFmtId="3" fontId="12" fillId="6" borderId="18" xfId="3" applyNumberFormat="1" applyFont="1" applyFill="1" applyBorder="1" applyAlignment="1">
      <alignment horizontal="right"/>
    </xf>
    <xf numFmtId="3" fontId="6" fillId="6" borderId="31" xfId="3" applyNumberFormat="1" applyFont="1" applyFill="1" applyBorder="1"/>
    <xf numFmtId="0" fontId="12" fillId="6" borderId="20" xfId="3" applyFont="1" applyFill="1" applyBorder="1" applyAlignment="1">
      <alignment horizontal="center"/>
    </xf>
    <xf numFmtId="3" fontId="12" fillId="6" borderId="20" xfId="3" applyNumberFormat="1" applyFont="1" applyFill="1" applyBorder="1" applyAlignment="1">
      <alignment horizontal="right"/>
    </xf>
    <xf numFmtId="3" fontId="6" fillId="6" borderId="20" xfId="3" applyNumberFormat="1" applyFont="1" applyFill="1" applyBorder="1"/>
    <xf numFmtId="3" fontId="12" fillId="6" borderId="20" xfId="3" applyNumberFormat="1" applyFont="1" applyFill="1" applyBorder="1"/>
    <xf numFmtId="3" fontId="12" fillId="6" borderId="20" xfId="4" applyNumberFormat="1" applyFont="1" applyFill="1" applyBorder="1"/>
    <xf numFmtId="0" fontId="6" fillId="6" borderId="18" xfId="3" applyFont="1" applyFill="1" applyBorder="1"/>
    <xf numFmtId="0" fontId="6" fillId="6" borderId="31" xfId="3" applyFont="1" applyFill="1" applyBorder="1"/>
    <xf numFmtId="3" fontId="8" fillId="0" borderId="3" xfId="3" applyNumberFormat="1" applyFont="1" applyBorder="1"/>
    <xf numFmtId="3" fontId="22" fillId="6" borderId="18" xfId="3" applyNumberFormat="1" applyFont="1" applyFill="1" applyBorder="1"/>
    <xf numFmtId="3" fontId="3" fillId="0" borderId="8" xfId="4" applyNumberFormat="1" applyFont="1" applyFill="1" applyBorder="1"/>
    <xf numFmtId="3" fontId="10" fillId="0" borderId="8" xfId="4" applyNumberFormat="1" applyFill="1" applyBorder="1"/>
    <xf numFmtId="3" fontId="2" fillId="0" borderId="8" xfId="3" applyNumberFormat="1" applyFill="1" applyBorder="1"/>
    <xf numFmtId="3" fontId="1" fillId="0" borderId="8" xfId="12" applyNumberFormat="1" applyFill="1" applyBorder="1"/>
    <xf numFmtId="3" fontId="4" fillId="0" borderId="8" xfId="12" applyNumberFormat="1" applyFont="1" applyFill="1" applyBorder="1"/>
    <xf numFmtId="3" fontId="3" fillId="0" borderId="8" xfId="3" applyNumberFormat="1" applyFont="1" applyFill="1" applyBorder="1" applyAlignment="1">
      <alignment horizontal="right"/>
    </xf>
    <xf numFmtId="3" fontId="3" fillId="0" borderId="8" xfId="12" applyNumberFormat="1" applyFont="1" applyFill="1" applyBorder="1"/>
    <xf numFmtId="3" fontId="3" fillId="0" borderId="8" xfId="12" applyNumberFormat="1" applyFont="1" applyBorder="1"/>
    <xf numFmtId="3" fontId="3" fillId="0" borderId="8" xfId="12" applyNumberFormat="1" applyFont="1" applyFill="1" applyBorder="1" applyAlignment="1">
      <alignment horizontal="right"/>
    </xf>
    <xf numFmtId="0" fontId="12" fillId="6" borderId="28" xfId="3" applyFont="1" applyFill="1" applyBorder="1" applyAlignment="1" applyProtection="1">
      <alignment horizontal="center" vertical="center" wrapText="1"/>
    </xf>
    <xf numFmtId="0" fontId="18" fillId="6" borderId="18" xfId="3" applyFont="1" applyFill="1" applyBorder="1" applyAlignment="1" applyProtection="1">
      <alignment horizontal="center"/>
    </xf>
    <xf numFmtId="3" fontId="12" fillId="6" borderId="18" xfId="3" applyNumberFormat="1" applyFont="1" applyFill="1" applyBorder="1" applyAlignment="1" applyProtection="1">
      <alignment horizontal="center"/>
    </xf>
    <xf numFmtId="3" fontId="12" fillId="6" borderId="18" xfId="4" applyNumberFormat="1" applyFont="1" applyFill="1" applyBorder="1" applyProtection="1"/>
    <xf numFmtId="3" fontId="6" fillId="6" borderId="18" xfId="4" applyNumberFormat="1" applyFont="1" applyFill="1" applyBorder="1" applyProtection="1"/>
    <xf numFmtId="3" fontId="6" fillId="6" borderId="18" xfId="3" applyNumberFormat="1" applyFont="1" applyFill="1" applyBorder="1" applyProtection="1"/>
    <xf numFmtId="3" fontId="12" fillId="6" borderId="18" xfId="3" applyNumberFormat="1" applyFont="1" applyFill="1" applyBorder="1" applyProtection="1"/>
    <xf numFmtId="3" fontId="12" fillId="6" borderId="18" xfId="3" applyNumberFormat="1" applyFont="1" applyFill="1" applyBorder="1" applyAlignment="1" applyProtection="1">
      <alignment horizontal="right"/>
    </xf>
    <xf numFmtId="3" fontId="6" fillId="6" borderId="31" xfId="3" applyNumberFormat="1" applyFont="1" applyFill="1" applyBorder="1" applyProtection="1"/>
    <xf numFmtId="3" fontId="3" fillId="0" borderId="8" xfId="4" applyNumberFormat="1" applyFont="1" applyFill="1" applyBorder="1" applyProtection="1"/>
    <xf numFmtId="3" fontId="4" fillId="0" borderId="8" xfId="4" applyNumberFormat="1" applyFont="1" applyFill="1" applyBorder="1" applyProtection="1"/>
    <xf numFmtId="3" fontId="10" fillId="0" borderId="8" xfId="4" applyNumberFormat="1" applyFill="1" applyBorder="1" applyProtection="1"/>
    <xf numFmtId="3" fontId="4" fillId="0" borderId="8" xfId="3" applyNumberFormat="1" applyFont="1" applyBorder="1" applyProtection="1"/>
    <xf numFmtId="3" fontId="3" fillId="3" borderId="8" xfId="3" applyNumberFormat="1" applyFont="1" applyFill="1" applyBorder="1" applyProtection="1"/>
    <xf numFmtId="3" fontId="2" fillId="0" borderId="8" xfId="3" applyNumberFormat="1" applyFill="1" applyBorder="1" applyProtection="1"/>
    <xf numFmtId="3" fontId="10" fillId="0" borderId="8" xfId="3" applyNumberFormat="1" applyFont="1" applyFill="1" applyBorder="1" applyProtection="1"/>
    <xf numFmtId="3" fontId="3" fillId="0" borderId="8" xfId="3" applyNumberFormat="1" applyFont="1" applyBorder="1" applyProtection="1"/>
    <xf numFmtId="3" fontId="3" fillId="0" borderId="8" xfId="3" applyNumberFormat="1" applyFont="1" applyFill="1" applyBorder="1" applyAlignment="1" applyProtection="1">
      <alignment horizontal="right"/>
    </xf>
    <xf numFmtId="3" fontId="3" fillId="0" borderId="8" xfId="12" applyNumberFormat="1" applyFont="1" applyFill="1" applyBorder="1" applyProtection="1"/>
    <xf numFmtId="3" fontId="4" fillId="0" borderId="8" xfId="12" applyNumberFormat="1" applyFont="1" applyFill="1" applyBorder="1" applyProtection="1"/>
    <xf numFmtId="3" fontId="1" fillId="0" borderId="8" xfId="12" applyNumberFormat="1" applyFill="1" applyBorder="1" applyProtection="1"/>
    <xf numFmtId="3" fontId="4" fillId="0" borderId="8" xfId="12" applyNumberFormat="1" applyFont="1" applyBorder="1" applyProtection="1"/>
    <xf numFmtId="3" fontId="3" fillId="3" borderId="8" xfId="12" applyNumberFormat="1" applyFont="1" applyFill="1" applyBorder="1" applyProtection="1"/>
    <xf numFmtId="3" fontId="1" fillId="0" borderId="8" xfId="12" applyNumberFormat="1" applyFont="1" applyFill="1" applyBorder="1" applyProtection="1"/>
    <xf numFmtId="3" fontId="3" fillId="0" borderId="8" xfId="12" applyNumberFormat="1" applyFont="1" applyBorder="1" applyProtection="1"/>
    <xf numFmtId="3" fontId="3" fillId="0" borderId="8" xfId="12" applyNumberFormat="1" applyFont="1" applyFill="1" applyBorder="1" applyAlignment="1" applyProtection="1">
      <alignment horizontal="right"/>
    </xf>
    <xf numFmtId="3" fontId="12" fillId="6" borderId="18" xfId="3" applyNumberFormat="1" applyFont="1" applyFill="1" applyBorder="1" applyAlignment="1">
      <alignment horizontal="center"/>
    </xf>
    <xf numFmtId="3" fontId="3" fillId="7" borderId="8" xfId="4" applyNumberFormat="1" applyFont="1" applyFill="1" applyBorder="1"/>
    <xf numFmtId="3" fontId="4" fillId="7" borderId="8" xfId="4" applyNumberFormat="1" applyFont="1" applyFill="1" applyBorder="1"/>
    <xf numFmtId="3" fontId="10" fillId="7" borderId="8" xfId="4" applyNumberFormat="1" applyFill="1" applyBorder="1"/>
    <xf numFmtId="3" fontId="4" fillId="0" borderId="8" xfId="3" applyNumberFormat="1" applyFont="1" applyBorder="1"/>
    <xf numFmtId="3" fontId="3" fillId="3" borderId="8" xfId="3" applyNumberFormat="1" applyFont="1" applyFill="1" applyBorder="1"/>
    <xf numFmtId="3" fontId="4" fillId="0" borderId="8" xfId="12" applyNumberFormat="1" applyFont="1" applyBorder="1"/>
    <xf numFmtId="3" fontId="3" fillId="7" borderId="8" xfId="12" applyNumberFormat="1" applyFont="1" applyFill="1" applyBorder="1"/>
    <xf numFmtId="3" fontId="4" fillId="7" borderId="8" xfId="12" applyNumberFormat="1" applyFont="1" applyFill="1" applyBorder="1"/>
    <xf numFmtId="3" fontId="1" fillId="7" borderId="8" xfId="12" applyNumberFormat="1" applyFill="1" applyBorder="1"/>
    <xf numFmtId="3" fontId="3" fillId="3" borderId="8" xfId="12" applyNumberFormat="1" applyFont="1" applyFill="1" applyBorder="1"/>
    <xf numFmtId="3" fontId="4" fillId="0" borderId="8" xfId="4" applyNumberFormat="1" applyFont="1" applyFill="1" applyBorder="1"/>
    <xf numFmtId="3" fontId="3" fillId="0" borderId="8" xfId="3" applyNumberFormat="1" applyFont="1" applyBorder="1" applyAlignment="1">
      <alignment horizontal="right"/>
    </xf>
    <xf numFmtId="3" fontId="2" fillId="0" borderId="8" xfId="3" applyNumberFormat="1" applyFont="1" applyFill="1" applyBorder="1"/>
    <xf numFmtId="3" fontId="8" fillId="0" borderId="8" xfId="3" applyNumberFormat="1" applyFont="1" applyFill="1" applyBorder="1"/>
    <xf numFmtId="0" fontId="3" fillId="0" borderId="8" xfId="3" applyFont="1" applyFill="1" applyBorder="1" applyAlignment="1">
      <alignment horizontal="right"/>
    </xf>
    <xf numFmtId="0" fontId="12" fillId="6" borderId="18" xfId="3" applyFont="1" applyFill="1" applyBorder="1" applyAlignment="1">
      <alignment horizontal="right"/>
    </xf>
    <xf numFmtId="3" fontId="3" fillId="0" borderId="8" xfId="12" applyNumberFormat="1" applyFont="1" applyBorder="1" applyAlignment="1">
      <alignment horizontal="right"/>
    </xf>
    <xf numFmtId="3" fontId="1" fillId="0" borderId="8" xfId="12" applyNumberFormat="1" applyBorder="1"/>
    <xf numFmtId="0" fontId="1" fillId="0" borderId="8" xfId="12" applyBorder="1"/>
    <xf numFmtId="0" fontId="3" fillId="0" borderId="8" xfId="12" applyFont="1" applyFill="1" applyBorder="1" applyAlignment="1">
      <alignment horizontal="right"/>
    </xf>
    <xf numFmtId="3" fontId="3" fillId="0" borderId="8" xfId="12" applyNumberFormat="1" applyFont="1" applyFill="1" applyBorder="1" applyProtection="1">
      <protection locked="0"/>
    </xf>
    <xf numFmtId="3" fontId="4" fillId="0" borderId="8" xfId="12" applyNumberFormat="1" applyFont="1" applyFill="1" applyBorder="1" applyProtection="1">
      <protection locked="0"/>
    </xf>
    <xf numFmtId="3" fontId="1" fillId="0" borderId="8" xfId="12" applyNumberFormat="1" applyFill="1" applyBorder="1" applyProtection="1">
      <protection locked="0"/>
    </xf>
    <xf numFmtId="3" fontId="4" fillId="0" borderId="8" xfId="12" applyNumberFormat="1" applyFont="1" applyBorder="1" applyProtection="1">
      <protection locked="0"/>
    </xf>
    <xf numFmtId="3" fontId="3" fillId="3" borderId="8" xfId="12" applyNumberFormat="1" applyFont="1" applyFill="1" applyBorder="1" applyProtection="1">
      <protection locked="0"/>
    </xf>
    <xf numFmtId="3" fontId="3" fillId="0" borderId="8" xfId="12" applyNumberFormat="1" applyFont="1" applyFill="1" applyBorder="1" applyAlignment="1" applyProtection="1">
      <alignment horizontal="right"/>
      <protection locked="0"/>
    </xf>
    <xf numFmtId="3" fontId="10" fillId="0" borderId="8" xfId="4" applyNumberFormat="1" applyFont="1" applyFill="1" applyBorder="1"/>
    <xf numFmtId="3" fontId="4" fillId="0" borderId="8" xfId="3" applyNumberFormat="1" applyFont="1" applyFill="1" applyBorder="1" applyAlignment="1">
      <alignment vertical="center"/>
    </xf>
    <xf numFmtId="3" fontId="4" fillId="0" borderId="8" xfId="12" applyNumberFormat="1" applyFont="1" applyFill="1" applyBorder="1" applyAlignment="1">
      <alignment vertical="center"/>
    </xf>
    <xf numFmtId="3" fontId="1" fillId="0" borderId="8" xfId="12" applyNumberFormat="1" applyFont="1" applyBorder="1"/>
    <xf numFmtId="3" fontId="6" fillId="6" borderId="18" xfId="12" applyNumberFormat="1" applyFont="1" applyFill="1" applyBorder="1"/>
    <xf numFmtId="3" fontId="12" fillId="6" borderId="31" xfId="3" applyNumberFormat="1" applyFont="1" applyFill="1" applyBorder="1"/>
    <xf numFmtId="3" fontId="8" fillId="0" borderId="3" xfId="12" applyNumberFormat="1" applyFont="1" applyFill="1" applyBorder="1" applyAlignment="1">
      <alignment horizontal="right"/>
    </xf>
    <xf numFmtId="0" fontId="1" fillId="0" borderId="0" xfId="3" applyFont="1" applyFill="1"/>
    <xf numFmtId="3" fontId="44" fillId="0" borderId="8" xfId="0" applyNumberFormat="1" applyFont="1" applyFill="1" applyBorder="1"/>
    <xf numFmtId="3" fontId="28" fillId="0" borderId="8" xfId="0" applyNumberFormat="1" applyFont="1" applyFill="1" applyBorder="1"/>
    <xf numFmtId="0" fontId="28" fillId="0" borderId="0" xfId="0" applyFont="1"/>
    <xf numFmtId="0" fontId="28" fillId="0" borderId="3" xfId="0" applyFont="1" applyBorder="1" applyAlignment="1">
      <alignment horizontal="right"/>
    </xf>
    <xf numFmtId="0" fontId="45" fillId="0" borderId="4" xfId="0" applyFont="1" applyBorder="1"/>
    <xf numFmtId="4" fontId="28" fillId="0" borderId="18" xfId="0" applyNumberFormat="1" applyFont="1" applyFill="1" applyBorder="1"/>
    <xf numFmtId="3" fontId="28" fillId="0" borderId="0" xfId="0" applyNumberFormat="1" applyFont="1" applyFill="1"/>
    <xf numFmtId="3" fontId="28" fillId="0" borderId="0" xfId="6" applyNumberFormat="1" applyFont="1" applyFill="1"/>
    <xf numFmtId="0" fontId="28" fillId="0" borderId="0" xfId="0" applyFont="1" applyFill="1"/>
    <xf numFmtId="0" fontId="45" fillId="0" borderId="4" xfId="0" applyFont="1" applyFill="1" applyBorder="1" applyAlignment="1">
      <alignment wrapText="1"/>
    </xf>
    <xf numFmtId="4" fontId="28" fillId="0" borderId="18" xfId="0" applyNumberFormat="1" applyFont="1" applyBorder="1"/>
    <xf numFmtId="3" fontId="46" fillId="0" borderId="0" xfId="2" applyNumberFormat="1" applyFont="1" applyFill="1"/>
    <xf numFmtId="3" fontId="2" fillId="0" borderId="0" xfId="3" applyNumberFormat="1" applyAlignment="1">
      <alignment horizontal="right"/>
    </xf>
    <xf numFmtId="3" fontId="3" fillId="0" borderId="0" xfId="3" applyNumberFormat="1" applyFont="1" applyAlignment="1">
      <alignment horizontal="right"/>
    </xf>
    <xf numFmtId="3" fontId="8" fillId="0" borderId="0" xfId="3" applyNumberFormat="1" applyFont="1" applyAlignment="1">
      <alignment horizontal="right"/>
    </xf>
    <xf numFmtId="3" fontId="2" fillId="0" borderId="0" xfId="3" applyNumberFormat="1" applyFont="1" applyAlignment="1">
      <alignment horizontal="right"/>
    </xf>
    <xf numFmtId="3" fontId="4" fillId="0" borderId="0" xfId="3" applyNumberFormat="1" applyFont="1" applyAlignment="1">
      <alignment horizontal="right"/>
    </xf>
    <xf numFmtId="3" fontId="2" fillId="0" borderId="3" xfId="3" applyNumberFormat="1" applyFont="1" applyFill="1" applyBorder="1"/>
    <xf numFmtId="3" fontId="8" fillId="0" borderId="0" xfId="0" applyNumberFormat="1" applyFont="1"/>
    <xf numFmtId="3" fontId="10" fillId="0" borderId="3" xfId="3" applyNumberFormat="1" applyFont="1" applyFill="1" applyBorder="1"/>
    <xf numFmtId="0" fontId="0" fillId="0" borderId="0" xfId="0"/>
    <xf numFmtId="0" fontId="0" fillId="0" borderId="0" xfId="0"/>
    <xf numFmtId="4" fontId="0" fillId="0" borderId="0" xfId="0" applyNumberFormat="1" applyFill="1"/>
    <xf numFmtId="49" fontId="47" fillId="0" borderId="0" xfId="0" applyNumberFormat="1" applyFont="1"/>
    <xf numFmtId="0" fontId="0" fillId="0" borderId="0" xfId="0" applyAlignment="1"/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13" fillId="7" borderId="0" xfId="0" applyFont="1" applyFill="1" applyAlignment="1">
      <alignment horizontal="center" wrapText="1"/>
    </xf>
    <xf numFmtId="0" fontId="0" fillId="0" borderId="0" xfId="0"/>
    <xf numFmtId="0" fontId="0" fillId="7" borderId="0" xfId="0" applyFill="1" applyAlignment="1"/>
    <xf numFmtId="0" fontId="9" fillId="0" borderId="0" xfId="0" applyFont="1" applyAlignment="1">
      <alignment horizontal="center" vertical="top"/>
    </xf>
    <xf numFmtId="0" fontId="0" fillId="0" borderId="0" xfId="0" applyAlignment="1">
      <alignment horizontal="center" vertical="center"/>
    </xf>
    <xf numFmtId="0" fontId="33" fillId="0" borderId="46" xfId="0" applyFont="1" applyBorder="1" applyAlignment="1">
      <alignment horizontal="left"/>
    </xf>
    <xf numFmtId="0" fontId="33" fillId="0" borderId="47" xfId="0" applyFont="1" applyBorder="1" applyAlignment="1">
      <alignment horizontal="left"/>
    </xf>
    <xf numFmtId="0" fontId="33" fillId="0" borderId="48" xfId="0" applyFont="1" applyBorder="1" applyAlignment="1">
      <alignment horizontal="left"/>
    </xf>
    <xf numFmtId="0" fontId="33" fillId="0" borderId="50" xfId="0" applyFont="1" applyBorder="1" applyAlignment="1">
      <alignment horizontal="left"/>
    </xf>
    <xf numFmtId="0" fontId="33" fillId="0" borderId="51" xfId="0" applyFont="1" applyBorder="1" applyAlignment="1">
      <alignment horizontal="left"/>
    </xf>
    <xf numFmtId="0" fontId="33" fillId="0" borderId="52" xfId="0" applyFont="1" applyBorder="1" applyAlignment="1">
      <alignment horizontal="left"/>
    </xf>
    <xf numFmtId="0" fontId="0" fillId="0" borderId="47" xfId="0" applyBorder="1" applyAlignment="1">
      <alignment horizontal="left"/>
    </xf>
    <xf numFmtId="0" fontId="0" fillId="0" borderId="48" xfId="0" applyBorder="1" applyAlignment="1">
      <alignment horizontal="left"/>
    </xf>
    <xf numFmtId="0" fontId="3" fillId="6" borderId="8" xfId="0" applyFont="1" applyFill="1" applyBorder="1" applyAlignment="1">
      <alignment horizontal="left"/>
    </xf>
    <xf numFmtId="0" fontId="3" fillId="6" borderId="26" xfId="0" applyFont="1" applyFill="1" applyBorder="1" applyAlignment="1">
      <alignment horizontal="left"/>
    </xf>
    <xf numFmtId="0" fontId="3" fillId="6" borderId="10" xfId="0" applyFont="1" applyFill="1" applyBorder="1" applyAlignment="1">
      <alignment horizontal="left"/>
    </xf>
    <xf numFmtId="0" fontId="9" fillId="0" borderId="0" xfId="0" applyFont="1" applyAlignment="1">
      <alignment horizontal="left"/>
    </xf>
    <xf numFmtId="0" fontId="33" fillId="0" borderId="60" xfId="0" applyFont="1" applyBorder="1" applyAlignment="1">
      <alignment horizontal="left"/>
    </xf>
    <xf numFmtId="0" fontId="33" fillId="0" borderId="61" xfId="0" applyFont="1" applyBorder="1" applyAlignment="1">
      <alignment horizontal="left"/>
    </xf>
    <xf numFmtId="0" fontId="33" fillId="0" borderId="62" xfId="0" applyFont="1" applyBorder="1" applyAlignment="1">
      <alignment horizontal="left"/>
    </xf>
    <xf numFmtId="0" fontId="33" fillId="0" borderId="54" xfId="0" applyFont="1" applyBorder="1" applyAlignment="1">
      <alignment horizontal="left"/>
    </xf>
    <xf numFmtId="0" fontId="33" fillId="0" borderId="55" xfId="0" applyFont="1" applyBorder="1" applyAlignment="1">
      <alignment horizontal="left"/>
    </xf>
    <xf numFmtId="0" fontId="33" fillId="0" borderId="56" xfId="0" applyFont="1" applyBorder="1" applyAlignment="1">
      <alignment horizontal="left"/>
    </xf>
    <xf numFmtId="0" fontId="1" fillId="0" borderId="0" xfId="0" applyFont="1" applyAlignment="1">
      <alignment horizontal="justify" wrapText="1"/>
    </xf>
    <xf numFmtId="0" fontId="1" fillId="0" borderId="0" xfId="0" applyFont="1" applyAlignment="1">
      <alignment horizontal="justify" vertical="top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justify" wrapText="1"/>
    </xf>
    <xf numFmtId="166" fontId="5" fillId="0" borderId="14" xfId="1" applyNumberFormat="1" applyFont="1" applyBorder="1" applyAlignment="1">
      <alignment horizontal="left" wrapText="1"/>
    </xf>
    <xf numFmtId="0" fontId="0" fillId="0" borderId="14" xfId="0" applyBorder="1" applyAlignment="1">
      <alignment wrapText="1"/>
    </xf>
    <xf numFmtId="0" fontId="12" fillId="0" borderId="32" xfId="0" applyFont="1" applyBorder="1" applyAlignment="1">
      <alignment horizontal="right" wrapText="1"/>
    </xf>
    <xf numFmtId="0" fontId="12" fillId="0" borderId="10" xfId="0" applyFont="1" applyBorder="1" applyAlignment="1">
      <alignment horizontal="right" wrapText="1"/>
    </xf>
    <xf numFmtId="0" fontId="12" fillId="6" borderId="13" xfId="0" applyFont="1" applyFill="1" applyBorder="1" applyAlignment="1">
      <alignment horizontal="right" wrapText="1"/>
    </xf>
    <xf numFmtId="0" fontId="12" fillId="6" borderId="33" xfId="0" applyFont="1" applyFill="1" applyBorder="1" applyAlignment="1">
      <alignment horizontal="right" wrapText="1"/>
    </xf>
    <xf numFmtId="0" fontId="0" fillId="0" borderId="0" xfId="0" applyFill="1" applyAlignment="1">
      <alignment horizontal="justify" vertical="top"/>
    </xf>
    <xf numFmtId="3" fontId="5" fillId="0" borderId="14" xfId="3" applyNumberFormat="1" applyFont="1" applyBorder="1" applyAlignment="1">
      <alignment horizontal="left"/>
    </xf>
    <xf numFmtId="3" fontId="0" fillId="0" borderId="14" xfId="0" applyNumberFormat="1" applyBorder="1" applyAlignment="1"/>
    <xf numFmtId="0" fontId="5" fillId="0" borderId="0" xfId="3" applyFont="1" applyBorder="1" applyAlignment="1">
      <alignment horizontal="left"/>
    </xf>
    <xf numFmtId="0" fontId="7" fillId="0" borderId="0" xfId="3" applyFont="1" applyAlignment="1">
      <alignment horizontal="left"/>
    </xf>
    <xf numFmtId="0" fontId="3" fillId="6" borderId="36" xfId="3" applyFont="1" applyFill="1" applyBorder="1" applyAlignment="1">
      <alignment horizontal="center" vertical="center" wrapText="1"/>
    </xf>
    <xf numFmtId="0" fontId="0" fillId="6" borderId="37" xfId="0" applyFill="1" applyBorder="1" applyAlignment="1">
      <alignment horizontal="center" vertical="center" wrapText="1"/>
    </xf>
    <xf numFmtId="0" fontId="0" fillId="6" borderId="34" xfId="0" applyFill="1" applyBorder="1" applyAlignment="1">
      <alignment horizontal="center" vertical="center" wrapText="1"/>
    </xf>
    <xf numFmtId="0" fontId="3" fillId="6" borderId="38" xfId="3" applyFont="1" applyFill="1" applyBorder="1" applyAlignment="1">
      <alignment horizontal="center" vertical="center" wrapText="1"/>
    </xf>
    <xf numFmtId="0" fontId="0" fillId="6" borderId="25" xfId="0" applyFill="1" applyBorder="1" applyAlignment="1">
      <alignment horizontal="center" vertical="center" wrapText="1"/>
    </xf>
    <xf numFmtId="0" fontId="3" fillId="6" borderId="39" xfId="3" applyFont="1" applyFill="1" applyBorder="1" applyAlignment="1">
      <alignment horizontal="center" vertical="center" textRotation="90" wrapText="1"/>
    </xf>
    <xf numFmtId="0" fontId="0" fillId="6" borderId="12" xfId="0" applyFill="1" applyBorder="1" applyAlignment="1">
      <alignment horizontal="center" vertical="center" textRotation="90" wrapText="1"/>
    </xf>
    <xf numFmtId="0" fontId="3" fillId="6" borderId="39" xfId="3" applyFont="1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3" fillId="6" borderId="39" xfId="3" applyFont="1" applyFill="1" applyBorder="1" applyAlignment="1">
      <alignment horizontal="center" vertical="center" wrapText="1"/>
    </xf>
    <xf numFmtId="4" fontId="3" fillId="6" borderId="40" xfId="3" applyNumberFormat="1" applyFont="1" applyFill="1" applyBorder="1" applyAlignment="1">
      <alignment horizontal="center" vertical="center" wrapText="1"/>
    </xf>
    <xf numFmtId="0" fontId="0" fillId="6" borderId="28" xfId="0" applyFill="1" applyBorder="1" applyAlignment="1">
      <alignment horizontal="center" vertical="center"/>
    </xf>
    <xf numFmtId="0" fontId="9" fillId="6" borderId="41" xfId="3" applyFont="1" applyFill="1" applyBorder="1" applyAlignment="1">
      <alignment horizontal="left" vertical="center"/>
    </xf>
    <xf numFmtId="0" fontId="9" fillId="6" borderId="42" xfId="3" applyFont="1" applyFill="1" applyBorder="1" applyAlignment="1">
      <alignment horizontal="left" vertical="center"/>
    </xf>
    <xf numFmtId="0" fontId="9" fillId="6" borderId="43" xfId="3" applyFont="1" applyFill="1" applyBorder="1" applyAlignment="1">
      <alignment horizontal="left" vertical="center"/>
    </xf>
    <xf numFmtId="0" fontId="3" fillId="0" borderId="14" xfId="3" applyFont="1" applyBorder="1" applyAlignment="1">
      <alignment horizontal="right"/>
    </xf>
    <xf numFmtId="0" fontId="9" fillId="0" borderId="58" xfId="3" applyFont="1" applyFill="1" applyBorder="1" applyAlignment="1" applyProtection="1">
      <alignment horizontal="center" vertical="center" wrapText="1"/>
      <protection locked="0"/>
    </xf>
    <xf numFmtId="0" fontId="14" fillId="0" borderId="37" xfId="0" applyFont="1" applyBorder="1" applyAlignment="1">
      <alignment horizontal="center" vertical="center" wrapText="1"/>
    </xf>
    <xf numFmtId="0" fontId="14" fillId="0" borderId="65" xfId="0" applyFont="1" applyBorder="1" applyAlignment="1">
      <alignment horizontal="center" vertical="center" wrapText="1"/>
    </xf>
    <xf numFmtId="0" fontId="31" fillId="0" borderId="38" xfId="3" applyFont="1" applyBorder="1" applyAlignment="1">
      <alignment horizontal="center" vertical="center" textRotation="90" wrapText="1"/>
    </xf>
    <xf numFmtId="0" fontId="0" fillId="0" borderId="25" xfId="0" applyBorder="1" applyAlignment="1">
      <alignment horizontal="center" vertical="center" textRotation="90" wrapText="1"/>
    </xf>
    <xf numFmtId="0" fontId="31" fillId="0" borderId="39" xfId="3" applyFont="1" applyBorder="1" applyAlignment="1">
      <alignment horizontal="center" vertical="center" textRotation="90" wrapText="1"/>
    </xf>
    <xf numFmtId="0" fontId="0" fillId="0" borderId="12" xfId="0" applyBorder="1" applyAlignment="1">
      <alignment horizontal="center" vertical="center" textRotation="90" wrapText="1"/>
    </xf>
    <xf numFmtId="0" fontId="31" fillId="0" borderId="39" xfId="3" applyFont="1" applyFill="1" applyBorder="1" applyAlignment="1">
      <alignment horizontal="center" vertical="center" textRotation="90" wrapText="1"/>
    </xf>
    <xf numFmtId="0" fontId="8" fillId="0" borderId="39" xfId="3" applyFont="1" applyBorder="1" applyAlignment="1">
      <alignment horizontal="center" vertical="center" textRotation="90" wrapText="1"/>
    </xf>
    <xf numFmtId="0" fontId="3" fillId="0" borderId="39" xfId="3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39" xfId="3" applyFont="1" applyFill="1" applyBorder="1" applyAlignment="1">
      <alignment horizontal="center" vertical="center" wrapText="1"/>
    </xf>
    <xf numFmtId="0" fontId="31" fillId="0" borderId="39" xfId="3" applyFont="1" applyFill="1" applyBorder="1" applyAlignment="1">
      <alignment horizontal="center" vertical="center" wrapText="1"/>
    </xf>
    <xf numFmtId="0" fontId="3" fillId="0" borderId="57" xfId="3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4" fontId="32" fillId="0" borderId="63" xfId="3" applyNumberFormat="1" applyFont="1" applyFill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42" fillId="0" borderId="58" xfId="3" applyFont="1" applyFill="1" applyBorder="1" applyAlignment="1" applyProtection="1">
      <alignment horizontal="center" vertical="center" wrapText="1"/>
      <protection locked="0"/>
    </xf>
    <xf numFmtId="0" fontId="3" fillId="0" borderId="39" xfId="3" applyFont="1" applyBorder="1" applyAlignment="1">
      <alignment horizontal="center" vertical="center" textRotation="90" wrapText="1"/>
    </xf>
    <xf numFmtId="0" fontId="3" fillId="0" borderId="39" xfId="3" applyFont="1" applyFill="1" applyBorder="1" applyAlignment="1">
      <alignment horizontal="center" vertical="center" textRotation="90" wrapText="1"/>
    </xf>
    <xf numFmtId="0" fontId="8" fillId="0" borderId="39" xfId="3" applyFont="1" applyBorder="1" applyAlignment="1">
      <alignment horizontal="center" vertical="center" wrapText="1"/>
    </xf>
    <xf numFmtId="0" fontId="8" fillId="0" borderId="39" xfId="3" applyFont="1" applyFill="1" applyBorder="1" applyAlignment="1">
      <alignment horizontal="center" vertical="center" wrapText="1"/>
    </xf>
    <xf numFmtId="0" fontId="32" fillId="0" borderId="39" xfId="3" applyFont="1" applyFill="1" applyBorder="1" applyAlignment="1">
      <alignment horizontal="center" vertical="center" wrapText="1"/>
    </xf>
    <xf numFmtId="0" fontId="8" fillId="0" borderId="40" xfId="3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32" fillId="0" borderId="39" xfId="3" applyFont="1" applyFill="1" applyBorder="1" applyAlignment="1">
      <alignment horizontal="center" vertical="center" textRotation="90" wrapText="1"/>
    </xf>
    <xf numFmtId="0" fontId="8" fillId="0" borderId="57" xfId="3" applyFont="1" applyFill="1" applyBorder="1" applyAlignment="1">
      <alignment horizontal="center" vertical="center" wrapText="1"/>
    </xf>
    <xf numFmtId="0" fontId="42" fillId="0" borderId="58" xfId="3" applyFont="1" applyFill="1" applyBorder="1" applyAlignment="1" applyProtection="1">
      <alignment horizontal="center" vertical="center" wrapText="1"/>
    </xf>
    <xf numFmtId="0" fontId="14" fillId="0" borderId="37" xfId="0" applyFont="1" applyBorder="1" applyAlignment="1" applyProtection="1">
      <alignment horizontal="center" vertical="center" wrapText="1"/>
    </xf>
    <xf numFmtId="0" fontId="14" fillId="0" borderId="65" xfId="0" applyFont="1" applyBorder="1" applyAlignment="1" applyProtection="1">
      <alignment horizontal="center" vertical="center" wrapText="1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4" fontId="32" fillId="0" borderId="40" xfId="3" applyNumberFormat="1" applyFont="1" applyFill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0" fillId="0" borderId="42" xfId="0" applyBorder="1" applyAlignment="1"/>
    <xf numFmtId="0" fontId="0" fillId="0" borderId="43" xfId="0" applyBorder="1" applyAlignment="1"/>
    <xf numFmtId="0" fontId="9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justify" vertical="top"/>
    </xf>
    <xf numFmtId="0" fontId="0" fillId="0" borderId="0" xfId="0" applyAlignment="1">
      <alignment horizontal="justify" vertical="top"/>
    </xf>
    <xf numFmtId="0" fontId="0" fillId="0" borderId="0" xfId="0" applyFill="1" applyAlignment="1">
      <alignment horizontal="justify" wrapText="1"/>
    </xf>
    <xf numFmtId="0" fontId="0" fillId="0" borderId="0" xfId="0" applyFill="1" applyAlignment="1">
      <alignment horizontal="justify"/>
    </xf>
    <xf numFmtId="0" fontId="0" fillId="0" borderId="0" xfId="0" applyFill="1" applyAlignment="1"/>
    <xf numFmtId="0" fontId="1" fillId="0" borderId="0" xfId="0" applyFont="1" applyAlignment="1">
      <alignment horizontal="center"/>
    </xf>
  </cellXfs>
  <cellStyles count="14">
    <cellStyle name="Comma_izvrsenje300903-s planom 2" xfId="1"/>
    <cellStyle name="Loše" xfId="2" builtinId="27"/>
    <cellStyle name="Normal_sablon1-230704" xfId="3"/>
    <cellStyle name="Normal_sablon1-230704 2" xfId="4"/>
    <cellStyle name="Normal_sablon1-230704 2 2 2" xfId="12"/>
    <cellStyle name="Obično" xfId="0" builtinId="0"/>
    <cellStyle name="Obično 2" xfId="7"/>
    <cellStyle name="Obično 2 2" xfId="11"/>
    <cellStyle name="Obično 3" xfId="9"/>
    <cellStyle name="Postotak" xfId="5" builtinId="5"/>
    <cellStyle name="Zarez 2" xfId="6"/>
    <cellStyle name="Zarez 2 2" xfId="8"/>
    <cellStyle name="Zarez 2 2 2" xfId="13"/>
    <cellStyle name="Zarez 2 3" xfId="1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190500</xdr:colOff>
      <xdr:row>0</xdr:row>
      <xdr:rowOff>105704</xdr:rowOff>
    </xdr:from>
    <xdr:to>
      <xdr:col>7</xdr:col>
      <xdr:colOff>495694</xdr:colOff>
      <xdr:row>7</xdr:row>
      <xdr:rowOff>91836</xdr:rowOff>
    </xdr:to>
    <xdr:pic>
      <xdr:nvPicPr>
        <xdr:cNvPr id="5" name="Slika 4" descr="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76700" y="105704"/>
          <a:ext cx="952894" cy="11196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N40"/>
  <sheetViews>
    <sheetView tabSelected="1" zoomScaleNormal="100" workbookViewId="0">
      <selection activeCell="A15" sqref="A15:N20"/>
    </sheetView>
  </sheetViews>
  <sheetFormatPr defaultRowHeight="12.75"/>
  <cols>
    <col min="1" max="14" width="9.7109375" customWidth="1"/>
  </cols>
  <sheetData>
    <row r="1" spans="1:14">
      <c r="A1" s="832"/>
      <c r="B1" s="832"/>
      <c r="C1" s="832"/>
      <c r="D1" s="832"/>
      <c r="E1" s="832"/>
      <c r="F1" s="832"/>
      <c r="G1" s="832"/>
      <c r="H1" s="832"/>
      <c r="I1" s="832"/>
    </row>
    <row r="2" spans="1:14" ht="12.75" customHeight="1">
      <c r="B2" s="429"/>
      <c r="C2" s="430"/>
      <c r="D2" s="833" t="s">
        <v>637</v>
      </c>
      <c r="E2" s="834"/>
      <c r="F2" s="834"/>
      <c r="I2" s="833" t="s">
        <v>636</v>
      </c>
      <c r="J2" s="839"/>
      <c r="K2" s="839"/>
    </row>
    <row r="3" spans="1:14">
      <c r="B3" s="430"/>
      <c r="C3" s="430"/>
      <c r="D3" s="834"/>
      <c r="E3" s="834"/>
      <c r="F3" s="834"/>
      <c r="I3" s="839"/>
      <c r="J3" s="839"/>
      <c r="K3" s="839"/>
    </row>
    <row r="4" spans="1:14">
      <c r="B4" s="430"/>
      <c r="C4" s="430"/>
      <c r="D4" s="834"/>
      <c r="E4" s="834"/>
      <c r="F4" s="834"/>
      <c r="I4" s="839"/>
      <c r="J4" s="839"/>
      <c r="K4" s="839"/>
    </row>
    <row r="5" spans="1:14">
      <c r="B5" s="430"/>
      <c r="C5" s="430"/>
      <c r="D5" s="834"/>
      <c r="E5" s="834"/>
      <c r="F5" s="834"/>
      <c r="I5" s="839"/>
      <c r="J5" s="839"/>
      <c r="K5" s="839"/>
    </row>
    <row r="6" spans="1:14">
      <c r="B6" s="430"/>
      <c r="C6" s="430"/>
      <c r="D6" s="834"/>
      <c r="E6" s="834"/>
      <c r="F6" s="834"/>
      <c r="I6" s="839"/>
      <c r="J6" s="839"/>
      <c r="K6" s="839"/>
    </row>
    <row r="7" spans="1:14">
      <c r="B7" s="430"/>
      <c r="C7" s="430"/>
      <c r="D7" s="834"/>
      <c r="E7" s="834"/>
      <c r="F7" s="834"/>
      <c r="I7" s="839"/>
      <c r="J7" s="839"/>
      <c r="K7" s="839"/>
    </row>
    <row r="8" spans="1:14" ht="13.5" thickBot="1">
      <c r="A8" s="529"/>
      <c r="B8" s="529"/>
      <c r="C8" s="529"/>
      <c r="D8" s="529"/>
      <c r="E8" s="529"/>
      <c r="F8" s="529"/>
      <c r="G8" s="529"/>
      <c r="H8" s="529"/>
      <c r="I8" s="529"/>
      <c r="J8" s="529"/>
      <c r="K8" s="529"/>
      <c r="L8" s="529"/>
      <c r="M8" s="529"/>
      <c r="N8" s="529"/>
    </row>
    <row r="9" spans="1:14" ht="13.5" thickTop="1"/>
    <row r="12" spans="1:14" ht="20.25">
      <c r="L12" s="831"/>
    </row>
    <row r="15" spans="1:14" ht="12.75" customHeight="1">
      <c r="A15" s="835" t="s">
        <v>889</v>
      </c>
      <c r="B15" s="836"/>
      <c r="C15" s="836"/>
      <c r="D15" s="836"/>
      <c r="E15" s="836"/>
      <c r="F15" s="836"/>
      <c r="G15" s="836"/>
      <c r="H15" s="836"/>
      <c r="I15" s="836"/>
      <c r="J15" s="836"/>
      <c r="K15" s="836"/>
      <c r="L15" s="837"/>
      <c r="M15" s="837"/>
      <c r="N15" s="837"/>
    </row>
    <row r="16" spans="1:14">
      <c r="A16" s="836"/>
      <c r="B16" s="836"/>
      <c r="C16" s="836"/>
      <c r="D16" s="836"/>
      <c r="E16" s="836"/>
      <c r="F16" s="836"/>
      <c r="G16" s="836"/>
      <c r="H16" s="836"/>
      <c r="I16" s="836"/>
      <c r="J16" s="836"/>
      <c r="K16" s="836"/>
      <c r="L16" s="837"/>
      <c r="M16" s="837"/>
      <c r="N16" s="837"/>
    </row>
    <row r="17" spans="1:14">
      <c r="A17" s="836"/>
      <c r="B17" s="836"/>
      <c r="C17" s="836"/>
      <c r="D17" s="836"/>
      <c r="E17" s="836"/>
      <c r="F17" s="836"/>
      <c r="G17" s="836"/>
      <c r="H17" s="836"/>
      <c r="I17" s="836"/>
      <c r="J17" s="836"/>
      <c r="K17" s="836"/>
      <c r="L17" s="837"/>
      <c r="M17" s="837"/>
      <c r="N17" s="837"/>
    </row>
    <row r="18" spans="1:14">
      <c r="A18" s="836"/>
      <c r="B18" s="836"/>
      <c r="C18" s="836"/>
      <c r="D18" s="836"/>
      <c r="E18" s="836"/>
      <c r="F18" s="836"/>
      <c r="G18" s="836"/>
      <c r="H18" s="836"/>
      <c r="I18" s="836"/>
      <c r="J18" s="836"/>
      <c r="K18" s="836"/>
      <c r="L18" s="837"/>
      <c r="M18" s="837"/>
      <c r="N18" s="837"/>
    </row>
    <row r="19" spans="1:14">
      <c r="A19" s="836"/>
      <c r="B19" s="836"/>
      <c r="C19" s="836"/>
      <c r="D19" s="836"/>
      <c r="E19" s="836"/>
      <c r="F19" s="836"/>
      <c r="G19" s="836"/>
      <c r="H19" s="836"/>
      <c r="I19" s="836"/>
      <c r="J19" s="836"/>
      <c r="K19" s="836"/>
      <c r="L19" s="837"/>
      <c r="M19" s="837"/>
      <c r="N19" s="837"/>
    </row>
    <row r="20" spans="1:14" ht="13.5" customHeight="1">
      <c r="A20" s="836"/>
      <c r="B20" s="836"/>
      <c r="C20" s="836"/>
      <c r="D20" s="836"/>
      <c r="E20" s="836"/>
      <c r="F20" s="836"/>
      <c r="G20" s="836"/>
      <c r="H20" s="836"/>
      <c r="I20" s="836"/>
      <c r="J20" s="836"/>
      <c r="K20" s="836"/>
      <c r="L20" s="837"/>
      <c r="M20" s="837"/>
      <c r="N20" s="837"/>
    </row>
    <row r="33" spans="1:14" s="466" customFormat="1"/>
    <row r="36" spans="1:14" s="466" customFormat="1"/>
    <row r="38" spans="1:14">
      <c r="A38" s="838" t="s">
        <v>938</v>
      </c>
      <c r="B38" s="832"/>
      <c r="C38" s="832"/>
      <c r="D38" s="832"/>
      <c r="E38" s="832"/>
      <c r="F38" s="832"/>
      <c r="G38" s="832"/>
      <c r="H38" s="832"/>
      <c r="I38" s="832"/>
      <c r="J38" s="832"/>
      <c r="K38" s="832"/>
      <c r="L38" s="832"/>
      <c r="M38" s="832"/>
      <c r="N38" s="832"/>
    </row>
    <row r="39" spans="1:14">
      <c r="A39" s="832"/>
      <c r="B39" s="832"/>
      <c r="C39" s="832"/>
      <c r="D39" s="832"/>
      <c r="E39" s="832"/>
      <c r="F39" s="832"/>
      <c r="G39" s="832"/>
      <c r="H39" s="832"/>
      <c r="I39" s="832"/>
      <c r="J39" s="832"/>
      <c r="K39" s="832"/>
      <c r="L39" s="832"/>
      <c r="M39" s="832"/>
      <c r="N39" s="832"/>
    </row>
    <row r="40" spans="1:14" ht="15.75">
      <c r="A40" s="87"/>
      <c r="B40" s="87"/>
      <c r="C40" s="87"/>
      <c r="D40" s="87"/>
      <c r="E40" s="87"/>
      <c r="F40" s="87"/>
      <c r="G40" s="87"/>
      <c r="H40" s="87"/>
      <c r="I40" s="87"/>
    </row>
  </sheetData>
  <mergeCells count="5">
    <mergeCell ref="A1:I1"/>
    <mergeCell ref="D2:F7"/>
    <mergeCell ref="A15:N20"/>
    <mergeCell ref="A38:N39"/>
    <mergeCell ref="I2:K7"/>
  </mergeCells>
  <phoneticPr fontId="0" type="noConversion"/>
  <pageMargins left="0.6692913385826772" right="0.43307086614173229" top="0.5" bottom="0.76" header="0.51181102362204722" footer="0.51181102362204722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Q96"/>
  <sheetViews>
    <sheetView topLeftCell="A4" zoomScaleNormal="100" workbookViewId="0">
      <selection activeCell="L8" activeCellId="3" sqref="L28 L16 L13 L8"/>
    </sheetView>
  </sheetViews>
  <sheetFormatPr defaultRowHeight="12.75"/>
  <cols>
    <col min="1" max="1" width="9.140625" style="314"/>
    <col min="2" max="2" width="4.7109375" style="9" customWidth="1"/>
    <col min="3" max="3" width="5.42578125" style="9" customWidth="1"/>
    <col min="4" max="4" width="5" style="9" customWidth="1"/>
    <col min="5" max="5" width="5" style="314" customWidth="1"/>
    <col min="6" max="6" width="8.7109375" style="18" customWidth="1"/>
    <col min="7" max="7" width="8.7109375" style="319" customWidth="1"/>
    <col min="8" max="8" width="50.7109375" style="9" customWidth="1"/>
    <col min="9" max="11" width="14.7109375" style="9" customWidth="1"/>
    <col min="12" max="13" width="14.7109375" style="314" customWidth="1"/>
    <col min="14" max="14" width="15.7109375" style="9" customWidth="1"/>
    <col min="15" max="15" width="7.7109375" style="380" customWidth="1"/>
    <col min="16" max="16384" width="9.140625" style="9"/>
  </cols>
  <sheetData>
    <row r="1" spans="1:17" ht="13.5" thickBot="1"/>
    <row r="2" spans="1:17" s="408" customFormat="1" ht="20.100000000000001" customHeight="1" thickTop="1" thickBot="1">
      <c r="B2" s="887" t="s">
        <v>744</v>
      </c>
      <c r="C2" s="888"/>
      <c r="D2" s="888"/>
      <c r="E2" s="888"/>
      <c r="F2" s="888"/>
      <c r="G2" s="888"/>
      <c r="H2" s="888"/>
      <c r="I2" s="888"/>
      <c r="J2" s="888"/>
      <c r="K2" s="888"/>
      <c r="L2" s="888"/>
      <c r="M2" s="888"/>
      <c r="N2" s="888"/>
      <c r="O2" s="412"/>
    </row>
    <row r="3" spans="1:17" s="1" customFormat="1" ht="8.1" customHeight="1" thickTop="1" thickBot="1">
      <c r="A3" s="311"/>
      <c r="E3" s="311"/>
      <c r="F3" s="2"/>
      <c r="G3" s="312"/>
      <c r="H3" s="890"/>
      <c r="I3" s="890"/>
      <c r="J3" s="282"/>
      <c r="K3" s="282"/>
      <c r="L3" s="107"/>
      <c r="M3" s="107"/>
      <c r="N3" s="107"/>
      <c r="O3" s="374"/>
    </row>
    <row r="4" spans="1:17" s="1" customFormat="1" ht="39" customHeight="1">
      <c r="A4" s="311"/>
      <c r="B4" s="894" t="s">
        <v>77</v>
      </c>
      <c r="C4" s="909" t="s">
        <v>78</v>
      </c>
      <c r="D4" s="910" t="s">
        <v>107</v>
      </c>
      <c r="E4" s="916" t="s">
        <v>828</v>
      </c>
      <c r="F4" s="911" t="s">
        <v>517</v>
      </c>
      <c r="G4" s="899" t="s">
        <v>556</v>
      </c>
      <c r="H4" s="900" t="s">
        <v>79</v>
      </c>
      <c r="I4" s="912" t="s">
        <v>697</v>
      </c>
      <c r="J4" s="913" t="s">
        <v>862</v>
      </c>
      <c r="K4" s="917" t="s">
        <v>863</v>
      </c>
      <c r="L4" s="908" t="s">
        <v>865</v>
      </c>
      <c r="M4" s="892"/>
      <c r="N4" s="893"/>
      <c r="O4" s="906" t="s">
        <v>866</v>
      </c>
      <c r="Q4" s="81"/>
    </row>
    <row r="5" spans="1:17" s="311" customFormat="1" ht="27" customHeight="1">
      <c r="B5" s="895"/>
      <c r="C5" s="897"/>
      <c r="D5" s="897"/>
      <c r="E5" s="897"/>
      <c r="F5" s="901"/>
      <c r="G5" s="897"/>
      <c r="H5" s="901"/>
      <c r="I5" s="901"/>
      <c r="J5" s="901"/>
      <c r="K5" s="905"/>
      <c r="L5" s="587" t="s">
        <v>601</v>
      </c>
      <c r="M5" s="404" t="s">
        <v>602</v>
      </c>
      <c r="N5" s="720" t="s">
        <v>349</v>
      </c>
      <c r="O5" s="907"/>
    </row>
    <row r="6" spans="1:17" s="2" customFormat="1" ht="12.95" customHeight="1">
      <c r="A6" s="312"/>
      <c r="B6" s="525">
        <v>1</v>
      </c>
      <c r="C6" s="361">
        <v>2</v>
      </c>
      <c r="D6" s="361">
        <v>3</v>
      </c>
      <c r="E6" s="361">
        <v>4</v>
      </c>
      <c r="F6" s="361">
        <v>5</v>
      </c>
      <c r="G6" s="361">
        <v>6</v>
      </c>
      <c r="H6" s="361">
        <v>7</v>
      </c>
      <c r="I6" s="361">
        <v>8</v>
      </c>
      <c r="J6" s="361">
        <v>9</v>
      </c>
      <c r="K6" s="526">
        <v>10</v>
      </c>
      <c r="L6" s="525">
        <v>11</v>
      </c>
      <c r="M6" s="361">
        <v>12</v>
      </c>
      <c r="N6" s="721" t="s">
        <v>830</v>
      </c>
      <c r="O6" s="527">
        <v>14</v>
      </c>
    </row>
    <row r="7" spans="1:17" s="2" customFormat="1" ht="12.95" customHeight="1">
      <c r="A7" s="312"/>
      <c r="B7" s="6" t="s">
        <v>115</v>
      </c>
      <c r="C7" s="7" t="s">
        <v>80</v>
      </c>
      <c r="D7" s="7" t="s">
        <v>118</v>
      </c>
      <c r="E7" s="667" t="s">
        <v>829</v>
      </c>
      <c r="F7" s="5"/>
      <c r="G7" s="313"/>
      <c r="H7" s="5"/>
      <c r="I7" s="5"/>
      <c r="J7" s="5"/>
      <c r="K7" s="574"/>
      <c r="L7" s="4"/>
      <c r="M7" s="313"/>
      <c r="N7" s="722"/>
      <c r="O7" s="375"/>
    </row>
    <row r="8" spans="1:17" s="1" customFormat="1" ht="12.95" customHeight="1">
      <c r="A8" s="311"/>
      <c r="B8" s="12"/>
      <c r="C8" s="8"/>
      <c r="D8" s="8"/>
      <c r="E8" s="8"/>
      <c r="F8" s="335">
        <v>611000</v>
      </c>
      <c r="G8" s="361"/>
      <c r="H8" s="8" t="s">
        <v>146</v>
      </c>
      <c r="I8" s="556">
        <f t="shared" ref="I8" si="0">SUM(I9:I12)</f>
        <v>55720</v>
      </c>
      <c r="J8" s="556">
        <f t="shared" ref="J8:L8" si="1">SUM(J9:J12)</f>
        <v>55720</v>
      </c>
      <c r="K8" s="556">
        <f>SUM(K9:K11)</f>
        <v>13211</v>
      </c>
      <c r="L8" s="573">
        <f t="shared" si="1"/>
        <v>53940</v>
      </c>
      <c r="M8" s="236">
        <f>SUM(M9:M12)</f>
        <v>0</v>
      </c>
      <c r="N8" s="723">
        <f>SUM(N9:N12)</f>
        <v>53940</v>
      </c>
      <c r="O8" s="376">
        <f>IF(J8=0,"",N8/J8*100)</f>
        <v>96.80545585068198</v>
      </c>
    </row>
    <row r="9" spans="1:17" ht="12.95" customHeight="1">
      <c r="B9" s="10"/>
      <c r="C9" s="11"/>
      <c r="D9" s="11"/>
      <c r="E9" s="316"/>
      <c r="F9" s="336">
        <v>611100</v>
      </c>
      <c r="G9" s="362"/>
      <c r="H9" s="20" t="s">
        <v>174</v>
      </c>
      <c r="I9" s="557">
        <v>48870</v>
      </c>
      <c r="J9" s="557">
        <v>48870</v>
      </c>
      <c r="K9" s="557">
        <v>11831</v>
      </c>
      <c r="L9" s="572">
        <f>47360+200</f>
        <v>47560</v>
      </c>
      <c r="M9" s="235">
        <v>0</v>
      </c>
      <c r="N9" s="724">
        <f>SUM(L9:M9)</f>
        <v>47560</v>
      </c>
      <c r="O9" s="377">
        <f>IF(J9=0,"",N9/J9*100)</f>
        <v>97.31941886638019</v>
      </c>
    </row>
    <row r="10" spans="1:17" ht="12.95" customHeight="1">
      <c r="B10" s="10"/>
      <c r="C10" s="11"/>
      <c r="D10" s="11"/>
      <c r="E10" s="316"/>
      <c r="F10" s="336">
        <v>611200</v>
      </c>
      <c r="G10" s="362"/>
      <c r="H10" s="11" t="s">
        <v>175</v>
      </c>
      <c r="I10" s="557">
        <v>6850</v>
      </c>
      <c r="J10" s="557">
        <v>6850</v>
      </c>
      <c r="K10" s="557">
        <v>1380</v>
      </c>
      <c r="L10" s="572">
        <f>6180+200</f>
        <v>6380</v>
      </c>
      <c r="M10" s="235">
        <v>0</v>
      </c>
      <c r="N10" s="724">
        <f t="shared" ref="N10:N11" si="2">SUM(L10:M10)</f>
        <v>6380</v>
      </c>
      <c r="O10" s="377">
        <f t="shared" ref="O10:O35" si="3">IF(J10=0,"",N10/J10*100)</f>
        <v>93.138686131386862</v>
      </c>
    </row>
    <row r="11" spans="1:17" ht="12.95" customHeight="1">
      <c r="B11" s="10"/>
      <c r="C11" s="11"/>
      <c r="D11" s="11"/>
      <c r="E11" s="316"/>
      <c r="F11" s="336">
        <v>611200</v>
      </c>
      <c r="G11" s="362"/>
      <c r="H11" s="210" t="s">
        <v>464</v>
      </c>
      <c r="I11" s="557">
        <f t="shared" ref="I11:L11" si="4">SUM(G11:H11)</f>
        <v>0</v>
      </c>
      <c r="J11" s="557">
        <f t="shared" si="4"/>
        <v>0</v>
      </c>
      <c r="K11" s="557">
        <v>0</v>
      </c>
      <c r="L11" s="572">
        <f t="shared" si="4"/>
        <v>0</v>
      </c>
      <c r="M11" s="235">
        <v>0</v>
      </c>
      <c r="N11" s="724">
        <f t="shared" si="2"/>
        <v>0</v>
      </c>
      <c r="O11" s="377" t="str">
        <f t="shared" si="3"/>
        <v/>
      </c>
      <c r="Q11" s="62"/>
    </row>
    <row r="12" spans="1:17" ht="8.1" customHeight="1">
      <c r="B12" s="10"/>
      <c r="C12" s="11"/>
      <c r="D12" s="11"/>
      <c r="E12" s="316"/>
      <c r="F12" s="336"/>
      <c r="G12" s="362"/>
      <c r="H12" s="20"/>
      <c r="I12" s="557"/>
      <c r="J12" s="557"/>
      <c r="K12" s="557"/>
      <c r="L12" s="572"/>
      <c r="M12" s="235"/>
      <c r="N12" s="724"/>
      <c r="O12" s="377" t="str">
        <f t="shared" si="3"/>
        <v/>
      </c>
    </row>
    <row r="13" spans="1:17" s="1" customFormat="1" ht="12.95" customHeight="1">
      <c r="A13" s="311"/>
      <c r="B13" s="12"/>
      <c r="C13" s="8"/>
      <c r="D13" s="8"/>
      <c r="E13" s="8"/>
      <c r="F13" s="335">
        <v>612000</v>
      </c>
      <c r="G13" s="361"/>
      <c r="H13" s="8" t="s">
        <v>145</v>
      </c>
      <c r="I13" s="556">
        <f t="shared" ref="I13:L13" si="5">I14</f>
        <v>5250</v>
      </c>
      <c r="J13" s="556">
        <f t="shared" si="5"/>
        <v>5250</v>
      </c>
      <c r="K13" s="556">
        <f>K14</f>
        <v>1249</v>
      </c>
      <c r="L13" s="573">
        <f t="shared" si="5"/>
        <v>5060</v>
      </c>
      <c r="M13" s="236">
        <f>M14</f>
        <v>0</v>
      </c>
      <c r="N13" s="723">
        <f>N14</f>
        <v>5060</v>
      </c>
      <c r="O13" s="376">
        <f t="shared" si="3"/>
        <v>96.38095238095238</v>
      </c>
    </row>
    <row r="14" spans="1:17" ht="12.95" customHeight="1">
      <c r="B14" s="10"/>
      <c r="C14" s="11"/>
      <c r="D14" s="11"/>
      <c r="E14" s="316"/>
      <c r="F14" s="336">
        <v>612100</v>
      </c>
      <c r="G14" s="362"/>
      <c r="H14" s="13" t="s">
        <v>82</v>
      </c>
      <c r="I14" s="557">
        <v>5250</v>
      </c>
      <c r="J14" s="557">
        <v>5250</v>
      </c>
      <c r="K14" s="557">
        <v>1249</v>
      </c>
      <c r="L14" s="572">
        <f>4990+70</f>
        <v>5060</v>
      </c>
      <c r="M14" s="235">
        <v>0</v>
      </c>
      <c r="N14" s="724">
        <f>SUM(L14:M14)</f>
        <v>5060</v>
      </c>
      <c r="O14" s="377">
        <f t="shared" si="3"/>
        <v>96.38095238095238</v>
      </c>
    </row>
    <row r="15" spans="1:17" ht="8.1" customHeight="1">
      <c r="B15" s="10"/>
      <c r="C15" s="11"/>
      <c r="D15" s="11"/>
      <c r="E15" s="316"/>
      <c r="F15" s="336"/>
      <c r="G15" s="362"/>
      <c r="H15" s="11"/>
      <c r="I15" s="557"/>
      <c r="J15" s="557"/>
      <c r="K15" s="557"/>
      <c r="L15" s="572"/>
      <c r="M15" s="309"/>
      <c r="N15" s="725"/>
      <c r="O15" s="377" t="str">
        <f t="shared" si="3"/>
        <v/>
      </c>
    </row>
    <row r="16" spans="1:17" s="1" customFormat="1" ht="12.95" customHeight="1">
      <c r="A16" s="311"/>
      <c r="B16" s="12"/>
      <c r="C16" s="8"/>
      <c r="D16" s="8"/>
      <c r="E16" s="8"/>
      <c r="F16" s="335">
        <v>613000</v>
      </c>
      <c r="G16" s="361"/>
      <c r="H16" s="8" t="s">
        <v>147</v>
      </c>
      <c r="I16" s="556">
        <f t="shared" ref="I16" si="6">SUM(I17:I26)</f>
        <v>1500</v>
      </c>
      <c r="J16" s="556">
        <f t="shared" ref="J16:L16" si="7">SUM(J17:J26)</f>
        <v>1500</v>
      </c>
      <c r="K16" s="556">
        <f>SUM(K17:K26)</f>
        <v>38</v>
      </c>
      <c r="L16" s="573">
        <f t="shared" si="7"/>
        <v>1260</v>
      </c>
      <c r="M16" s="323">
        <f>SUM(M17:M26)</f>
        <v>0</v>
      </c>
      <c r="N16" s="726">
        <f>SUM(N17:N26)</f>
        <v>1260</v>
      </c>
      <c r="O16" s="376">
        <f t="shared" si="3"/>
        <v>84</v>
      </c>
    </row>
    <row r="17" spans="1:17" ht="12.95" customHeight="1">
      <c r="B17" s="10"/>
      <c r="C17" s="11"/>
      <c r="D17" s="11"/>
      <c r="E17" s="316"/>
      <c r="F17" s="336">
        <v>613100</v>
      </c>
      <c r="G17" s="362"/>
      <c r="H17" s="11" t="s">
        <v>83</v>
      </c>
      <c r="I17" s="557">
        <v>1000</v>
      </c>
      <c r="J17" s="557">
        <v>1000</v>
      </c>
      <c r="K17" s="557">
        <v>0</v>
      </c>
      <c r="L17" s="572">
        <f>1000*80%</f>
        <v>800</v>
      </c>
      <c r="M17" s="393">
        <v>0</v>
      </c>
      <c r="N17" s="724">
        <f t="shared" ref="N17:N26" si="8">SUM(L17:M17)</f>
        <v>800</v>
      </c>
      <c r="O17" s="377">
        <f t="shared" si="3"/>
        <v>80</v>
      </c>
    </row>
    <row r="18" spans="1:17" ht="12.95" customHeight="1">
      <c r="B18" s="10"/>
      <c r="C18" s="11"/>
      <c r="D18" s="11"/>
      <c r="E18" s="316"/>
      <c r="F18" s="336">
        <v>613200</v>
      </c>
      <c r="G18" s="362"/>
      <c r="H18" s="11" t="s">
        <v>84</v>
      </c>
      <c r="I18" s="557">
        <f t="shared" ref="I18:L26" si="9">SUM(G18:H18)</f>
        <v>0</v>
      </c>
      <c r="J18" s="557">
        <f t="shared" si="9"/>
        <v>0</v>
      </c>
      <c r="K18" s="557">
        <v>0</v>
      </c>
      <c r="L18" s="572">
        <f t="shared" si="9"/>
        <v>0</v>
      </c>
      <c r="M18" s="393">
        <v>0</v>
      </c>
      <c r="N18" s="724">
        <f t="shared" si="8"/>
        <v>0</v>
      </c>
      <c r="O18" s="377" t="str">
        <f t="shared" si="3"/>
        <v/>
      </c>
    </row>
    <row r="19" spans="1:17" ht="12.95" customHeight="1">
      <c r="B19" s="10"/>
      <c r="C19" s="11"/>
      <c r="D19" s="11"/>
      <c r="E19" s="316"/>
      <c r="F19" s="336">
        <v>613300</v>
      </c>
      <c r="G19" s="362"/>
      <c r="H19" s="20" t="s">
        <v>176</v>
      </c>
      <c r="I19" s="557">
        <f t="shared" si="9"/>
        <v>0</v>
      </c>
      <c r="J19" s="557">
        <f t="shared" si="9"/>
        <v>0</v>
      </c>
      <c r="K19" s="557">
        <v>0</v>
      </c>
      <c r="L19" s="572">
        <f t="shared" si="9"/>
        <v>0</v>
      </c>
      <c r="M19" s="393">
        <v>0</v>
      </c>
      <c r="N19" s="724">
        <f t="shared" si="8"/>
        <v>0</v>
      </c>
      <c r="O19" s="377" t="str">
        <f t="shared" si="3"/>
        <v/>
      </c>
    </row>
    <row r="20" spans="1:17" ht="12.95" customHeight="1">
      <c r="B20" s="10"/>
      <c r="C20" s="11"/>
      <c r="D20" s="11"/>
      <c r="E20" s="316"/>
      <c r="F20" s="336">
        <v>613400</v>
      </c>
      <c r="G20" s="362"/>
      <c r="H20" s="11" t="s">
        <v>148</v>
      </c>
      <c r="I20" s="557">
        <f t="shared" si="9"/>
        <v>0</v>
      </c>
      <c r="J20" s="557">
        <f t="shared" si="9"/>
        <v>0</v>
      </c>
      <c r="K20" s="557">
        <v>0</v>
      </c>
      <c r="L20" s="572">
        <f t="shared" si="9"/>
        <v>0</v>
      </c>
      <c r="M20" s="393">
        <v>0</v>
      </c>
      <c r="N20" s="724">
        <f t="shared" si="8"/>
        <v>0</v>
      </c>
      <c r="O20" s="377" t="str">
        <f t="shared" si="3"/>
        <v/>
      </c>
    </row>
    <row r="21" spans="1:17" ht="12.95" customHeight="1">
      <c r="B21" s="10"/>
      <c r="C21" s="11"/>
      <c r="D21" s="11"/>
      <c r="E21" s="316"/>
      <c r="F21" s="336">
        <v>613500</v>
      </c>
      <c r="G21" s="362"/>
      <c r="H21" s="11" t="s">
        <v>85</v>
      </c>
      <c r="I21" s="557">
        <f t="shared" si="9"/>
        <v>0</v>
      </c>
      <c r="J21" s="557">
        <f t="shared" si="9"/>
        <v>0</v>
      </c>
      <c r="K21" s="557">
        <v>0</v>
      </c>
      <c r="L21" s="572">
        <f t="shared" si="9"/>
        <v>0</v>
      </c>
      <c r="M21" s="393">
        <v>0</v>
      </c>
      <c r="N21" s="724">
        <f t="shared" si="8"/>
        <v>0</v>
      </c>
      <c r="O21" s="377" t="str">
        <f t="shared" si="3"/>
        <v/>
      </c>
    </row>
    <row r="22" spans="1:17" ht="12.95" customHeight="1">
      <c r="B22" s="10"/>
      <c r="C22" s="11"/>
      <c r="D22" s="11"/>
      <c r="E22" s="316"/>
      <c r="F22" s="336">
        <v>613600</v>
      </c>
      <c r="G22" s="362"/>
      <c r="H22" s="20" t="s">
        <v>177</v>
      </c>
      <c r="I22" s="557">
        <f t="shared" si="9"/>
        <v>0</v>
      </c>
      <c r="J22" s="557">
        <f t="shared" si="9"/>
        <v>0</v>
      </c>
      <c r="K22" s="557">
        <v>0</v>
      </c>
      <c r="L22" s="572">
        <f t="shared" si="9"/>
        <v>0</v>
      </c>
      <c r="M22" s="393">
        <v>0</v>
      </c>
      <c r="N22" s="724">
        <f t="shared" si="8"/>
        <v>0</v>
      </c>
      <c r="O22" s="377" t="str">
        <f t="shared" si="3"/>
        <v/>
      </c>
    </row>
    <row r="23" spans="1:17" ht="12.95" customHeight="1">
      <c r="B23" s="10"/>
      <c r="C23" s="11"/>
      <c r="D23" s="11"/>
      <c r="E23" s="316"/>
      <c r="F23" s="336">
        <v>613700</v>
      </c>
      <c r="G23" s="362"/>
      <c r="H23" s="11" t="s">
        <v>86</v>
      </c>
      <c r="I23" s="557">
        <f t="shared" si="9"/>
        <v>0</v>
      </c>
      <c r="J23" s="557">
        <f t="shared" si="9"/>
        <v>0</v>
      </c>
      <c r="K23" s="557">
        <v>0</v>
      </c>
      <c r="L23" s="572">
        <f t="shared" si="9"/>
        <v>0</v>
      </c>
      <c r="M23" s="393">
        <v>0</v>
      </c>
      <c r="N23" s="724">
        <f t="shared" si="8"/>
        <v>0</v>
      </c>
      <c r="O23" s="377" t="str">
        <f t="shared" si="3"/>
        <v/>
      </c>
    </row>
    <row r="24" spans="1:17" ht="12.95" customHeight="1">
      <c r="B24" s="10"/>
      <c r="C24" s="11"/>
      <c r="D24" s="11"/>
      <c r="E24" s="316"/>
      <c r="F24" s="336">
        <v>613800</v>
      </c>
      <c r="G24" s="362"/>
      <c r="H24" s="11" t="s">
        <v>149</v>
      </c>
      <c r="I24" s="557">
        <f t="shared" si="9"/>
        <v>0</v>
      </c>
      <c r="J24" s="557">
        <f t="shared" si="9"/>
        <v>0</v>
      </c>
      <c r="K24" s="557">
        <v>0</v>
      </c>
      <c r="L24" s="572">
        <f t="shared" si="9"/>
        <v>0</v>
      </c>
      <c r="M24" s="393">
        <v>0</v>
      </c>
      <c r="N24" s="724">
        <f t="shared" si="8"/>
        <v>0</v>
      </c>
      <c r="O24" s="377" t="str">
        <f t="shared" si="3"/>
        <v/>
      </c>
      <c r="Q24" s="55"/>
    </row>
    <row r="25" spans="1:17" ht="12.95" customHeight="1">
      <c r="B25" s="10"/>
      <c r="C25" s="11"/>
      <c r="D25" s="11"/>
      <c r="E25" s="316"/>
      <c r="F25" s="336">
        <v>613900</v>
      </c>
      <c r="G25" s="362"/>
      <c r="H25" s="11" t="s">
        <v>150</v>
      </c>
      <c r="I25" s="557">
        <v>500</v>
      </c>
      <c r="J25" s="557">
        <v>500</v>
      </c>
      <c r="K25" s="557">
        <v>38</v>
      </c>
      <c r="L25" s="572">
        <f>500-40</f>
        <v>460</v>
      </c>
      <c r="M25" s="393">
        <v>0</v>
      </c>
      <c r="N25" s="724">
        <f t="shared" si="8"/>
        <v>460</v>
      </c>
      <c r="O25" s="377">
        <f t="shared" si="3"/>
        <v>92</v>
      </c>
    </row>
    <row r="26" spans="1:17" ht="12.95" customHeight="1">
      <c r="B26" s="10"/>
      <c r="C26" s="11"/>
      <c r="D26" s="11"/>
      <c r="E26" s="316"/>
      <c r="F26" s="336">
        <v>613900</v>
      </c>
      <c r="G26" s="362"/>
      <c r="H26" s="210" t="s">
        <v>465</v>
      </c>
      <c r="I26" s="557">
        <f t="shared" si="9"/>
        <v>0</v>
      </c>
      <c r="J26" s="557">
        <f t="shared" si="9"/>
        <v>0</v>
      </c>
      <c r="K26" s="557">
        <v>0</v>
      </c>
      <c r="L26" s="572">
        <f t="shared" si="9"/>
        <v>0</v>
      </c>
      <c r="M26" s="395">
        <v>0</v>
      </c>
      <c r="N26" s="724">
        <f t="shared" si="8"/>
        <v>0</v>
      </c>
      <c r="O26" s="377" t="str">
        <f t="shared" si="3"/>
        <v/>
      </c>
    </row>
    <row r="27" spans="1:17" s="1" customFormat="1" ht="8.1" customHeight="1">
      <c r="A27" s="311"/>
      <c r="B27" s="12"/>
      <c r="C27" s="8"/>
      <c r="D27" s="8"/>
      <c r="E27" s="666"/>
      <c r="F27" s="346"/>
      <c r="G27" s="373"/>
      <c r="H27" s="8"/>
      <c r="I27" s="557"/>
      <c r="J27" s="557"/>
      <c r="K27" s="557"/>
      <c r="L27" s="572"/>
      <c r="M27" s="309"/>
      <c r="N27" s="725"/>
      <c r="O27" s="377" t="str">
        <f t="shared" si="3"/>
        <v/>
      </c>
    </row>
    <row r="28" spans="1:17" s="1" customFormat="1" ht="12.95" customHeight="1">
      <c r="A28" s="311"/>
      <c r="B28" s="12"/>
      <c r="C28" s="8"/>
      <c r="D28" s="8"/>
      <c r="E28" s="8"/>
      <c r="F28" s="335">
        <v>821000</v>
      </c>
      <c r="G28" s="361"/>
      <c r="H28" s="8" t="s">
        <v>89</v>
      </c>
      <c r="I28" s="556">
        <f t="shared" ref="I28" si="10">SUM(I29:I30)</f>
        <v>1500</v>
      </c>
      <c r="J28" s="556">
        <f t="shared" ref="J28:L28" si="11">SUM(J29:J30)</f>
        <v>1500</v>
      </c>
      <c r="K28" s="556">
        <f>SUM(K29:K30)</f>
        <v>0</v>
      </c>
      <c r="L28" s="573">
        <f t="shared" si="11"/>
        <v>1500</v>
      </c>
      <c r="M28" s="318">
        <f t="shared" ref="M28:N28" si="12">SUM(M29:M30)</f>
        <v>0</v>
      </c>
      <c r="N28" s="726">
        <f t="shared" si="12"/>
        <v>1500</v>
      </c>
      <c r="O28" s="377">
        <f t="shared" si="3"/>
        <v>100</v>
      </c>
    </row>
    <row r="29" spans="1:17" ht="12.95" customHeight="1">
      <c r="B29" s="10"/>
      <c r="C29" s="11"/>
      <c r="D29" s="11"/>
      <c r="E29" s="316"/>
      <c r="F29" s="336">
        <v>821200</v>
      </c>
      <c r="G29" s="362"/>
      <c r="H29" s="11" t="s">
        <v>90</v>
      </c>
      <c r="I29" s="557">
        <f t="shared" ref="I29:L29" si="13">SUM(G29:H29)</f>
        <v>0</v>
      </c>
      <c r="J29" s="557">
        <f t="shared" si="13"/>
        <v>0</v>
      </c>
      <c r="K29" s="557">
        <v>0</v>
      </c>
      <c r="L29" s="572">
        <f t="shared" si="13"/>
        <v>0</v>
      </c>
      <c r="M29" s="310">
        <v>0</v>
      </c>
      <c r="N29" s="724">
        <f t="shared" ref="N29:N30" si="14">SUM(L29:M29)</f>
        <v>0</v>
      </c>
      <c r="O29" s="377" t="str">
        <f t="shared" si="3"/>
        <v/>
      </c>
    </row>
    <row r="30" spans="1:17" ht="12.95" customHeight="1">
      <c r="B30" s="10"/>
      <c r="C30" s="11"/>
      <c r="D30" s="11"/>
      <c r="E30" s="316"/>
      <c r="F30" s="336">
        <v>821300</v>
      </c>
      <c r="G30" s="362"/>
      <c r="H30" s="11" t="s">
        <v>91</v>
      </c>
      <c r="I30" s="557">
        <v>1500</v>
      </c>
      <c r="J30" s="557">
        <v>1500</v>
      </c>
      <c r="K30" s="557">
        <v>0</v>
      </c>
      <c r="L30" s="572">
        <v>1500</v>
      </c>
      <c r="M30" s="309">
        <v>0</v>
      </c>
      <c r="N30" s="724">
        <f t="shared" si="14"/>
        <v>1500</v>
      </c>
      <c r="O30" s="377">
        <f t="shared" si="3"/>
        <v>100</v>
      </c>
    </row>
    <row r="31" spans="1:17" ht="8.1" customHeight="1">
      <c r="B31" s="10"/>
      <c r="C31" s="11"/>
      <c r="D31" s="11"/>
      <c r="E31" s="316"/>
      <c r="F31" s="336"/>
      <c r="G31" s="362"/>
      <c r="H31" s="11"/>
      <c r="I31" s="556"/>
      <c r="J31" s="556"/>
      <c r="K31" s="556"/>
      <c r="L31" s="573"/>
      <c r="M31" s="318"/>
      <c r="N31" s="726"/>
      <c r="O31" s="377" t="str">
        <f t="shared" si="3"/>
        <v/>
      </c>
    </row>
    <row r="32" spans="1:17" s="1" customFormat="1" ht="12.95" customHeight="1">
      <c r="A32" s="311"/>
      <c r="B32" s="12"/>
      <c r="C32" s="8"/>
      <c r="D32" s="8"/>
      <c r="E32" s="8"/>
      <c r="F32" s="335"/>
      <c r="G32" s="361"/>
      <c r="H32" s="8" t="s">
        <v>92</v>
      </c>
      <c r="I32" s="556">
        <v>2</v>
      </c>
      <c r="J32" s="556">
        <v>2</v>
      </c>
      <c r="K32" s="556">
        <v>2</v>
      </c>
      <c r="L32" s="573">
        <v>2</v>
      </c>
      <c r="M32" s="318"/>
      <c r="N32" s="726">
        <v>2</v>
      </c>
      <c r="O32" s="377"/>
    </row>
    <row r="33" spans="1:15" s="1" customFormat="1" ht="12.95" customHeight="1">
      <c r="A33" s="311"/>
      <c r="B33" s="12"/>
      <c r="C33" s="8"/>
      <c r="D33" s="8"/>
      <c r="E33" s="8"/>
      <c r="F33" s="335"/>
      <c r="G33" s="361"/>
      <c r="H33" s="8" t="s">
        <v>110</v>
      </c>
      <c r="I33" s="15">
        <f>I8+I13+I16+I28</f>
        <v>63970</v>
      </c>
      <c r="J33" s="15">
        <f>J8+J13+J16+J28</f>
        <v>63970</v>
      </c>
      <c r="K33" s="575">
        <f t="shared" ref="K33" si="15">K8+K13+K16+K28</f>
        <v>14498</v>
      </c>
      <c r="L33" s="582">
        <f>L8+L13+L16+L28</f>
        <v>61760</v>
      </c>
      <c r="M33" s="318">
        <f>M8+M13+M16+M28</f>
        <v>0</v>
      </c>
      <c r="N33" s="726">
        <f>N8+N13+N16+N28</f>
        <v>61760</v>
      </c>
      <c r="O33" s="376">
        <f t="shared" si="3"/>
        <v>96.545255588557126</v>
      </c>
    </row>
    <row r="34" spans="1:15" s="1" customFormat="1" ht="12.95" customHeight="1">
      <c r="A34" s="311"/>
      <c r="B34" s="12"/>
      <c r="C34" s="8"/>
      <c r="D34" s="8"/>
      <c r="E34" s="8"/>
      <c r="F34" s="335"/>
      <c r="G34" s="361"/>
      <c r="H34" s="8" t="s">
        <v>93</v>
      </c>
      <c r="I34" s="15"/>
      <c r="J34" s="15"/>
      <c r="K34" s="575"/>
      <c r="L34" s="582"/>
      <c r="M34" s="318"/>
      <c r="N34" s="726"/>
      <c r="O34" s="377" t="str">
        <f>IF(J34=0,"",N34/J34*100)</f>
        <v/>
      </c>
    </row>
    <row r="35" spans="1:15" s="1" customFormat="1" ht="12.95" customHeight="1">
      <c r="A35" s="311"/>
      <c r="B35" s="12"/>
      <c r="C35" s="8"/>
      <c r="D35" s="8"/>
      <c r="E35" s="8"/>
      <c r="F35" s="335"/>
      <c r="G35" s="361"/>
      <c r="H35" s="8" t="s">
        <v>94</v>
      </c>
      <c r="I35" s="30"/>
      <c r="J35" s="30"/>
      <c r="K35" s="586"/>
      <c r="L35" s="580"/>
      <c r="M35" s="309"/>
      <c r="N35" s="725"/>
      <c r="O35" s="377" t="str">
        <f t="shared" si="3"/>
        <v/>
      </c>
    </row>
    <row r="36" spans="1:15" ht="8.1" customHeight="1" thickBot="1">
      <c r="B36" s="16"/>
      <c r="C36" s="17"/>
      <c r="D36" s="17"/>
      <c r="E36" s="17"/>
      <c r="F36" s="337"/>
      <c r="G36" s="363"/>
      <c r="H36" s="17"/>
      <c r="I36" s="17"/>
      <c r="J36" s="17"/>
      <c r="K36" s="27"/>
      <c r="L36" s="16"/>
      <c r="M36" s="17"/>
      <c r="N36" s="735"/>
      <c r="O36" s="379"/>
    </row>
    <row r="37" spans="1:15" ht="12.95" customHeight="1">
      <c r="F37" s="338"/>
      <c r="G37" s="364"/>
      <c r="N37" s="423"/>
    </row>
    <row r="38" spans="1:15" ht="12.95" customHeight="1">
      <c r="B38" s="55"/>
      <c r="F38" s="338"/>
      <c r="G38" s="364"/>
      <c r="N38" s="423"/>
    </row>
    <row r="39" spans="1:15" ht="12.95" customHeight="1">
      <c r="F39" s="338"/>
      <c r="G39" s="364"/>
      <c r="N39" s="423"/>
    </row>
    <row r="40" spans="1:15" ht="12.95" customHeight="1">
      <c r="F40" s="338"/>
      <c r="G40" s="364"/>
      <c r="N40" s="423"/>
    </row>
    <row r="41" spans="1:15" ht="12.95" customHeight="1">
      <c r="F41" s="338"/>
      <c r="G41" s="364"/>
      <c r="N41" s="423"/>
    </row>
    <row r="42" spans="1:15" ht="12.95" customHeight="1">
      <c r="F42" s="338"/>
      <c r="G42" s="364"/>
      <c r="N42" s="423"/>
    </row>
    <row r="43" spans="1:15" ht="12.95" customHeight="1">
      <c r="F43" s="338"/>
      <c r="G43" s="364"/>
      <c r="N43" s="423"/>
    </row>
    <row r="44" spans="1:15" ht="12.95" customHeight="1">
      <c r="F44" s="338"/>
      <c r="G44" s="364"/>
      <c r="N44" s="423"/>
    </row>
    <row r="45" spans="1:15" ht="12.95" customHeight="1">
      <c r="F45" s="338"/>
      <c r="G45" s="364"/>
      <c r="N45" s="423"/>
    </row>
    <row r="46" spans="1:15" ht="12.95" customHeight="1">
      <c r="F46" s="338"/>
      <c r="G46" s="364"/>
      <c r="N46" s="423"/>
    </row>
    <row r="47" spans="1:15" ht="12.95" customHeight="1">
      <c r="F47" s="338"/>
      <c r="G47" s="364"/>
      <c r="N47" s="423"/>
    </row>
    <row r="48" spans="1:15" ht="12.95" customHeight="1">
      <c r="F48" s="338"/>
      <c r="G48" s="364"/>
      <c r="N48" s="423"/>
    </row>
    <row r="49" spans="6:14" ht="12.95" customHeight="1">
      <c r="F49" s="338"/>
      <c r="G49" s="364"/>
      <c r="N49" s="423"/>
    </row>
    <row r="50" spans="6:14" ht="12.95" customHeight="1">
      <c r="F50" s="338"/>
      <c r="G50" s="364"/>
      <c r="N50" s="423"/>
    </row>
    <row r="51" spans="6:14" ht="12.95" customHeight="1">
      <c r="F51" s="338"/>
      <c r="G51" s="364"/>
      <c r="N51" s="423"/>
    </row>
    <row r="52" spans="6:14" ht="12.95" customHeight="1">
      <c r="F52" s="338"/>
      <c r="G52" s="364"/>
      <c r="N52" s="423"/>
    </row>
    <row r="53" spans="6:14" ht="12.95" customHeight="1">
      <c r="F53" s="338"/>
      <c r="G53" s="364"/>
      <c r="N53" s="423"/>
    </row>
    <row r="54" spans="6:14" ht="12.95" customHeight="1">
      <c r="F54" s="338"/>
      <c r="G54" s="364"/>
      <c r="N54" s="423"/>
    </row>
    <row r="55" spans="6:14" ht="12.95" customHeight="1">
      <c r="F55" s="338"/>
      <c r="G55" s="364"/>
      <c r="N55" s="423"/>
    </row>
    <row r="56" spans="6:14" ht="12.95" customHeight="1">
      <c r="F56" s="338"/>
      <c r="G56" s="364"/>
      <c r="N56" s="423"/>
    </row>
    <row r="57" spans="6:14" ht="12.95" customHeight="1">
      <c r="F57" s="338"/>
      <c r="G57" s="364"/>
      <c r="N57" s="423"/>
    </row>
    <row r="58" spans="6:14" ht="12.95" customHeight="1">
      <c r="F58" s="338"/>
      <c r="G58" s="364"/>
      <c r="N58" s="423"/>
    </row>
    <row r="59" spans="6:14" ht="12.95" customHeight="1">
      <c r="F59" s="338"/>
      <c r="G59" s="364"/>
      <c r="N59" s="423"/>
    </row>
    <row r="60" spans="6:14" ht="17.100000000000001" customHeight="1">
      <c r="F60" s="338"/>
      <c r="G60" s="364"/>
      <c r="N60" s="423"/>
    </row>
    <row r="61" spans="6:14" ht="14.25">
      <c r="F61" s="338"/>
      <c r="G61" s="364"/>
      <c r="N61" s="423"/>
    </row>
    <row r="62" spans="6:14" ht="14.25">
      <c r="F62" s="338"/>
      <c r="G62" s="364"/>
      <c r="N62" s="423"/>
    </row>
    <row r="63" spans="6:14" ht="14.25">
      <c r="F63" s="338"/>
      <c r="G63" s="364"/>
      <c r="N63" s="423"/>
    </row>
    <row r="64" spans="6:14" ht="14.25">
      <c r="F64" s="338"/>
      <c r="G64" s="364"/>
      <c r="N64" s="423"/>
    </row>
    <row r="65" spans="6:14" ht="14.25">
      <c r="F65" s="338"/>
      <c r="G65" s="364"/>
      <c r="N65" s="423"/>
    </row>
    <row r="66" spans="6:14" ht="14.25">
      <c r="F66" s="338"/>
      <c r="G66" s="364"/>
      <c r="N66" s="423"/>
    </row>
    <row r="67" spans="6:14" ht="14.25">
      <c r="F67" s="338"/>
      <c r="G67" s="364"/>
      <c r="N67" s="423"/>
    </row>
    <row r="68" spans="6:14" ht="14.25">
      <c r="F68" s="338"/>
      <c r="G68" s="364"/>
      <c r="N68" s="423"/>
    </row>
    <row r="69" spans="6:14" ht="14.25">
      <c r="F69" s="338"/>
      <c r="G69" s="364"/>
      <c r="N69" s="423"/>
    </row>
    <row r="70" spans="6:14" ht="14.25">
      <c r="F70" s="338"/>
      <c r="G70" s="364"/>
      <c r="N70" s="423"/>
    </row>
    <row r="71" spans="6:14" ht="14.25">
      <c r="F71" s="338"/>
      <c r="G71" s="364"/>
      <c r="N71" s="423"/>
    </row>
    <row r="72" spans="6:14" ht="14.25">
      <c r="F72" s="338"/>
      <c r="G72" s="364"/>
      <c r="N72" s="423"/>
    </row>
    <row r="73" spans="6:14" ht="14.25">
      <c r="F73" s="338"/>
      <c r="G73" s="364"/>
      <c r="N73" s="423"/>
    </row>
    <row r="74" spans="6:14" ht="14.25">
      <c r="F74" s="338"/>
      <c r="G74" s="338"/>
      <c r="N74" s="423"/>
    </row>
    <row r="75" spans="6:14" ht="14.25">
      <c r="F75" s="338"/>
      <c r="G75" s="338"/>
      <c r="N75" s="423"/>
    </row>
    <row r="76" spans="6:14" ht="14.25">
      <c r="F76" s="338"/>
      <c r="G76" s="338"/>
      <c r="N76" s="423"/>
    </row>
    <row r="77" spans="6:14" ht="14.25">
      <c r="F77" s="338"/>
      <c r="G77" s="338"/>
      <c r="N77" s="423"/>
    </row>
    <row r="78" spans="6:14" ht="14.25">
      <c r="F78" s="338"/>
      <c r="G78" s="338"/>
      <c r="N78" s="423"/>
    </row>
    <row r="79" spans="6:14" ht="14.25">
      <c r="F79" s="338"/>
      <c r="G79" s="338"/>
      <c r="N79" s="423"/>
    </row>
    <row r="80" spans="6:14" ht="14.25">
      <c r="F80" s="338"/>
      <c r="G80" s="338"/>
      <c r="N80" s="423"/>
    </row>
    <row r="81" spans="6:14" ht="14.25">
      <c r="F81" s="338"/>
      <c r="G81" s="338"/>
      <c r="N81" s="423"/>
    </row>
    <row r="82" spans="6:14" ht="14.25">
      <c r="F82" s="338"/>
      <c r="G82" s="338"/>
      <c r="N82" s="423"/>
    </row>
    <row r="83" spans="6:14" ht="14.25">
      <c r="F83" s="338"/>
      <c r="G83" s="338"/>
      <c r="N83" s="423"/>
    </row>
    <row r="84" spans="6:14" ht="14.25">
      <c r="F84" s="338"/>
      <c r="G84" s="338"/>
      <c r="N84" s="423"/>
    </row>
    <row r="85" spans="6:14" ht="14.25">
      <c r="F85" s="338"/>
      <c r="G85" s="338"/>
      <c r="N85" s="423"/>
    </row>
    <row r="86" spans="6:14" ht="14.25">
      <c r="F86" s="338"/>
      <c r="G86" s="338"/>
      <c r="N86" s="423"/>
    </row>
    <row r="87" spans="6:14" ht="14.25">
      <c r="F87" s="338"/>
      <c r="G87" s="338"/>
      <c r="N87" s="423"/>
    </row>
    <row r="88" spans="6:14" ht="14.25">
      <c r="F88" s="338"/>
      <c r="G88" s="338"/>
      <c r="N88" s="423"/>
    </row>
    <row r="89" spans="6:14" ht="14.25">
      <c r="F89" s="338"/>
      <c r="G89" s="338"/>
      <c r="N89" s="423"/>
    </row>
    <row r="90" spans="6:14" ht="14.25">
      <c r="F90" s="338"/>
      <c r="G90" s="338"/>
      <c r="N90" s="423"/>
    </row>
    <row r="91" spans="6:14">
      <c r="G91" s="338"/>
    </row>
    <row r="92" spans="6:14">
      <c r="G92" s="338"/>
    </row>
    <row r="93" spans="6:14">
      <c r="G93" s="338"/>
    </row>
    <row r="94" spans="6:14">
      <c r="G94" s="338"/>
    </row>
    <row r="95" spans="6:14">
      <c r="G95" s="338"/>
    </row>
    <row r="96" spans="6:14">
      <c r="G96" s="338"/>
    </row>
  </sheetData>
  <mergeCells count="14">
    <mergeCell ref="O4:O5"/>
    <mergeCell ref="H4:H5"/>
    <mergeCell ref="B2:N2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K4:K5"/>
    <mergeCell ref="E4:E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42"/>
  <dimension ref="A1:Q96"/>
  <sheetViews>
    <sheetView topLeftCell="A4" zoomScaleNormal="100" workbookViewId="0">
      <selection activeCell="L8" activeCellId="3" sqref="L28 L16 L13 L8"/>
    </sheetView>
  </sheetViews>
  <sheetFormatPr defaultRowHeight="12.75"/>
  <cols>
    <col min="1" max="1" width="9.140625" style="314"/>
    <col min="2" max="2" width="4.7109375" style="9" customWidth="1"/>
    <col min="3" max="3" width="5.140625" style="9" customWidth="1"/>
    <col min="4" max="4" width="5" style="9" customWidth="1"/>
    <col min="5" max="5" width="5" style="314" customWidth="1"/>
    <col min="6" max="6" width="8.7109375" style="18" customWidth="1"/>
    <col min="7" max="7" width="8.7109375" style="319" customWidth="1"/>
    <col min="8" max="8" width="50.7109375" style="9" customWidth="1"/>
    <col min="9" max="11" width="14.7109375" style="9" customWidth="1"/>
    <col min="12" max="13" width="14.7109375" style="314" customWidth="1"/>
    <col min="14" max="14" width="15.7109375" style="9" customWidth="1"/>
    <col min="15" max="15" width="7.7109375" style="380" customWidth="1"/>
    <col min="16" max="16384" width="9.140625" style="9"/>
  </cols>
  <sheetData>
    <row r="1" spans="1:17" ht="13.5" thickBot="1"/>
    <row r="2" spans="1:17" s="408" customFormat="1" ht="20.100000000000001" customHeight="1" thickTop="1" thickBot="1">
      <c r="B2" s="887" t="s">
        <v>742</v>
      </c>
      <c r="C2" s="888"/>
      <c r="D2" s="888"/>
      <c r="E2" s="888"/>
      <c r="F2" s="888"/>
      <c r="G2" s="888"/>
      <c r="H2" s="888"/>
      <c r="I2" s="888"/>
      <c r="J2" s="888"/>
      <c r="K2" s="888"/>
      <c r="L2" s="888"/>
      <c r="M2" s="888"/>
      <c r="N2" s="888"/>
      <c r="O2" s="412"/>
    </row>
    <row r="3" spans="1:17" s="1" customFormat="1" ht="8.1" customHeight="1" thickTop="1" thickBot="1">
      <c r="A3" s="311"/>
      <c r="E3" s="311"/>
      <c r="F3" s="2"/>
      <c r="G3" s="312"/>
      <c r="H3" s="890"/>
      <c r="I3" s="890"/>
      <c r="J3" s="282"/>
      <c r="K3" s="282"/>
      <c r="L3" s="107"/>
      <c r="M3" s="107"/>
      <c r="N3" s="107"/>
      <c r="O3" s="374"/>
    </row>
    <row r="4" spans="1:17" s="1" customFormat="1" ht="39" customHeight="1">
      <c r="A4" s="311"/>
      <c r="B4" s="894" t="s">
        <v>77</v>
      </c>
      <c r="C4" s="909" t="s">
        <v>78</v>
      </c>
      <c r="D4" s="910" t="s">
        <v>107</v>
      </c>
      <c r="E4" s="916" t="s">
        <v>828</v>
      </c>
      <c r="F4" s="911" t="s">
        <v>517</v>
      </c>
      <c r="G4" s="899" t="s">
        <v>556</v>
      </c>
      <c r="H4" s="900" t="s">
        <v>79</v>
      </c>
      <c r="I4" s="917" t="s">
        <v>697</v>
      </c>
      <c r="J4" s="913" t="s">
        <v>862</v>
      </c>
      <c r="K4" s="917" t="s">
        <v>863</v>
      </c>
      <c r="L4" s="908" t="s">
        <v>865</v>
      </c>
      <c r="M4" s="892"/>
      <c r="N4" s="893"/>
      <c r="O4" s="906" t="s">
        <v>866</v>
      </c>
      <c r="Q4" s="81"/>
    </row>
    <row r="5" spans="1:17" s="311" customFormat="1" ht="27" customHeight="1">
      <c r="B5" s="895"/>
      <c r="C5" s="897"/>
      <c r="D5" s="897"/>
      <c r="E5" s="897"/>
      <c r="F5" s="901"/>
      <c r="G5" s="897"/>
      <c r="H5" s="901"/>
      <c r="I5" s="905"/>
      <c r="J5" s="901"/>
      <c r="K5" s="905"/>
      <c r="L5" s="587" t="s">
        <v>601</v>
      </c>
      <c r="M5" s="404" t="s">
        <v>602</v>
      </c>
      <c r="N5" s="720" t="s">
        <v>349</v>
      </c>
      <c r="O5" s="907"/>
    </row>
    <row r="6" spans="1:17" s="2" customFormat="1" ht="12.95" customHeight="1">
      <c r="A6" s="312"/>
      <c r="B6" s="525">
        <v>1</v>
      </c>
      <c r="C6" s="361">
        <v>2</v>
      </c>
      <c r="D6" s="361">
        <v>3</v>
      </c>
      <c r="E6" s="361">
        <v>4</v>
      </c>
      <c r="F6" s="361">
        <v>5</v>
      </c>
      <c r="G6" s="361">
        <v>6</v>
      </c>
      <c r="H6" s="361">
        <v>7</v>
      </c>
      <c r="I6" s="526">
        <v>8</v>
      </c>
      <c r="J6" s="361">
        <v>9</v>
      </c>
      <c r="K6" s="526">
        <v>10</v>
      </c>
      <c r="L6" s="525">
        <v>11</v>
      </c>
      <c r="M6" s="361">
        <v>12</v>
      </c>
      <c r="N6" s="721" t="s">
        <v>830</v>
      </c>
      <c r="O6" s="527">
        <v>14</v>
      </c>
    </row>
    <row r="7" spans="1:17" s="2" customFormat="1" ht="12.95" customHeight="1">
      <c r="A7" s="312"/>
      <c r="B7" s="6" t="s">
        <v>115</v>
      </c>
      <c r="C7" s="7" t="s">
        <v>80</v>
      </c>
      <c r="D7" s="7" t="s">
        <v>119</v>
      </c>
      <c r="E7" s="667" t="s">
        <v>829</v>
      </c>
      <c r="F7" s="5"/>
      <c r="G7" s="313"/>
      <c r="H7" s="5"/>
      <c r="I7" s="574"/>
      <c r="J7" s="313"/>
      <c r="K7" s="574"/>
      <c r="L7" s="4"/>
      <c r="M7" s="313"/>
      <c r="N7" s="722"/>
      <c r="O7" s="375"/>
    </row>
    <row r="8" spans="1:17" s="1" customFormat="1" ht="12.95" customHeight="1">
      <c r="A8" s="311"/>
      <c r="B8" s="12"/>
      <c r="C8" s="8"/>
      <c r="D8" s="8"/>
      <c r="E8" s="8"/>
      <c r="F8" s="335">
        <v>611000</v>
      </c>
      <c r="G8" s="361"/>
      <c r="H8" s="8" t="s">
        <v>146</v>
      </c>
      <c r="I8" s="556">
        <f t="shared" ref="I8" si="0">SUM(I9:I12)</f>
        <v>77690</v>
      </c>
      <c r="J8" s="556">
        <f t="shared" ref="J8:L8" si="1">SUM(J9:J12)</f>
        <v>77690</v>
      </c>
      <c r="K8" s="556">
        <f>SUM(K9:K11)</f>
        <v>18383</v>
      </c>
      <c r="L8" s="573">
        <f t="shared" si="1"/>
        <v>75580</v>
      </c>
      <c r="M8" s="236">
        <f>SUM(M9:M12)</f>
        <v>0</v>
      </c>
      <c r="N8" s="723">
        <f>SUM(N9:N12)</f>
        <v>75580</v>
      </c>
      <c r="O8" s="376">
        <f>IF(J8=0,"",N8/J8*100)</f>
        <v>97.284077744883518</v>
      </c>
    </row>
    <row r="9" spans="1:17" ht="12.95" customHeight="1">
      <c r="B9" s="10"/>
      <c r="C9" s="11"/>
      <c r="D9" s="11"/>
      <c r="E9" s="316"/>
      <c r="F9" s="336">
        <v>611100</v>
      </c>
      <c r="G9" s="362"/>
      <c r="H9" s="20" t="s">
        <v>174</v>
      </c>
      <c r="I9" s="557">
        <v>66750</v>
      </c>
      <c r="J9" s="557">
        <v>66750</v>
      </c>
      <c r="K9" s="557">
        <v>16203</v>
      </c>
      <c r="L9" s="572">
        <f>64810+400</f>
        <v>65210</v>
      </c>
      <c r="M9" s="235">
        <v>0</v>
      </c>
      <c r="N9" s="724">
        <f>SUM(L9:M9)</f>
        <v>65210</v>
      </c>
      <c r="O9" s="377">
        <f>IF(J9=0,"",N9/J9*100)</f>
        <v>97.692883895131089</v>
      </c>
      <c r="P9" s="63"/>
    </row>
    <row r="10" spans="1:17" ht="12.95" customHeight="1">
      <c r="B10" s="10"/>
      <c r="C10" s="11"/>
      <c r="D10" s="11"/>
      <c r="E10" s="316"/>
      <c r="F10" s="336">
        <v>611200</v>
      </c>
      <c r="G10" s="362"/>
      <c r="H10" s="11" t="s">
        <v>175</v>
      </c>
      <c r="I10" s="557">
        <v>10940</v>
      </c>
      <c r="J10" s="557">
        <v>10940</v>
      </c>
      <c r="K10" s="557">
        <v>2180</v>
      </c>
      <c r="L10" s="572">
        <f>10170+200</f>
        <v>10370</v>
      </c>
      <c r="M10" s="235">
        <v>0</v>
      </c>
      <c r="N10" s="724">
        <f t="shared" ref="N10:N11" si="2">SUM(L10:M10)</f>
        <v>10370</v>
      </c>
      <c r="O10" s="377">
        <f t="shared" ref="O10:O35" si="3">IF(J10=0,"",N10/J10*100)</f>
        <v>94.78976234003656</v>
      </c>
      <c r="P10" s="67"/>
    </row>
    <row r="11" spans="1:17" ht="12.95" customHeight="1">
      <c r="B11" s="10"/>
      <c r="C11" s="11"/>
      <c r="D11" s="11"/>
      <c r="E11" s="316"/>
      <c r="F11" s="336">
        <v>611200</v>
      </c>
      <c r="G11" s="362"/>
      <c r="H11" s="210" t="s">
        <v>464</v>
      </c>
      <c r="I11" s="557">
        <f t="shared" ref="I11:L11" si="4">SUM(G11:H11)</f>
        <v>0</v>
      </c>
      <c r="J11" s="557">
        <f t="shared" si="4"/>
        <v>0</v>
      </c>
      <c r="K11" s="557">
        <v>0</v>
      </c>
      <c r="L11" s="572">
        <f t="shared" si="4"/>
        <v>0</v>
      </c>
      <c r="M11" s="235">
        <v>0</v>
      </c>
      <c r="N11" s="724">
        <f t="shared" si="2"/>
        <v>0</v>
      </c>
      <c r="O11" s="377" t="str">
        <f t="shared" si="3"/>
        <v/>
      </c>
      <c r="Q11" s="62"/>
    </row>
    <row r="12" spans="1:17" ht="8.1" customHeight="1">
      <c r="B12" s="10"/>
      <c r="C12" s="11"/>
      <c r="D12" s="11"/>
      <c r="E12" s="316"/>
      <c r="F12" s="336"/>
      <c r="G12" s="362"/>
      <c r="H12" s="20"/>
      <c r="I12" s="557"/>
      <c r="J12" s="557"/>
      <c r="K12" s="557"/>
      <c r="L12" s="572"/>
      <c r="M12" s="235"/>
      <c r="N12" s="724"/>
      <c r="O12" s="377" t="str">
        <f t="shared" si="3"/>
        <v/>
      </c>
    </row>
    <row r="13" spans="1:17" s="1" customFormat="1" ht="12.95" customHeight="1">
      <c r="A13" s="311"/>
      <c r="B13" s="12"/>
      <c r="C13" s="8"/>
      <c r="D13" s="8"/>
      <c r="E13" s="8"/>
      <c r="F13" s="335">
        <v>612000</v>
      </c>
      <c r="G13" s="361"/>
      <c r="H13" s="8" t="s">
        <v>145</v>
      </c>
      <c r="I13" s="556">
        <f t="shared" ref="I13:L13" si="5">I14</f>
        <v>7160</v>
      </c>
      <c r="J13" s="556">
        <f t="shared" si="5"/>
        <v>7160</v>
      </c>
      <c r="K13" s="556">
        <f>K14</f>
        <v>1710</v>
      </c>
      <c r="L13" s="573">
        <f t="shared" si="5"/>
        <v>6940</v>
      </c>
      <c r="M13" s="236">
        <f>M14</f>
        <v>0</v>
      </c>
      <c r="N13" s="723">
        <f>N14</f>
        <v>6940</v>
      </c>
      <c r="O13" s="376">
        <f t="shared" si="3"/>
        <v>96.927374301675968</v>
      </c>
    </row>
    <row r="14" spans="1:17" ht="12.95" customHeight="1">
      <c r="B14" s="10"/>
      <c r="C14" s="11"/>
      <c r="D14" s="11"/>
      <c r="E14" s="316"/>
      <c r="F14" s="336">
        <v>612100</v>
      </c>
      <c r="G14" s="362"/>
      <c r="H14" s="13" t="s">
        <v>82</v>
      </c>
      <c r="I14" s="557">
        <v>7160</v>
      </c>
      <c r="J14" s="557">
        <v>7160</v>
      </c>
      <c r="K14" s="557">
        <v>1710</v>
      </c>
      <c r="L14" s="572">
        <f>6840+100</f>
        <v>6940</v>
      </c>
      <c r="M14" s="235">
        <v>0</v>
      </c>
      <c r="N14" s="724">
        <f>SUM(L14:M14)</f>
        <v>6940</v>
      </c>
      <c r="O14" s="377">
        <f t="shared" si="3"/>
        <v>96.927374301675968</v>
      </c>
    </row>
    <row r="15" spans="1:17" ht="8.1" customHeight="1">
      <c r="B15" s="10"/>
      <c r="C15" s="11"/>
      <c r="D15" s="11"/>
      <c r="E15" s="316"/>
      <c r="F15" s="336"/>
      <c r="G15" s="362"/>
      <c r="H15" s="11"/>
      <c r="I15" s="557"/>
      <c r="J15" s="557"/>
      <c r="K15" s="557"/>
      <c r="L15" s="572"/>
      <c r="M15" s="309"/>
      <c r="N15" s="725"/>
      <c r="O15" s="377" t="str">
        <f t="shared" si="3"/>
        <v/>
      </c>
    </row>
    <row r="16" spans="1:17" s="1" customFormat="1" ht="12.95" customHeight="1">
      <c r="A16" s="311"/>
      <c r="B16" s="12"/>
      <c r="C16" s="8"/>
      <c r="D16" s="8"/>
      <c r="E16" s="8"/>
      <c r="F16" s="335">
        <v>613000</v>
      </c>
      <c r="G16" s="361"/>
      <c r="H16" s="8" t="s">
        <v>147</v>
      </c>
      <c r="I16" s="556">
        <f t="shared" ref="I16" si="6">SUM(I17:I26)</f>
        <v>6800</v>
      </c>
      <c r="J16" s="556">
        <f t="shared" ref="J16:L16" si="7">SUM(J17:J26)</f>
        <v>6800</v>
      </c>
      <c r="K16" s="556">
        <f>SUM(K17:K26)</f>
        <v>613</v>
      </c>
      <c r="L16" s="573">
        <f t="shared" si="7"/>
        <v>6400</v>
      </c>
      <c r="M16" s="323">
        <f>SUM(M17:M26)</f>
        <v>0</v>
      </c>
      <c r="N16" s="726">
        <f>SUM(N17:N26)</f>
        <v>6400</v>
      </c>
      <c r="O16" s="376">
        <f t="shared" si="3"/>
        <v>94.117647058823522</v>
      </c>
    </row>
    <row r="17" spans="1:15" ht="12.95" customHeight="1">
      <c r="B17" s="10"/>
      <c r="C17" s="11"/>
      <c r="D17" s="11"/>
      <c r="E17" s="316"/>
      <c r="F17" s="336">
        <v>613100</v>
      </c>
      <c r="G17" s="362"/>
      <c r="H17" s="11" t="s">
        <v>83</v>
      </c>
      <c r="I17" s="557">
        <v>1500</v>
      </c>
      <c r="J17" s="557">
        <v>1500</v>
      </c>
      <c r="K17" s="557">
        <v>0</v>
      </c>
      <c r="L17" s="572">
        <f>1500*80%</f>
        <v>1200</v>
      </c>
      <c r="M17" s="396">
        <v>0</v>
      </c>
      <c r="N17" s="724">
        <f t="shared" ref="N17:N26" si="8">SUM(L17:M17)</f>
        <v>1200</v>
      </c>
      <c r="O17" s="377">
        <f t="shared" si="3"/>
        <v>80</v>
      </c>
    </row>
    <row r="18" spans="1:15" ht="12.95" customHeight="1">
      <c r="B18" s="10"/>
      <c r="C18" s="11"/>
      <c r="D18" s="11"/>
      <c r="E18" s="316"/>
      <c r="F18" s="336">
        <v>613200</v>
      </c>
      <c r="G18" s="362"/>
      <c r="H18" s="11" t="s">
        <v>84</v>
      </c>
      <c r="I18" s="557">
        <f t="shared" ref="I18:L26" si="9">SUM(G18:H18)</f>
        <v>0</v>
      </c>
      <c r="J18" s="557">
        <f t="shared" si="9"/>
        <v>0</v>
      </c>
      <c r="K18" s="557">
        <v>0</v>
      </c>
      <c r="L18" s="572">
        <f t="shared" si="9"/>
        <v>0</v>
      </c>
      <c r="M18" s="393">
        <v>0</v>
      </c>
      <c r="N18" s="724">
        <f t="shared" si="8"/>
        <v>0</v>
      </c>
      <c r="O18" s="377" t="str">
        <f t="shared" si="3"/>
        <v/>
      </c>
    </row>
    <row r="19" spans="1:15" ht="12.95" customHeight="1">
      <c r="B19" s="10"/>
      <c r="C19" s="11"/>
      <c r="D19" s="11"/>
      <c r="E19" s="316"/>
      <c r="F19" s="336">
        <v>613300</v>
      </c>
      <c r="G19" s="362"/>
      <c r="H19" s="20" t="s">
        <v>176</v>
      </c>
      <c r="I19" s="557">
        <v>2500</v>
      </c>
      <c r="J19" s="557">
        <v>2500</v>
      </c>
      <c r="K19" s="557">
        <v>428</v>
      </c>
      <c r="L19" s="572">
        <v>2500</v>
      </c>
      <c r="M19" s="393">
        <v>0</v>
      </c>
      <c r="N19" s="724">
        <f t="shared" si="8"/>
        <v>2500</v>
      </c>
      <c r="O19" s="377">
        <f t="shared" si="3"/>
        <v>100</v>
      </c>
    </row>
    <row r="20" spans="1:15" ht="12.95" customHeight="1">
      <c r="B20" s="10"/>
      <c r="C20" s="11"/>
      <c r="D20" s="11"/>
      <c r="E20" s="316"/>
      <c r="F20" s="336">
        <v>613400</v>
      </c>
      <c r="G20" s="362"/>
      <c r="H20" s="11" t="s">
        <v>148</v>
      </c>
      <c r="I20" s="557">
        <v>300</v>
      </c>
      <c r="J20" s="557">
        <v>300</v>
      </c>
      <c r="K20" s="557">
        <v>0</v>
      </c>
      <c r="L20" s="572">
        <v>300</v>
      </c>
      <c r="M20" s="396">
        <v>0</v>
      </c>
      <c r="N20" s="724">
        <f t="shared" si="8"/>
        <v>300</v>
      </c>
      <c r="O20" s="377">
        <f t="shared" si="3"/>
        <v>100</v>
      </c>
    </row>
    <row r="21" spans="1:15" ht="12.95" customHeight="1">
      <c r="B21" s="10"/>
      <c r="C21" s="11"/>
      <c r="D21" s="11"/>
      <c r="E21" s="316"/>
      <c r="F21" s="336">
        <v>613500</v>
      </c>
      <c r="G21" s="362"/>
      <c r="H21" s="11" t="s">
        <v>85</v>
      </c>
      <c r="I21" s="557">
        <f t="shared" si="9"/>
        <v>0</v>
      </c>
      <c r="J21" s="557">
        <f t="shared" si="9"/>
        <v>0</v>
      </c>
      <c r="K21" s="557">
        <v>0</v>
      </c>
      <c r="L21" s="572">
        <f t="shared" si="9"/>
        <v>0</v>
      </c>
      <c r="M21" s="393">
        <v>0</v>
      </c>
      <c r="N21" s="724">
        <f t="shared" si="8"/>
        <v>0</v>
      </c>
      <c r="O21" s="377" t="str">
        <f t="shared" si="3"/>
        <v/>
      </c>
    </row>
    <row r="22" spans="1:15" ht="12.95" customHeight="1">
      <c r="B22" s="10"/>
      <c r="C22" s="11"/>
      <c r="D22" s="11"/>
      <c r="E22" s="316"/>
      <c r="F22" s="336">
        <v>613600</v>
      </c>
      <c r="G22" s="362"/>
      <c r="H22" s="20" t="s">
        <v>177</v>
      </c>
      <c r="I22" s="557">
        <f t="shared" si="9"/>
        <v>0</v>
      </c>
      <c r="J22" s="557">
        <f t="shared" si="9"/>
        <v>0</v>
      </c>
      <c r="K22" s="557">
        <v>0</v>
      </c>
      <c r="L22" s="572">
        <f t="shared" si="9"/>
        <v>0</v>
      </c>
      <c r="M22" s="393">
        <v>0</v>
      </c>
      <c r="N22" s="724">
        <f t="shared" si="8"/>
        <v>0</v>
      </c>
      <c r="O22" s="377" t="str">
        <f t="shared" si="3"/>
        <v/>
      </c>
    </row>
    <row r="23" spans="1:15" ht="12.95" customHeight="1">
      <c r="B23" s="10"/>
      <c r="C23" s="11"/>
      <c r="D23" s="11"/>
      <c r="E23" s="316"/>
      <c r="F23" s="336">
        <v>613700</v>
      </c>
      <c r="G23" s="362"/>
      <c r="H23" s="11" t="s">
        <v>86</v>
      </c>
      <c r="I23" s="557">
        <v>500</v>
      </c>
      <c r="J23" s="557">
        <v>500</v>
      </c>
      <c r="K23" s="557">
        <v>0</v>
      </c>
      <c r="L23" s="572">
        <v>500</v>
      </c>
      <c r="M23" s="393">
        <v>0</v>
      </c>
      <c r="N23" s="724">
        <f t="shared" si="8"/>
        <v>500</v>
      </c>
      <c r="O23" s="377">
        <f t="shared" si="3"/>
        <v>100</v>
      </c>
    </row>
    <row r="24" spans="1:15" ht="12.95" customHeight="1">
      <c r="B24" s="10"/>
      <c r="C24" s="11"/>
      <c r="D24" s="11"/>
      <c r="E24" s="316"/>
      <c r="F24" s="336">
        <v>613800</v>
      </c>
      <c r="G24" s="362"/>
      <c r="H24" s="11" t="s">
        <v>149</v>
      </c>
      <c r="I24" s="557">
        <f t="shared" si="9"/>
        <v>0</v>
      </c>
      <c r="J24" s="557">
        <f t="shared" si="9"/>
        <v>0</v>
      </c>
      <c r="K24" s="557">
        <v>0</v>
      </c>
      <c r="L24" s="572">
        <f t="shared" si="9"/>
        <v>0</v>
      </c>
      <c r="M24" s="393">
        <v>0</v>
      </c>
      <c r="N24" s="724">
        <f t="shared" si="8"/>
        <v>0</v>
      </c>
      <c r="O24" s="377" t="str">
        <f t="shared" si="3"/>
        <v/>
      </c>
    </row>
    <row r="25" spans="1:15" ht="12.95" customHeight="1">
      <c r="B25" s="10"/>
      <c r="C25" s="11"/>
      <c r="D25" s="11"/>
      <c r="E25" s="316"/>
      <c r="F25" s="336">
        <v>613900</v>
      </c>
      <c r="G25" s="362"/>
      <c r="H25" s="11" t="s">
        <v>150</v>
      </c>
      <c r="I25" s="557">
        <v>2000</v>
      </c>
      <c r="J25" s="557">
        <v>2000</v>
      </c>
      <c r="K25" s="557">
        <v>185</v>
      </c>
      <c r="L25" s="572">
        <f>2000-100</f>
        <v>1900</v>
      </c>
      <c r="M25" s="396">
        <v>0</v>
      </c>
      <c r="N25" s="724">
        <f t="shared" si="8"/>
        <v>1900</v>
      </c>
      <c r="O25" s="377">
        <f t="shared" si="3"/>
        <v>95</v>
      </c>
    </row>
    <row r="26" spans="1:15" ht="12.95" customHeight="1">
      <c r="B26" s="10"/>
      <c r="C26" s="11"/>
      <c r="D26" s="11"/>
      <c r="E26" s="316"/>
      <c r="F26" s="336">
        <v>613900</v>
      </c>
      <c r="G26" s="362"/>
      <c r="H26" s="210" t="s">
        <v>465</v>
      </c>
      <c r="I26" s="557">
        <f t="shared" si="9"/>
        <v>0</v>
      </c>
      <c r="J26" s="557">
        <f t="shared" si="9"/>
        <v>0</v>
      </c>
      <c r="K26" s="557">
        <v>0</v>
      </c>
      <c r="L26" s="572">
        <f t="shared" si="9"/>
        <v>0</v>
      </c>
      <c r="M26" s="397">
        <v>0</v>
      </c>
      <c r="N26" s="724">
        <f t="shared" si="8"/>
        <v>0</v>
      </c>
      <c r="O26" s="377" t="str">
        <f t="shared" si="3"/>
        <v/>
      </c>
    </row>
    <row r="27" spans="1:15" s="1" customFormat="1" ht="8.1" customHeight="1">
      <c r="A27" s="311"/>
      <c r="B27" s="12"/>
      <c r="C27" s="8"/>
      <c r="D27" s="8"/>
      <c r="E27" s="666"/>
      <c r="F27" s="346"/>
      <c r="G27" s="373"/>
      <c r="H27" s="8"/>
      <c r="I27" s="557"/>
      <c r="J27" s="557"/>
      <c r="K27" s="557"/>
      <c r="L27" s="572"/>
      <c r="M27" s="310"/>
      <c r="N27" s="725"/>
      <c r="O27" s="377" t="str">
        <f t="shared" si="3"/>
        <v/>
      </c>
    </row>
    <row r="28" spans="1:15" s="1" customFormat="1" ht="12.95" customHeight="1">
      <c r="A28" s="311"/>
      <c r="B28" s="12"/>
      <c r="C28" s="8"/>
      <c r="D28" s="8"/>
      <c r="E28" s="8"/>
      <c r="F28" s="335">
        <v>821000</v>
      </c>
      <c r="G28" s="361"/>
      <c r="H28" s="8" t="s">
        <v>89</v>
      </c>
      <c r="I28" s="556">
        <f t="shared" ref="I28" si="10">SUM(I29:I30)</f>
        <v>1500</v>
      </c>
      <c r="J28" s="556">
        <f t="shared" ref="J28:L28" si="11">SUM(J29:J30)</f>
        <v>1500</v>
      </c>
      <c r="K28" s="556">
        <f>SUM(K29:K30)</f>
        <v>0</v>
      </c>
      <c r="L28" s="573">
        <f t="shared" si="11"/>
        <v>1500</v>
      </c>
      <c r="M28" s="325">
        <f>SUM(M29:M30)</f>
        <v>0</v>
      </c>
      <c r="N28" s="726">
        <f>SUM(N29:N30)</f>
        <v>1500</v>
      </c>
      <c r="O28" s="376">
        <f t="shared" si="3"/>
        <v>100</v>
      </c>
    </row>
    <row r="29" spans="1:15" ht="12.95" customHeight="1">
      <c r="B29" s="10"/>
      <c r="C29" s="11"/>
      <c r="D29" s="11"/>
      <c r="E29" s="316"/>
      <c r="F29" s="336">
        <v>821200</v>
      </c>
      <c r="G29" s="362"/>
      <c r="H29" s="11" t="s">
        <v>90</v>
      </c>
      <c r="I29" s="557">
        <f t="shared" ref="I29:L29" si="12">SUM(G29:H29)</f>
        <v>0</v>
      </c>
      <c r="J29" s="557">
        <f t="shared" si="12"/>
        <v>0</v>
      </c>
      <c r="K29" s="557">
        <v>0</v>
      </c>
      <c r="L29" s="572">
        <f t="shared" si="12"/>
        <v>0</v>
      </c>
      <c r="M29" s="310">
        <v>0</v>
      </c>
      <c r="N29" s="724">
        <f t="shared" ref="N29:N30" si="13">SUM(L29:M29)</f>
        <v>0</v>
      </c>
      <c r="O29" s="377" t="str">
        <f t="shared" si="3"/>
        <v/>
      </c>
    </row>
    <row r="30" spans="1:15" ht="12.95" customHeight="1">
      <c r="B30" s="10"/>
      <c r="C30" s="11"/>
      <c r="D30" s="11"/>
      <c r="E30" s="316"/>
      <c r="F30" s="336">
        <v>821300</v>
      </c>
      <c r="G30" s="362"/>
      <c r="H30" s="11" t="s">
        <v>91</v>
      </c>
      <c r="I30" s="557">
        <v>1500</v>
      </c>
      <c r="J30" s="557">
        <v>1500</v>
      </c>
      <c r="K30" s="557">
        <v>0</v>
      </c>
      <c r="L30" s="572">
        <v>1500</v>
      </c>
      <c r="M30" s="310">
        <v>0</v>
      </c>
      <c r="N30" s="724">
        <f t="shared" si="13"/>
        <v>1500</v>
      </c>
      <c r="O30" s="377">
        <f t="shared" si="3"/>
        <v>100</v>
      </c>
    </row>
    <row r="31" spans="1:15" ht="8.1" customHeight="1">
      <c r="B31" s="10"/>
      <c r="C31" s="11"/>
      <c r="D31" s="11"/>
      <c r="E31" s="316"/>
      <c r="F31" s="336"/>
      <c r="G31" s="362"/>
      <c r="H31" s="11"/>
      <c r="I31" s="557"/>
      <c r="J31" s="557"/>
      <c r="K31" s="557"/>
      <c r="L31" s="572"/>
      <c r="M31" s="309"/>
      <c r="N31" s="725"/>
      <c r="O31" s="377" t="str">
        <f t="shared" si="3"/>
        <v/>
      </c>
    </row>
    <row r="32" spans="1:15" s="1" customFormat="1" ht="12.95" customHeight="1">
      <c r="A32" s="311"/>
      <c r="B32" s="12"/>
      <c r="C32" s="8"/>
      <c r="D32" s="8"/>
      <c r="E32" s="8"/>
      <c r="F32" s="335"/>
      <c r="G32" s="361"/>
      <c r="H32" s="8" t="s">
        <v>92</v>
      </c>
      <c r="I32" s="556">
        <v>3</v>
      </c>
      <c r="J32" s="556">
        <v>3</v>
      </c>
      <c r="K32" s="556">
        <v>3</v>
      </c>
      <c r="L32" s="573">
        <v>3</v>
      </c>
      <c r="M32" s="325"/>
      <c r="N32" s="726">
        <v>3</v>
      </c>
      <c r="O32" s="377"/>
    </row>
    <row r="33" spans="1:15" s="1" customFormat="1" ht="12.95" customHeight="1">
      <c r="A33" s="311"/>
      <c r="B33" s="12"/>
      <c r="C33" s="8"/>
      <c r="D33" s="8"/>
      <c r="E33" s="8"/>
      <c r="F33" s="335"/>
      <c r="G33" s="361"/>
      <c r="H33" s="8" t="s">
        <v>110</v>
      </c>
      <c r="I33" s="575">
        <f>I8+I13+I16+I28</f>
        <v>93150</v>
      </c>
      <c r="J33" s="318">
        <f>J8+J13+J16+J28</f>
        <v>93150</v>
      </c>
      <c r="K33" s="575">
        <f t="shared" ref="K33" si="14">K8+K13+K16+K28</f>
        <v>20706</v>
      </c>
      <c r="L33" s="582">
        <f>L8+L13+L16+L28</f>
        <v>90420</v>
      </c>
      <c r="M33" s="318">
        <f>M8+M13+M16+M28</f>
        <v>0</v>
      </c>
      <c r="N33" s="726">
        <f>N8+N13+N16+N28</f>
        <v>90420</v>
      </c>
      <c r="O33" s="376">
        <f t="shared" si="3"/>
        <v>97.069243156199676</v>
      </c>
    </row>
    <row r="34" spans="1:15" s="1" customFormat="1" ht="12.95" customHeight="1">
      <c r="A34" s="311"/>
      <c r="B34" s="12"/>
      <c r="C34" s="8"/>
      <c r="D34" s="8"/>
      <c r="E34" s="8"/>
      <c r="F34" s="335"/>
      <c r="G34" s="361"/>
      <c r="H34" s="8" t="s">
        <v>93</v>
      </c>
      <c r="I34" s="575"/>
      <c r="J34" s="318"/>
      <c r="K34" s="575"/>
      <c r="L34" s="582"/>
      <c r="M34" s="318"/>
      <c r="N34" s="726"/>
      <c r="O34" s="377" t="str">
        <f>IF(J34=0,"",N34/J34*100)</f>
        <v/>
      </c>
    </row>
    <row r="35" spans="1:15" s="1" customFormat="1" ht="12.95" customHeight="1">
      <c r="A35" s="311"/>
      <c r="B35" s="12"/>
      <c r="C35" s="8"/>
      <c r="D35" s="8"/>
      <c r="E35" s="8"/>
      <c r="F35" s="335"/>
      <c r="G35" s="361"/>
      <c r="H35" s="8" t="s">
        <v>94</v>
      </c>
      <c r="I35" s="575"/>
      <c r="J35" s="318"/>
      <c r="K35" s="575"/>
      <c r="L35" s="582"/>
      <c r="M35" s="318"/>
      <c r="N35" s="726"/>
      <c r="O35" s="377" t="str">
        <f t="shared" si="3"/>
        <v/>
      </c>
    </row>
    <row r="36" spans="1:15" ht="8.1" customHeight="1" thickBot="1">
      <c r="B36" s="16"/>
      <c r="C36" s="17"/>
      <c r="D36" s="17"/>
      <c r="E36" s="17"/>
      <c r="F36" s="337"/>
      <c r="G36" s="363"/>
      <c r="H36" s="17"/>
      <c r="I36" s="17"/>
      <c r="J36" s="17"/>
      <c r="K36" s="27"/>
      <c r="L36" s="16"/>
      <c r="M36" s="17"/>
      <c r="N36" s="735"/>
      <c r="O36" s="379"/>
    </row>
    <row r="37" spans="1:15" ht="12.95" customHeight="1">
      <c r="F37" s="338"/>
      <c r="G37" s="364"/>
      <c r="N37" s="423"/>
    </row>
    <row r="38" spans="1:15" ht="12.95" customHeight="1">
      <c r="B38" s="55"/>
      <c r="F38" s="338"/>
      <c r="G38" s="364"/>
      <c r="N38" s="423"/>
    </row>
    <row r="39" spans="1:15" ht="12.95" customHeight="1">
      <c r="B39" s="55"/>
      <c r="F39" s="338"/>
      <c r="G39" s="364"/>
      <c r="N39" s="423"/>
    </row>
    <row r="40" spans="1:15" ht="12.95" customHeight="1">
      <c r="B40" s="55"/>
      <c r="F40" s="338"/>
      <c r="G40" s="364"/>
      <c r="N40" s="423"/>
    </row>
    <row r="41" spans="1:15" ht="12.95" customHeight="1">
      <c r="B41" s="55"/>
      <c r="F41" s="338"/>
      <c r="G41" s="364"/>
      <c r="N41" s="423"/>
    </row>
    <row r="42" spans="1:15" ht="12.95" customHeight="1">
      <c r="F42" s="338"/>
      <c r="G42" s="364"/>
      <c r="N42" s="423"/>
    </row>
    <row r="43" spans="1:15" ht="12.95" customHeight="1">
      <c r="F43" s="338"/>
      <c r="G43" s="364"/>
      <c r="N43" s="423"/>
    </row>
    <row r="44" spans="1:15" ht="12.95" customHeight="1">
      <c r="F44" s="338"/>
      <c r="G44" s="364"/>
      <c r="N44" s="423"/>
    </row>
    <row r="45" spans="1:15" ht="12.95" customHeight="1">
      <c r="F45" s="338"/>
      <c r="G45" s="364"/>
      <c r="N45" s="423"/>
    </row>
    <row r="46" spans="1:15" ht="12.95" customHeight="1">
      <c r="F46" s="338"/>
      <c r="G46" s="364"/>
      <c r="N46" s="423"/>
    </row>
    <row r="47" spans="1:15" ht="12.95" customHeight="1">
      <c r="F47" s="338"/>
      <c r="G47" s="364"/>
      <c r="N47" s="423"/>
    </row>
    <row r="48" spans="1:15" ht="12.95" customHeight="1">
      <c r="F48" s="338"/>
      <c r="G48" s="364"/>
      <c r="N48" s="423"/>
    </row>
    <row r="49" spans="6:14" ht="12.95" customHeight="1">
      <c r="F49" s="338"/>
      <c r="G49" s="364"/>
      <c r="N49" s="423"/>
    </row>
    <row r="50" spans="6:14" ht="12.95" customHeight="1">
      <c r="F50" s="338"/>
      <c r="G50" s="364"/>
      <c r="N50" s="423"/>
    </row>
    <row r="51" spans="6:14" ht="12.95" customHeight="1">
      <c r="F51" s="338"/>
      <c r="G51" s="364"/>
      <c r="N51" s="423"/>
    </row>
    <row r="52" spans="6:14" ht="12.95" customHeight="1">
      <c r="F52" s="338"/>
      <c r="G52" s="364"/>
      <c r="N52" s="423"/>
    </row>
    <row r="53" spans="6:14" ht="12.95" customHeight="1">
      <c r="F53" s="338"/>
      <c r="G53" s="364"/>
      <c r="N53" s="423"/>
    </row>
    <row r="54" spans="6:14" ht="12.95" customHeight="1">
      <c r="F54" s="338"/>
      <c r="G54" s="364"/>
      <c r="N54" s="423"/>
    </row>
    <row r="55" spans="6:14" ht="12.95" customHeight="1">
      <c r="F55" s="338"/>
      <c r="G55" s="364"/>
      <c r="N55" s="423"/>
    </row>
    <row r="56" spans="6:14" ht="12.95" customHeight="1">
      <c r="F56" s="338"/>
      <c r="G56" s="364"/>
      <c r="N56" s="423"/>
    </row>
    <row r="57" spans="6:14" ht="12.95" customHeight="1">
      <c r="F57" s="338"/>
      <c r="G57" s="364"/>
      <c r="N57" s="423"/>
    </row>
    <row r="58" spans="6:14" ht="12.95" customHeight="1">
      <c r="F58" s="338"/>
      <c r="G58" s="364"/>
      <c r="N58" s="423"/>
    </row>
    <row r="59" spans="6:14" ht="12.95" customHeight="1">
      <c r="F59" s="338"/>
      <c r="G59" s="364"/>
      <c r="N59" s="423"/>
    </row>
    <row r="60" spans="6:14" ht="17.100000000000001" customHeight="1">
      <c r="F60" s="338"/>
      <c r="G60" s="364"/>
      <c r="N60" s="423"/>
    </row>
    <row r="61" spans="6:14" ht="14.25">
      <c r="F61" s="338"/>
      <c r="G61" s="364"/>
      <c r="N61" s="423"/>
    </row>
    <row r="62" spans="6:14" ht="14.25">
      <c r="F62" s="338"/>
      <c r="G62" s="364"/>
      <c r="N62" s="423"/>
    </row>
    <row r="63" spans="6:14" ht="14.25">
      <c r="F63" s="338"/>
      <c r="G63" s="364"/>
      <c r="N63" s="423"/>
    </row>
    <row r="64" spans="6:14" ht="14.25">
      <c r="F64" s="338"/>
      <c r="G64" s="364"/>
      <c r="N64" s="423"/>
    </row>
    <row r="65" spans="6:14" ht="14.25">
      <c r="F65" s="338"/>
      <c r="G65" s="364"/>
      <c r="N65" s="423"/>
    </row>
    <row r="66" spans="6:14" ht="14.25">
      <c r="F66" s="338"/>
      <c r="G66" s="364"/>
      <c r="N66" s="423"/>
    </row>
    <row r="67" spans="6:14" ht="14.25">
      <c r="F67" s="338"/>
      <c r="G67" s="364"/>
      <c r="N67" s="423"/>
    </row>
    <row r="68" spans="6:14" ht="14.25">
      <c r="F68" s="338"/>
      <c r="G68" s="364"/>
      <c r="N68" s="423"/>
    </row>
    <row r="69" spans="6:14" ht="14.25">
      <c r="F69" s="338"/>
      <c r="G69" s="364"/>
      <c r="N69" s="423"/>
    </row>
    <row r="70" spans="6:14" ht="14.25">
      <c r="F70" s="338"/>
      <c r="G70" s="364"/>
      <c r="N70" s="423"/>
    </row>
    <row r="71" spans="6:14" ht="14.25">
      <c r="F71" s="338"/>
      <c r="G71" s="364"/>
      <c r="N71" s="423"/>
    </row>
    <row r="72" spans="6:14" ht="14.25">
      <c r="F72" s="338"/>
      <c r="G72" s="364"/>
      <c r="N72" s="423"/>
    </row>
    <row r="73" spans="6:14" ht="14.25">
      <c r="F73" s="338"/>
      <c r="G73" s="364"/>
      <c r="N73" s="423"/>
    </row>
    <row r="74" spans="6:14" ht="14.25">
      <c r="F74" s="338"/>
      <c r="G74" s="338"/>
      <c r="N74" s="423"/>
    </row>
    <row r="75" spans="6:14" ht="14.25">
      <c r="F75" s="338"/>
      <c r="G75" s="338"/>
      <c r="N75" s="423"/>
    </row>
    <row r="76" spans="6:14" ht="14.25">
      <c r="F76" s="338"/>
      <c r="G76" s="338"/>
      <c r="N76" s="423"/>
    </row>
    <row r="77" spans="6:14" ht="14.25">
      <c r="F77" s="338"/>
      <c r="G77" s="338"/>
      <c r="N77" s="423"/>
    </row>
    <row r="78" spans="6:14" ht="14.25">
      <c r="F78" s="338"/>
      <c r="G78" s="338"/>
      <c r="N78" s="423"/>
    </row>
    <row r="79" spans="6:14" ht="14.25">
      <c r="F79" s="338"/>
      <c r="G79" s="338"/>
      <c r="N79" s="423"/>
    </row>
    <row r="80" spans="6:14" ht="14.25">
      <c r="F80" s="338"/>
      <c r="G80" s="338"/>
      <c r="N80" s="423"/>
    </row>
    <row r="81" spans="6:14" ht="14.25">
      <c r="F81" s="338"/>
      <c r="G81" s="338"/>
      <c r="N81" s="423"/>
    </row>
    <row r="82" spans="6:14" ht="14.25">
      <c r="F82" s="338"/>
      <c r="G82" s="338"/>
      <c r="N82" s="423"/>
    </row>
    <row r="83" spans="6:14" ht="14.25">
      <c r="F83" s="338"/>
      <c r="G83" s="338"/>
      <c r="N83" s="423"/>
    </row>
    <row r="84" spans="6:14" ht="14.25">
      <c r="F84" s="338"/>
      <c r="G84" s="338"/>
      <c r="N84" s="423"/>
    </row>
    <row r="85" spans="6:14" ht="14.25">
      <c r="F85" s="338"/>
      <c r="G85" s="338"/>
      <c r="N85" s="423"/>
    </row>
    <row r="86" spans="6:14" ht="14.25">
      <c r="F86" s="338"/>
      <c r="G86" s="338"/>
      <c r="N86" s="423"/>
    </row>
    <row r="87" spans="6:14" ht="14.25">
      <c r="F87" s="338"/>
      <c r="G87" s="338"/>
      <c r="N87" s="423"/>
    </row>
    <row r="88" spans="6:14" ht="14.25">
      <c r="F88" s="338"/>
      <c r="G88" s="338"/>
      <c r="N88" s="423"/>
    </row>
    <row r="89" spans="6:14" ht="14.25">
      <c r="F89" s="338"/>
      <c r="G89" s="338"/>
      <c r="N89" s="423"/>
    </row>
    <row r="90" spans="6:14" ht="14.25">
      <c r="F90" s="338"/>
      <c r="G90" s="338"/>
      <c r="N90" s="423"/>
    </row>
    <row r="91" spans="6:14">
      <c r="G91" s="338"/>
    </row>
    <row r="92" spans="6:14">
      <c r="G92" s="338"/>
    </row>
    <row r="93" spans="6:14">
      <c r="G93" s="338"/>
    </row>
    <row r="94" spans="6:14">
      <c r="G94" s="338"/>
    </row>
    <row r="95" spans="6:14">
      <c r="G95" s="338"/>
    </row>
    <row r="96" spans="6:14">
      <c r="G96" s="338"/>
    </row>
  </sheetData>
  <mergeCells count="14">
    <mergeCell ref="O4:O5"/>
    <mergeCell ref="H4:H5"/>
    <mergeCell ref="B2:N2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K4:K5"/>
    <mergeCell ref="E4:E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46"/>
  <dimension ref="A1:Q96"/>
  <sheetViews>
    <sheetView zoomScaleNormal="100" workbookViewId="0">
      <selection activeCell="L28" activeCellId="3" sqref="L8 L13 L16 L28"/>
    </sheetView>
  </sheetViews>
  <sheetFormatPr defaultRowHeight="12.75"/>
  <cols>
    <col min="1" max="1" width="9.140625" style="314"/>
    <col min="2" max="2" width="4.7109375" style="9" customWidth="1"/>
    <col min="3" max="3" width="5.140625" style="9" customWidth="1"/>
    <col min="4" max="4" width="5" style="9" customWidth="1"/>
    <col min="5" max="5" width="5" style="314" customWidth="1"/>
    <col min="6" max="6" width="8.7109375" style="18" customWidth="1"/>
    <col min="7" max="7" width="8.7109375" style="319" customWidth="1"/>
    <col min="8" max="8" width="50.7109375" style="9" customWidth="1"/>
    <col min="9" max="11" width="14.7109375" style="9" customWidth="1"/>
    <col min="12" max="13" width="14.7109375" style="314" customWidth="1"/>
    <col min="14" max="14" width="15.7109375" style="9" customWidth="1"/>
    <col min="15" max="15" width="7.7109375" style="380" customWidth="1"/>
    <col min="16" max="16384" width="9.140625" style="9"/>
  </cols>
  <sheetData>
    <row r="1" spans="1:17" ht="13.5" thickBot="1"/>
    <row r="2" spans="1:17" s="113" customFormat="1" ht="20.100000000000001" customHeight="1" thickTop="1" thickBot="1">
      <c r="B2" s="887" t="s">
        <v>473</v>
      </c>
      <c r="C2" s="888"/>
      <c r="D2" s="888"/>
      <c r="E2" s="888"/>
      <c r="F2" s="888"/>
      <c r="G2" s="888"/>
      <c r="H2" s="888"/>
      <c r="I2" s="888"/>
      <c r="J2" s="888"/>
      <c r="K2" s="888"/>
      <c r="L2" s="888"/>
      <c r="M2" s="888"/>
      <c r="N2" s="888"/>
      <c r="O2" s="412"/>
      <c r="Q2" s="408"/>
    </row>
    <row r="3" spans="1:17" s="1" customFormat="1" ht="8.1" customHeight="1" thickTop="1" thickBot="1">
      <c r="A3" s="311"/>
      <c r="E3" s="311"/>
      <c r="F3" s="2"/>
      <c r="G3" s="312"/>
      <c r="H3" s="890"/>
      <c r="I3" s="890"/>
      <c r="J3" s="282"/>
      <c r="K3" s="282"/>
      <c r="L3" s="107"/>
      <c r="M3" s="107"/>
      <c r="N3" s="107"/>
      <c r="O3" s="374"/>
    </row>
    <row r="4" spans="1:17" s="1" customFormat="1" ht="39" customHeight="1">
      <c r="A4" s="311"/>
      <c r="B4" s="894" t="s">
        <v>77</v>
      </c>
      <c r="C4" s="909" t="s">
        <v>78</v>
      </c>
      <c r="D4" s="910" t="s">
        <v>107</v>
      </c>
      <c r="E4" s="916" t="s">
        <v>828</v>
      </c>
      <c r="F4" s="911" t="s">
        <v>517</v>
      </c>
      <c r="G4" s="899" t="s">
        <v>556</v>
      </c>
      <c r="H4" s="900" t="s">
        <v>79</v>
      </c>
      <c r="I4" s="912" t="s">
        <v>697</v>
      </c>
      <c r="J4" s="913" t="s">
        <v>862</v>
      </c>
      <c r="K4" s="917" t="s">
        <v>863</v>
      </c>
      <c r="L4" s="908" t="s">
        <v>865</v>
      </c>
      <c r="M4" s="892"/>
      <c r="N4" s="893"/>
      <c r="O4" s="906" t="s">
        <v>866</v>
      </c>
      <c r="Q4" s="81"/>
    </row>
    <row r="5" spans="1:17" s="311" customFormat="1" ht="27" customHeight="1">
      <c r="B5" s="895"/>
      <c r="C5" s="897"/>
      <c r="D5" s="897"/>
      <c r="E5" s="897"/>
      <c r="F5" s="901"/>
      <c r="G5" s="897"/>
      <c r="H5" s="901"/>
      <c r="I5" s="901"/>
      <c r="J5" s="901"/>
      <c r="K5" s="905"/>
      <c r="L5" s="587" t="s">
        <v>601</v>
      </c>
      <c r="M5" s="404" t="s">
        <v>602</v>
      </c>
      <c r="N5" s="720" t="s">
        <v>349</v>
      </c>
      <c r="O5" s="907"/>
    </row>
    <row r="6" spans="1:17" s="2" customFormat="1" ht="12.95" customHeight="1">
      <c r="A6" s="312"/>
      <c r="B6" s="525">
        <v>1</v>
      </c>
      <c r="C6" s="361">
        <v>2</v>
      </c>
      <c r="D6" s="361">
        <v>3</v>
      </c>
      <c r="E6" s="361">
        <v>4</v>
      </c>
      <c r="F6" s="361">
        <v>5</v>
      </c>
      <c r="G6" s="361">
        <v>6</v>
      </c>
      <c r="H6" s="361">
        <v>7</v>
      </c>
      <c r="I6" s="361">
        <v>8</v>
      </c>
      <c r="J6" s="361">
        <v>9</v>
      </c>
      <c r="K6" s="526">
        <v>10</v>
      </c>
      <c r="L6" s="525">
        <v>11</v>
      </c>
      <c r="M6" s="361">
        <v>12</v>
      </c>
      <c r="N6" s="721" t="s">
        <v>830</v>
      </c>
      <c r="O6" s="527">
        <v>14</v>
      </c>
    </row>
    <row r="7" spans="1:17" s="2" customFormat="1" ht="12.95" customHeight="1">
      <c r="A7" s="312"/>
      <c r="B7" s="6" t="s">
        <v>115</v>
      </c>
      <c r="C7" s="7" t="s">
        <v>80</v>
      </c>
      <c r="D7" s="7" t="s">
        <v>133</v>
      </c>
      <c r="E7" s="667" t="s">
        <v>829</v>
      </c>
      <c r="F7" s="5"/>
      <c r="G7" s="313"/>
      <c r="H7" s="5"/>
      <c r="I7" s="574"/>
      <c r="J7" s="589"/>
      <c r="K7" s="574"/>
      <c r="L7" s="4"/>
      <c r="M7" s="313"/>
      <c r="N7" s="722"/>
      <c r="O7" s="375"/>
    </row>
    <row r="8" spans="1:17" s="1" customFormat="1" ht="12.95" customHeight="1">
      <c r="A8" s="311"/>
      <c r="B8" s="12"/>
      <c r="C8" s="8"/>
      <c r="D8" s="8"/>
      <c r="E8" s="8"/>
      <c r="F8" s="335">
        <v>611000</v>
      </c>
      <c r="G8" s="361"/>
      <c r="H8" s="8" t="s">
        <v>146</v>
      </c>
      <c r="I8" s="556">
        <f t="shared" ref="I8" si="0">SUM(I9:I12)</f>
        <v>201150</v>
      </c>
      <c r="J8" s="556">
        <f t="shared" ref="J8:L8" si="1">SUM(J9:J12)</f>
        <v>201150</v>
      </c>
      <c r="K8" s="556">
        <f>SUM(K9:K11)</f>
        <v>42799</v>
      </c>
      <c r="L8" s="573">
        <f t="shared" si="1"/>
        <v>186120</v>
      </c>
      <c r="M8" s="249">
        <f>SUM(M9:M12)</f>
        <v>0</v>
      </c>
      <c r="N8" s="723">
        <f>SUM(N9:N12)</f>
        <v>186120</v>
      </c>
      <c r="O8" s="376">
        <f>IF(J8=0,"",N8/J8*100)</f>
        <v>92.527964205816559</v>
      </c>
    </row>
    <row r="9" spans="1:17" ht="12.95" customHeight="1">
      <c r="B9" s="10"/>
      <c r="C9" s="11"/>
      <c r="D9" s="11"/>
      <c r="E9" s="316"/>
      <c r="F9" s="336">
        <v>611100</v>
      </c>
      <c r="G9" s="362"/>
      <c r="H9" s="20" t="s">
        <v>174</v>
      </c>
      <c r="I9" s="557">
        <v>157980</v>
      </c>
      <c r="J9" s="557">
        <v>157980</v>
      </c>
      <c r="K9" s="557">
        <v>33293</v>
      </c>
      <c r="L9" s="572">
        <f>133150+1000+2*5*1140</f>
        <v>145550</v>
      </c>
      <c r="M9" s="250">
        <v>0</v>
      </c>
      <c r="N9" s="724">
        <f>SUM(L9:M9)</f>
        <v>145550</v>
      </c>
      <c r="O9" s="377">
        <f>IF(J9=0,"",N9/J9*100)</f>
        <v>92.131915432333216</v>
      </c>
      <c r="P9" s="63"/>
    </row>
    <row r="10" spans="1:17" ht="12.95" customHeight="1">
      <c r="B10" s="10"/>
      <c r="C10" s="11"/>
      <c r="D10" s="11"/>
      <c r="E10" s="316"/>
      <c r="F10" s="336">
        <v>611200</v>
      </c>
      <c r="G10" s="362"/>
      <c r="H10" s="11" t="s">
        <v>175</v>
      </c>
      <c r="I10" s="557">
        <v>43170</v>
      </c>
      <c r="J10" s="557">
        <v>43170</v>
      </c>
      <c r="K10" s="557">
        <v>9506</v>
      </c>
      <c r="L10" s="572">
        <f>36710+700+2*1580</f>
        <v>40570</v>
      </c>
      <c r="M10" s="250">
        <v>0</v>
      </c>
      <c r="N10" s="724">
        <f t="shared" ref="N10:N11" si="2">SUM(L10:M10)</f>
        <v>40570</v>
      </c>
      <c r="O10" s="377">
        <f t="shared" ref="O10:O35" si="3">IF(J10=0,"",N10/J10*100)</f>
        <v>93.977299050266396</v>
      </c>
      <c r="P10" s="67"/>
    </row>
    <row r="11" spans="1:17" ht="12.95" customHeight="1">
      <c r="B11" s="10"/>
      <c r="C11" s="11"/>
      <c r="D11" s="11"/>
      <c r="E11" s="316"/>
      <c r="F11" s="336">
        <v>611200</v>
      </c>
      <c r="G11" s="362"/>
      <c r="H11" s="210" t="s">
        <v>464</v>
      </c>
      <c r="I11" s="557">
        <f t="shared" ref="I11:L11" si="4">SUM(G11:H11)</f>
        <v>0</v>
      </c>
      <c r="J11" s="557">
        <f t="shared" si="4"/>
        <v>0</v>
      </c>
      <c r="K11" s="557">
        <v>0</v>
      </c>
      <c r="L11" s="572">
        <f t="shared" si="4"/>
        <v>0</v>
      </c>
      <c r="M11" s="250">
        <v>0</v>
      </c>
      <c r="N11" s="724">
        <f t="shared" si="2"/>
        <v>0</v>
      </c>
      <c r="O11" s="377" t="str">
        <f t="shared" si="3"/>
        <v/>
      </c>
      <c r="Q11" s="62"/>
    </row>
    <row r="12" spans="1:17" ht="12.95" customHeight="1">
      <c r="B12" s="10"/>
      <c r="C12" s="11"/>
      <c r="D12" s="11"/>
      <c r="E12" s="316"/>
      <c r="F12" s="336"/>
      <c r="G12" s="362"/>
      <c r="H12" s="20"/>
      <c r="I12" s="557"/>
      <c r="J12" s="557"/>
      <c r="K12" s="557"/>
      <c r="L12" s="572"/>
      <c r="M12" s="250"/>
      <c r="N12" s="724"/>
      <c r="O12" s="377" t="str">
        <f t="shared" si="3"/>
        <v/>
      </c>
    </row>
    <row r="13" spans="1:17" s="1" customFormat="1" ht="12.95" customHeight="1">
      <c r="A13" s="311"/>
      <c r="B13" s="12"/>
      <c r="C13" s="8"/>
      <c r="D13" s="8"/>
      <c r="E13" s="8"/>
      <c r="F13" s="335">
        <v>612000</v>
      </c>
      <c r="G13" s="361"/>
      <c r="H13" s="8" t="s">
        <v>145</v>
      </c>
      <c r="I13" s="556">
        <f t="shared" ref="I13:L13" si="5">I14</f>
        <v>17030</v>
      </c>
      <c r="J13" s="556">
        <f t="shared" si="5"/>
        <v>17030</v>
      </c>
      <c r="K13" s="556">
        <f>K14</f>
        <v>3516</v>
      </c>
      <c r="L13" s="573">
        <f t="shared" si="5"/>
        <v>15750</v>
      </c>
      <c r="M13" s="249">
        <f>M14</f>
        <v>0</v>
      </c>
      <c r="N13" s="723">
        <f>N14</f>
        <v>15750</v>
      </c>
      <c r="O13" s="376">
        <f t="shared" si="3"/>
        <v>92.483852025836754</v>
      </c>
    </row>
    <row r="14" spans="1:17" ht="12.95" customHeight="1">
      <c r="B14" s="10"/>
      <c r="C14" s="11"/>
      <c r="D14" s="11"/>
      <c r="E14" s="316"/>
      <c r="F14" s="336">
        <v>612100</v>
      </c>
      <c r="G14" s="362"/>
      <c r="H14" s="13" t="s">
        <v>82</v>
      </c>
      <c r="I14" s="557">
        <v>17030</v>
      </c>
      <c r="J14" s="557">
        <v>17030</v>
      </c>
      <c r="K14" s="557">
        <v>3516</v>
      </c>
      <c r="L14" s="572">
        <f>14050+400+2*5*130</f>
        <v>15750</v>
      </c>
      <c r="M14" s="250">
        <v>0</v>
      </c>
      <c r="N14" s="724">
        <f>SUM(L14:M14)</f>
        <v>15750</v>
      </c>
      <c r="O14" s="377">
        <f t="shared" si="3"/>
        <v>92.483852025836754</v>
      </c>
    </row>
    <row r="15" spans="1:17" ht="12.95" customHeight="1">
      <c r="B15" s="10"/>
      <c r="C15" s="11"/>
      <c r="D15" s="11"/>
      <c r="E15" s="316"/>
      <c r="F15" s="336"/>
      <c r="G15" s="362"/>
      <c r="H15" s="11"/>
      <c r="I15" s="557"/>
      <c r="J15" s="557"/>
      <c r="K15" s="557"/>
      <c r="L15" s="572"/>
      <c r="M15" s="309"/>
      <c r="N15" s="725"/>
      <c r="O15" s="377" t="str">
        <f t="shared" si="3"/>
        <v/>
      </c>
    </row>
    <row r="16" spans="1:17" s="1" customFormat="1" ht="12.95" customHeight="1">
      <c r="A16" s="311"/>
      <c r="B16" s="12"/>
      <c r="C16" s="8"/>
      <c r="D16" s="8"/>
      <c r="E16" s="8"/>
      <c r="F16" s="335">
        <v>613000</v>
      </c>
      <c r="G16" s="361"/>
      <c r="H16" s="8" t="s">
        <v>147</v>
      </c>
      <c r="I16" s="556">
        <f t="shared" ref="I16" si="6">SUM(I17:I26)</f>
        <v>10700</v>
      </c>
      <c r="J16" s="556">
        <f t="shared" ref="J16:L16" si="7">SUM(J17:J26)</f>
        <v>10700</v>
      </c>
      <c r="K16" s="556">
        <f>SUM(K17:K26)</f>
        <v>3143</v>
      </c>
      <c r="L16" s="573">
        <f t="shared" si="7"/>
        <v>9400</v>
      </c>
      <c r="M16" s="323">
        <f>SUM(M17:M26)</f>
        <v>0</v>
      </c>
      <c r="N16" s="726">
        <f>SUM(N17:N26)</f>
        <v>9400</v>
      </c>
      <c r="O16" s="376">
        <f t="shared" si="3"/>
        <v>87.850467289719631</v>
      </c>
    </row>
    <row r="17" spans="1:15" ht="12.95" customHeight="1">
      <c r="B17" s="10"/>
      <c r="C17" s="11"/>
      <c r="D17" s="11"/>
      <c r="E17" s="316"/>
      <c r="F17" s="336">
        <v>613100</v>
      </c>
      <c r="G17" s="362"/>
      <c r="H17" s="11" t="s">
        <v>83</v>
      </c>
      <c r="I17" s="557">
        <v>6000</v>
      </c>
      <c r="J17" s="557">
        <v>6000</v>
      </c>
      <c r="K17" s="557">
        <v>2215</v>
      </c>
      <c r="L17" s="572">
        <f>6000*80%</f>
        <v>4800</v>
      </c>
      <c r="M17" s="396">
        <v>0</v>
      </c>
      <c r="N17" s="724">
        <f t="shared" ref="N17:N26" si="8">SUM(L17:M17)</f>
        <v>4800</v>
      </c>
      <c r="O17" s="377">
        <f t="shared" si="3"/>
        <v>80</v>
      </c>
    </row>
    <row r="18" spans="1:15" ht="12.95" customHeight="1">
      <c r="B18" s="10"/>
      <c r="C18" s="11"/>
      <c r="D18" s="11"/>
      <c r="E18" s="316"/>
      <c r="F18" s="336">
        <v>613200</v>
      </c>
      <c r="G18" s="362"/>
      <c r="H18" s="11" t="s">
        <v>84</v>
      </c>
      <c r="I18" s="557">
        <f t="shared" ref="I18:L26" si="9">SUM(G18:H18)</f>
        <v>0</v>
      </c>
      <c r="J18" s="557">
        <f t="shared" si="9"/>
        <v>0</v>
      </c>
      <c r="K18" s="557">
        <v>0</v>
      </c>
      <c r="L18" s="572">
        <f t="shared" si="9"/>
        <v>0</v>
      </c>
      <c r="M18" s="393">
        <v>0</v>
      </c>
      <c r="N18" s="724">
        <f t="shared" si="8"/>
        <v>0</v>
      </c>
      <c r="O18" s="377" t="str">
        <f t="shared" si="3"/>
        <v/>
      </c>
    </row>
    <row r="19" spans="1:15" ht="12.95" customHeight="1">
      <c r="B19" s="10"/>
      <c r="C19" s="11"/>
      <c r="D19" s="11"/>
      <c r="E19" s="316"/>
      <c r="F19" s="336">
        <v>613300</v>
      </c>
      <c r="G19" s="362"/>
      <c r="H19" s="20" t="s">
        <v>176</v>
      </c>
      <c r="I19" s="557">
        <v>1000</v>
      </c>
      <c r="J19" s="557">
        <v>1000</v>
      </c>
      <c r="K19" s="557">
        <v>230</v>
      </c>
      <c r="L19" s="572">
        <v>1000</v>
      </c>
      <c r="M19" s="393">
        <v>0</v>
      </c>
      <c r="N19" s="724">
        <f t="shared" si="8"/>
        <v>1000</v>
      </c>
      <c r="O19" s="377">
        <f t="shared" si="3"/>
        <v>100</v>
      </c>
    </row>
    <row r="20" spans="1:15" ht="12.95" customHeight="1">
      <c r="B20" s="10"/>
      <c r="C20" s="11"/>
      <c r="D20" s="11"/>
      <c r="E20" s="316"/>
      <c r="F20" s="336">
        <v>613400</v>
      </c>
      <c r="G20" s="362"/>
      <c r="H20" s="11" t="s">
        <v>148</v>
      </c>
      <c r="I20" s="557">
        <v>1000</v>
      </c>
      <c r="J20" s="557">
        <v>1000</v>
      </c>
      <c r="K20" s="557">
        <v>0</v>
      </c>
      <c r="L20" s="572">
        <v>1000</v>
      </c>
      <c r="M20" s="396">
        <v>0</v>
      </c>
      <c r="N20" s="724">
        <f t="shared" si="8"/>
        <v>1000</v>
      </c>
      <c r="O20" s="377">
        <f t="shared" si="3"/>
        <v>100</v>
      </c>
    </row>
    <row r="21" spans="1:15" ht="12.95" customHeight="1">
      <c r="B21" s="10"/>
      <c r="C21" s="11"/>
      <c r="D21" s="11"/>
      <c r="E21" s="316"/>
      <c r="F21" s="336">
        <v>613500</v>
      </c>
      <c r="G21" s="362"/>
      <c r="H21" s="11" t="s">
        <v>85</v>
      </c>
      <c r="I21" s="557">
        <f t="shared" si="9"/>
        <v>0</v>
      </c>
      <c r="J21" s="557">
        <f t="shared" si="9"/>
        <v>0</v>
      </c>
      <c r="K21" s="557">
        <v>0</v>
      </c>
      <c r="L21" s="572">
        <f t="shared" si="9"/>
        <v>0</v>
      </c>
      <c r="M21" s="393">
        <v>0</v>
      </c>
      <c r="N21" s="724">
        <f t="shared" si="8"/>
        <v>0</v>
      </c>
      <c r="O21" s="377" t="str">
        <f t="shared" si="3"/>
        <v/>
      </c>
    </row>
    <row r="22" spans="1:15" ht="12.95" customHeight="1">
      <c r="B22" s="10"/>
      <c r="C22" s="11"/>
      <c r="D22" s="11"/>
      <c r="E22" s="316"/>
      <c r="F22" s="336">
        <v>613600</v>
      </c>
      <c r="G22" s="362"/>
      <c r="H22" s="20" t="s">
        <v>177</v>
      </c>
      <c r="I22" s="557">
        <f t="shared" si="9"/>
        <v>0</v>
      </c>
      <c r="J22" s="557">
        <f t="shared" si="9"/>
        <v>0</v>
      </c>
      <c r="K22" s="557">
        <v>0</v>
      </c>
      <c r="L22" s="572">
        <f t="shared" si="9"/>
        <v>0</v>
      </c>
      <c r="M22" s="393">
        <v>0</v>
      </c>
      <c r="N22" s="724">
        <f t="shared" si="8"/>
        <v>0</v>
      </c>
      <c r="O22" s="377" t="str">
        <f t="shared" si="3"/>
        <v/>
      </c>
    </row>
    <row r="23" spans="1:15" ht="12.95" customHeight="1">
      <c r="B23" s="10"/>
      <c r="C23" s="11"/>
      <c r="D23" s="11"/>
      <c r="E23" s="316"/>
      <c r="F23" s="336">
        <v>613700</v>
      </c>
      <c r="G23" s="362"/>
      <c r="H23" s="11" t="s">
        <v>86</v>
      </c>
      <c r="I23" s="557">
        <v>1200</v>
      </c>
      <c r="J23" s="557">
        <v>1200</v>
      </c>
      <c r="K23" s="557">
        <v>95</v>
      </c>
      <c r="L23" s="572">
        <v>1200</v>
      </c>
      <c r="M23" s="393">
        <v>0</v>
      </c>
      <c r="N23" s="724">
        <f t="shared" si="8"/>
        <v>1200</v>
      </c>
      <c r="O23" s="377">
        <f t="shared" si="3"/>
        <v>100</v>
      </c>
    </row>
    <row r="24" spans="1:15" ht="12.95" customHeight="1">
      <c r="B24" s="10"/>
      <c r="C24" s="11"/>
      <c r="D24" s="11"/>
      <c r="E24" s="316"/>
      <c r="F24" s="336">
        <v>613800</v>
      </c>
      <c r="G24" s="362"/>
      <c r="H24" s="11" t="s">
        <v>149</v>
      </c>
      <c r="I24" s="557">
        <f t="shared" si="9"/>
        <v>0</v>
      </c>
      <c r="J24" s="557">
        <f t="shared" si="9"/>
        <v>0</v>
      </c>
      <c r="K24" s="557">
        <v>0</v>
      </c>
      <c r="L24" s="572">
        <f t="shared" si="9"/>
        <v>0</v>
      </c>
      <c r="M24" s="393">
        <v>0</v>
      </c>
      <c r="N24" s="724">
        <f t="shared" si="8"/>
        <v>0</v>
      </c>
      <c r="O24" s="377" t="str">
        <f t="shared" si="3"/>
        <v/>
      </c>
    </row>
    <row r="25" spans="1:15" ht="12.95" customHeight="1">
      <c r="B25" s="10"/>
      <c r="C25" s="11"/>
      <c r="D25" s="11"/>
      <c r="E25" s="316"/>
      <c r="F25" s="336">
        <v>613900</v>
      </c>
      <c r="G25" s="362"/>
      <c r="H25" s="11" t="s">
        <v>150</v>
      </c>
      <c r="I25" s="557">
        <v>1500</v>
      </c>
      <c r="J25" s="557">
        <v>1500</v>
      </c>
      <c r="K25" s="557">
        <v>603</v>
      </c>
      <c r="L25" s="572">
        <f>1500-100</f>
        <v>1400</v>
      </c>
      <c r="M25" s="396">
        <v>0</v>
      </c>
      <c r="N25" s="724">
        <f t="shared" si="8"/>
        <v>1400</v>
      </c>
      <c r="O25" s="377">
        <f t="shared" si="3"/>
        <v>93.333333333333329</v>
      </c>
    </row>
    <row r="26" spans="1:15" ht="12.95" customHeight="1">
      <c r="B26" s="10"/>
      <c r="C26" s="11"/>
      <c r="D26" s="11"/>
      <c r="E26" s="316"/>
      <c r="F26" s="336">
        <v>613900</v>
      </c>
      <c r="G26" s="362"/>
      <c r="H26" s="210" t="s">
        <v>465</v>
      </c>
      <c r="I26" s="557">
        <f t="shared" si="9"/>
        <v>0</v>
      </c>
      <c r="J26" s="557">
        <f t="shared" si="9"/>
        <v>0</v>
      </c>
      <c r="K26" s="557">
        <v>0</v>
      </c>
      <c r="L26" s="572">
        <f t="shared" si="9"/>
        <v>0</v>
      </c>
      <c r="M26" s="397">
        <v>0</v>
      </c>
      <c r="N26" s="724">
        <f t="shared" si="8"/>
        <v>0</v>
      </c>
      <c r="O26" s="377" t="str">
        <f t="shared" si="3"/>
        <v/>
      </c>
    </row>
    <row r="27" spans="1:15" s="1" customFormat="1" ht="12.95" customHeight="1">
      <c r="A27" s="311"/>
      <c r="B27" s="12"/>
      <c r="C27" s="8"/>
      <c r="D27" s="8"/>
      <c r="E27" s="666"/>
      <c r="F27" s="346"/>
      <c r="G27" s="373"/>
      <c r="H27" s="8"/>
      <c r="I27" s="557"/>
      <c r="J27" s="557"/>
      <c r="K27" s="557"/>
      <c r="L27" s="572"/>
      <c r="M27" s="310"/>
      <c r="N27" s="725"/>
      <c r="O27" s="377" t="str">
        <f t="shared" si="3"/>
        <v/>
      </c>
    </row>
    <row r="28" spans="1:15" s="1" customFormat="1" ht="12.95" customHeight="1">
      <c r="A28" s="311"/>
      <c r="B28" s="12"/>
      <c r="C28" s="8"/>
      <c r="D28" s="8"/>
      <c r="E28" s="8"/>
      <c r="F28" s="335">
        <v>821000</v>
      </c>
      <c r="G28" s="361"/>
      <c r="H28" s="8" t="s">
        <v>89</v>
      </c>
      <c r="I28" s="556">
        <f t="shared" ref="I28" si="10">SUM(I29:I30)</f>
        <v>3000</v>
      </c>
      <c r="J28" s="556">
        <f t="shared" ref="J28:L28" si="11">SUM(J29:J30)</f>
        <v>3000</v>
      </c>
      <c r="K28" s="556">
        <f>SUM(K29:K30)</f>
        <v>0</v>
      </c>
      <c r="L28" s="573">
        <f t="shared" si="11"/>
        <v>3000</v>
      </c>
      <c r="M28" s="325">
        <f>SUM(M29:M30)</f>
        <v>0</v>
      </c>
      <c r="N28" s="726">
        <f>SUM(N29:N30)</f>
        <v>3000</v>
      </c>
      <c r="O28" s="376">
        <f t="shared" si="3"/>
        <v>100</v>
      </c>
    </row>
    <row r="29" spans="1:15" ht="12.95" customHeight="1">
      <c r="B29" s="10"/>
      <c r="C29" s="11"/>
      <c r="D29" s="11"/>
      <c r="E29" s="316"/>
      <c r="F29" s="336">
        <v>821200</v>
      </c>
      <c r="G29" s="362"/>
      <c r="H29" s="11" t="s">
        <v>90</v>
      </c>
      <c r="I29" s="557">
        <f t="shared" ref="I29:L29" si="12">SUM(G29:H29)</f>
        <v>0</v>
      </c>
      <c r="J29" s="557">
        <f t="shared" si="12"/>
        <v>0</v>
      </c>
      <c r="K29" s="557">
        <v>0</v>
      </c>
      <c r="L29" s="572">
        <f t="shared" si="12"/>
        <v>0</v>
      </c>
      <c r="M29" s="310">
        <v>0</v>
      </c>
      <c r="N29" s="724">
        <f t="shared" ref="N29:N30" si="13">SUM(L29:M29)</f>
        <v>0</v>
      </c>
      <c r="O29" s="377" t="str">
        <f t="shared" si="3"/>
        <v/>
      </c>
    </row>
    <row r="30" spans="1:15" ht="12.95" customHeight="1">
      <c r="B30" s="10"/>
      <c r="C30" s="11"/>
      <c r="D30" s="11"/>
      <c r="E30" s="316"/>
      <c r="F30" s="336">
        <v>821300</v>
      </c>
      <c r="G30" s="362"/>
      <c r="H30" s="11" t="s">
        <v>91</v>
      </c>
      <c r="I30" s="557">
        <v>3000</v>
      </c>
      <c r="J30" s="557">
        <v>3000</v>
      </c>
      <c r="K30" s="557">
        <v>0</v>
      </c>
      <c r="L30" s="572">
        <v>3000</v>
      </c>
      <c r="M30" s="310">
        <v>0</v>
      </c>
      <c r="N30" s="724">
        <f t="shared" si="13"/>
        <v>3000</v>
      </c>
      <c r="O30" s="377">
        <f t="shared" si="3"/>
        <v>100</v>
      </c>
    </row>
    <row r="31" spans="1:15" ht="12.95" customHeight="1">
      <c r="B31" s="10"/>
      <c r="C31" s="11"/>
      <c r="D31" s="11"/>
      <c r="E31" s="316"/>
      <c r="F31" s="336"/>
      <c r="G31" s="362"/>
      <c r="H31" s="11"/>
      <c r="I31" s="557"/>
      <c r="J31" s="557"/>
      <c r="K31" s="557"/>
      <c r="L31" s="572"/>
      <c r="M31" s="309"/>
      <c r="N31" s="725"/>
      <c r="O31" s="377" t="str">
        <f t="shared" si="3"/>
        <v/>
      </c>
    </row>
    <row r="32" spans="1:15" s="1" customFormat="1" ht="12.95" customHeight="1">
      <c r="A32" s="311"/>
      <c r="B32" s="12"/>
      <c r="C32" s="8"/>
      <c r="D32" s="8"/>
      <c r="E32" s="8"/>
      <c r="F32" s="335"/>
      <c r="G32" s="361"/>
      <c r="H32" s="8" t="s">
        <v>92</v>
      </c>
      <c r="I32" s="558" t="s">
        <v>789</v>
      </c>
      <c r="J32" s="558" t="s">
        <v>789</v>
      </c>
      <c r="K32" s="556">
        <v>7</v>
      </c>
      <c r="L32" s="806" t="s">
        <v>789</v>
      </c>
      <c r="M32" s="327"/>
      <c r="N32" s="727" t="s">
        <v>789</v>
      </c>
      <c r="O32" s="377"/>
    </row>
    <row r="33" spans="1:15" s="1" customFormat="1" ht="12.95" customHeight="1">
      <c r="A33" s="311"/>
      <c r="B33" s="12"/>
      <c r="C33" s="8"/>
      <c r="D33" s="8"/>
      <c r="E33" s="8"/>
      <c r="F33" s="335"/>
      <c r="G33" s="361"/>
      <c r="H33" s="8" t="s">
        <v>110</v>
      </c>
      <c r="I33" s="575">
        <f>I8+I13+I16+I28</f>
        <v>231880</v>
      </c>
      <c r="J33" s="318">
        <f>J8+J13+J16+J28</f>
        <v>231880</v>
      </c>
      <c r="K33" s="575">
        <f t="shared" ref="K33" si="14">K8+K13+K16+K28</f>
        <v>49458</v>
      </c>
      <c r="L33" s="582">
        <f>L8+L13+L16+L28</f>
        <v>214270</v>
      </c>
      <c r="M33" s="318">
        <f>M8+M13+M16+M28</f>
        <v>0</v>
      </c>
      <c r="N33" s="726">
        <f>N8+N13+N16+N28</f>
        <v>214270</v>
      </c>
      <c r="O33" s="376">
        <f t="shared" si="3"/>
        <v>92.405554597205452</v>
      </c>
    </row>
    <row r="34" spans="1:15" s="1" customFormat="1" ht="12.95" customHeight="1">
      <c r="A34" s="311"/>
      <c r="B34" s="12"/>
      <c r="C34" s="8"/>
      <c r="D34" s="8"/>
      <c r="E34" s="8"/>
      <c r="F34" s="335"/>
      <c r="G34" s="361"/>
      <c r="H34" s="8" t="s">
        <v>93</v>
      </c>
      <c r="I34" s="15"/>
      <c r="J34" s="15"/>
      <c r="K34" s="575"/>
      <c r="L34" s="582"/>
      <c r="M34" s="318"/>
      <c r="N34" s="726"/>
      <c r="O34" s="376" t="str">
        <f>IF(J34=0,"",N34/J34*100)</f>
        <v/>
      </c>
    </row>
    <row r="35" spans="1:15" s="1" customFormat="1" ht="12.95" customHeight="1">
      <c r="A35" s="311"/>
      <c r="B35" s="12"/>
      <c r="C35" s="8"/>
      <c r="D35" s="8"/>
      <c r="E35" s="8"/>
      <c r="F35" s="335"/>
      <c r="G35" s="361"/>
      <c r="H35" s="8" t="s">
        <v>94</v>
      </c>
      <c r="I35" s="15"/>
      <c r="J35" s="15"/>
      <c r="K35" s="575"/>
      <c r="L35" s="582"/>
      <c r="M35" s="318"/>
      <c r="N35" s="726"/>
      <c r="O35" s="376" t="str">
        <f t="shared" si="3"/>
        <v/>
      </c>
    </row>
    <row r="36" spans="1:15" ht="12.95" customHeight="1" thickBot="1">
      <c r="B36" s="16"/>
      <c r="C36" s="17"/>
      <c r="D36" s="17"/>
      <c r="E36" s="17"/>
      <c r="F36" s="337"/>
      <c r="G36" s="363"/>
      <c r="H36" s="17"/>
      <c r="I36" s="17"/>
      <c r="J36" s="17"/>
      <c r="K36" s="27"/>
      <c r="L36" s="16"/>
      <c r="M36" s="17"/>
      <c r="N36" s="735"/>
      <c r="O36" s="379"/>
    </row>
    <row r="37" spans="1:15" ht="12.95" customHeight="1">
      <c r="F37" s="338"/>
      <c r="G37" s="364"/>
      <c r="N37" s="423"/>
    </row>
    <row r="38" spans="1:15" ht="12.95" customHeight="1">
      <c r="B38" s="55"/>
      <c r="F38" s="338"/>
      <c r="G38" s="364"/>
      <c r="N38" s="423"/>
    </row>
    <row r="39" spans="1:15" ht="12.95" customHeight="1">
      <c r="B39" s="55"/>
      <c r="F39" s="338"/>
      <c r="G39" s="364"/>
      <c r="N39" s="423"/>
    </row>
    <row r="40" spans="1:15" ht="12.95" customHeight="1">
      <c r="B40" s="55"/>
      <c r="F40" s="338"/>
      <c r="G40" s="364"/>
      <c r="N40" s="423"/>
    </row>
    <row r="41" spans="1:15" ht="12.95" customHeight="1">
      <c r="B41" s="55"/>
      <c r="F41" s="338"/>
      <c r="G41" s="364"/>
      <c r="N41" s="423"/>
    </row>
    <row r="42" spans="1:15" ht="12.95" customHeight="1">
      <c r="F42" s="338"/>
      <c r="G42" s="364"/>
      <c r="N42" s="423"/>
    </row>
    <row r="43" spans="1:15" ht="12.95" customHeight="1">
      <c r="F43" s="338"/>
      <c r="G43" s="364"/>
      <c r="N43" s="423"/>
    </row>
    <row r="44" spans="1:15" ht="12.95" customHeight="1">
      <c r="F44" s="338"/>
      <c r="G44" s="364"/>
      <c r="N44" s="423"/>
    </row>
    <row r="45" spans="1:15" ht="12.95" customHeight="1">
      <c r="F45" s="338"/>
      <c r="G45" s="364"/>
      <c r="N45" s="423"/>
    </row>
    <row r="46" spans="1:15" ht="12.95" customHeight="1">
      <c r="F46" s="338"/>
      <c r="G46" s="364"/>
      <c r="N46" s="423"/>
    </row>
    <row r="47" spans="1:15" ht="12.95" customHeight="1">
      <c r="F47" s="338"/>
      <c r="G47" s="364"/>
      <c r="N47" s="423"/>
    </row>
    <row r="48" spans="1:15" ht="12.95" customHeight="1">
      <c r="F48" s="338"/>
      <c r="G48" s="364"/>
      <c r="N48" s="423"/>
    </row>
    <row r="49" spans="6:14" ht="12.95" customHeight="1">
      <c r="F49" s="338"/>
      <c r="G49" s="364"/>
      <c r="N49" s="423"/>
    </row>
    <row r="50" spans="6:14" ht="12.95" customHeight="1">
      <c r="F50" s="338"/>
      <c r="G50" s="364"/>
      <c r="N50" s="423"/>
    </row>
    <row r="51" spans="6:14" ht="12.95" customHeight="1">
      <c r="F51" s="338"/>
      <c r="G51" s="364"/>
      <c r="N51" s="423"/>
    </row>
    <row r="52" spans="6:14" ht="12.95" customHeight="1">
      <c r="F52" s="338"/>
      <c r="G52" s="364"/>
      <c r="N52" s="423"/>
    </row>
    <row r="53" spans="6:14" ht="12.95" customHeight="1">
      <c r="F53" s="338"/>
      <c r="G53" s="364"/>
      <c r="N53" s="423"/>
    </row>
    <row r="54" spans="6:14" ht="12.95" customHeight="1">
      <c r="F54" s="338"/>
      <c r="G54" s="364"/>
      <c r="N54" s="423"/>
    </row>
    <row r="55" spans="6:14" ht="12.95" customHeight="1">
      <c r="F55" s="338"/>
      <c r="G55" s="364"/>
      <c r="N55" s="423"/>
    </row>
    <row r="56" spans="6:14" ht="12.95" customHeight="1">
      <c r="F56" s="338"/>
      <c r="G56" s="364"/>
      <c r="N56" s="423"/>
    </row>
    <row r="57" spans="6:14" ht="12.95" customHeight="1">
      <c r="F57" s="338"/>
      <c r="G57" s="364"/>
      <c r="N57" s="423"/>
    </row>
    <row r="58" spans="6:14" ht="12.95" customHeight="1">
      <c r="F58" s="338"/>
      <c r="G58" s="364"/>
      <c r="N58" s="423"/>
    </row>
    <row r="59" spans="6:14" ht="12.95" customHeight="1">
      <c r="F59" s="338"/>
      <c r="G59" s="364"/>
      <c r="N59" s="423"/>
    </row>
    <row r="60" spans="6:14" ht="17.100000000000001" customHeight="1">
      <c r="F60" s="338"/>
      <c r="G60" s="364"/>
      <c r="N60" s="423"/>
    </row>
    <row r="61" spans="6:14" ht="14.25">
      <c r="F61" s="338"/>
      <c r="G61" s="364"/>
      <c r="N61" s="423"/>
    </row>
    <row r="62" spans="6:14" ht="14.25">
      <c r="F62" s="338"/>
      <c r="G62" s="364"/>
      <c r="N62" s="423"/>
    </row>
    <row r="63" spans="6:14" ht="14.25">
      <c r="F63" s="338"/>
      <c r="G63" s="364"/>
      <c r="N63" s="423"/>
    </row>
    <row r="64" spans="6:14" ht="14.25">
      <c r="F64" s="338"/>
      <c r="G64" s="364"/>
      <c r="N64" s="423"/>
    </row>
    <row r="65" spans="6:14" ht="14.25">
      <c r="F65" s="338"/>
      <c r="G65" s="364"/>
      <c r="N65" s="423"/>
    </row>
    <row r="66" spans="6:14" ht="14.25">
      <c r="F66" s="338"/>
      <c r="G66" s="364"/>
      <c r="N66" s="423"/>
    </row>
    <row r="67" spans="6:14" ht="14.25">
      <c r="F67" s="338"/>
      <c r="G67" s="364"/>
      <c r="N67" s="423"/>
    </row>
    <row r="68" spans="6:14" ht="14.25">
      <c r="F68" s="338"/>
      <c r="G68" s="364"/>
      <c r="N68" s="423"/>
    </row>
    <row r="69" spans="6:14" ht="14.25">
      <c r="F69" s="338"/>
      <c r="G69" s="364"/>
      <c r="N69" s="423"/>
    </row>
    <row r="70" spans="6:14" ht="14.25">
      <c r="F70" s="338"/>
      <c r="G70" s="364"/>
      <c r="N70" s="423"/>
    </row>
    <row r="71" spans="6:14" ht="14.25">
      <c r="F71" s="338"/>
      <c r="G71" s="364"/>
      <c r="N71" s="423"/>
    </row>
    <row r="72" spans="6:14" ht="14.25">
      <c r="F72" s="338"/>
      <c r="G72" s="364"/>
      <c r="N72" s="423"/>
    </row>
    <row r="73" spans="6:14" ht="14.25">
      <c r="F73" s="338"/>
      <c r="G73" s="364"/>
      <c r="N73" s="423"/>
    </row>
    <row r="74" spans="6:14" ht="14.25">
      <c r="F74" s="338"/>
      <c r="G74" s="338"/>
      <c r="N74" s="423"/>
    </row>
    <row r="75" spans="6:14" ht="14.25">
      <c r="F75" s="338"/>
      <c r="G75" s="338"/>
      <c r="N75" s="423"/>
    </row>
    <row r="76" spans="6:14" ht="14.25">
      <c r="F76" s="338"/>
      <c r="G76" s="338"/>
      <c r="N76" s="423"/>
    </row>
    <row r="77" spans="6:14" ht="14.25">
      <c r="F77" s="338"/>
      <c r="G77" s="338"/>
      <c r="N77" s="423"/>
    </row>
    <row r="78" spans="6:14" ht="14.25">
      <c r="F78" s="338"/>
      <c r="G78" s="338"/>
      <c r="N78" s="423"/>
    </row>
    <row r="79" spans="6:14" ht="14.25">
      <c r="F79" s="338"/>
      <c r="G79" s="338"/>
      <c r="N79" s="423"/>
    </row>
    <row r="80" spans="6:14" ht="14.25">
      <c r="F80" s="338"/>
      <c r="G80" s="338"/>
      <c r="N80" s="423"/>
    </row>
    <row r="81" spans="6:14" ht="14.25">
      <c r="F81" s="338"/>
      <c r="G81" s="338"/>
      <c r="N81" s="423"/>
    </row>
    <row r="82" spans="6:14" ht="14.25">
      <c r="F82" s="338"/>
      <c r="G82" s="338"/>
      <c r="N82" s="423"/>
    </row>
    <row r="83" spans="6:14" ht="14.25">
      <c r="F83" s="338"/>
      <c r="G83" s="338"/>
      <c r="N83" s="423"/>
    </row>
    <row r="84" spans="6:14" ht="14.25">
      <c r="F84" s="338"/>
      <c r="G84" s="338"/>
      <c r="N84" s="423"/>
    </row>
    <row r="85" spans="6:14" ht="14.25">
      <c r="F85" s="338"/>
      <c r="G85" s="338"/>
      <c r="N85" s="423"/>
    </row>
    <row r="86" spans="6:14" ht="14.25">
      <c r="F86" s="338"/>
      <c r="G86" s="338"/>
      <c r="N86" s="423"/>
    </row>
    <row r="87" spans="6:14" ht="14.25">
      <c r="F87" s="338"/>
      <c r="G87" s="338"/>
      <c r="N87" s="423"/>
    </row>
    <row r="88" spans="6:14" ht="14.25">
      <c r="F88" s="338"/>
      <c r="G88" s="338"/>
      <c r="N88" s="423"/>
    </row>
    <row r="89" spans="6:14" ht="14.25">
      <c r="F89" s="338"/>
      <c r="G89" s="338"/>
      <c r="N89" s="423"/>
    </row>
    <row r="90" spans="6:14" ht="14.25">
      <c r="F90" s="338"/>
      <c r="G90" s="338"/>
      <c r="N90" s="423"/>
    </row>
    <row r="91" spans="6:14">
      <c r="G91" s="338"/>
    </row>
    <row r="92" spans="6:14">
      <c r="G92" s="338"/>
    </row>
    <row r="93" spans="6:14">
      <c r="G93" s="338"/>
    </row>
    <row r="94" spans="6:14">
      <c r="G94" s="338"/>
    </row>
    <row r="95" spans="6:14">
      <c r="G95" s="338"/>
    </row>
    <row r="96" spans="6:14">
      <c r="G96" s="338"/>
    </row>
  </sheetData>
  <mergeCells count="14">
    <mergeCell ref="O4:O5"/>
    <mergeCell ref="H4:H5"/>
    <mergeCell ref="B2:N2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K4:K5"/>
    <mergeCell ref="E4:E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4"/>
  <dimension ref="A1:R96"/>
  <sheetViews>
    <sheetView zoomScaleNormal="100" workbookViewId="0">
      <selection activeCell="L8" activeCellId="4" sqref="L31 L28 L16 L13 L8"/>
    </sheetView>
  </sheetViews>
  <sheetFormatPr defaultRowHeight="12.75"/>
  <cols>
    <col min="1" max="1" width="9.140625" style="314"/>
    <col min="2" max="2" width="4.7109375" style="314" customWidth="1"/>
    <col min="3" max="3" width="5.140625" style="314" customWidth="1"/>
    <col min="4" max="5" width="5" style="314" customWidth="1"/>
    <col min="6" max="7" width="8.7109375" style="319" customWidth="1"/>
    <col min="8" max="8" width="50.7109375" style="314" customWidth="1"/>
    <col min="9" max="13" width="14.7109375" style="314" customWidth="1"/>
    <col min="14" max="14" width="15.7109375" style="314" customWidth="1"/>
    <col min="15" max="15" width="7.7109375" style="380" customWidth="1"/>
    <col min="16" max="16384" width="9.140625" style="314"/>
  </cols>
  <sheetData>
    <row r="1" spans="2:18" ht="13.5" thickBot="1"/>
    <row r="2" spans="2:18" s="408" customFormat="1" ht="20.100000000000001" customHeight="1" thickTop="1" thickBot="1">
      <c r="B2" s="887" t="s">
        <v>737</v>
      </c>
      <c r="C2" s="888"/>
      <c r="D2" s="888"/>
      <c r="E2" s="888"/>
      <c r="F2" s="888"/>
      <c r="G2" s="888"/>
      <c r="H2" s="888"/>
      <c r="I2" s="888"/>
      <c r="J2" s="888"/>
      <c r="K2" s="888"/>
      <c r="L2" s="888"/>
      <c r="M2" s="888"/>
      <c r="N2" s="888"/>
      <c r="O2" s="412"/>
    </row>
    <row r="3" spans="2:18" s="311" customFormat="1" ht="8.1" customHeight="1" thickTop="1" thickBot="1">
      <c r="F3" s="312"/>
      <c r="G3" s="312"/>
      <c r="H3" s="890"/>
      <c r="I3" s="890"/>
      <c r="J3" s="644"/>
      <c r="K3" s="644"/>
      <c r="L3" s="107"/>
      <c r="M3" s="107"/>
      <c r="N3" s="107"/>
      <c r="O3" s="374"/>
    </row>
    <row r="4" spans="2:18" s="311" customFormat="1" ht="39" customHeight="1">
      <c r="B4" s="894" t="s">
        <v>77</v>
      </c>
      <c r="C4" s="909" t="s">
        <v>78</v>
      </c>
      <c r="D4" s="910" t="s">
        <v>107</v>
      </c>
      <c r="E4" s="916" t="s">
        <v>828</v>
      </c>
      <c r="F4" s="911" t="s">
        <v>517</v>
      </c>
      <c r="G4" s="899" t="s">
        <v>556</v>
      </c>
      <c r="H4" s="900" t="s">
        <v>79</v>
      </c>
      <c r="I4" s="912" t="s">
        <v>697</v>
      </c>
      <c r="J4" s="913" t="s">
        <v>862</v>
      </c>
      <c r="K4" s="917" t="s">
        <v>863</v>
      </c>
      <c r="L4" s="908" t="s">
        <v>865</v>
      </c>
      <c r="M4" s="892"/>
      <c r="N4" s="893"/>
      <c r="O4" s="906" t="s">
        <v>866</v>
      </c>
      <c r="Q4" s="81"/>
    </row>
    <row r="5" spans="2:18" s="311" customFormat="1" ht="27" customHeight="1">
      <c r="B5" s="895"/>
      <c r="C5" s="897"/>
      <c r="D5" s="897"/>
      <c r="E5" s="897"/>
      <c r="F5" s="901"/>
      <c r="G5" s="897"/>
      <c r="H5" s="901"/>
      <c r="I5" s="901"/>
      <c r="J5" s="901"/>
      <c r="K5" s="905"/>
      <c r="L5" s="587" t="s">
        <v>601</v>
      </c>
      <c r="M5" s="404" t="s">
        <v>602</v>
      </c>
      <c r="N5" s="720" t="s">
        <v>349</v>
      </c>
      <c r="O5" s="907"/>
    </row>
    <row r="6" spans="2:18" s="312" customFormat="1" ht="12.95" customHeight="1">
      <c r="B6" s="525">
        <v>1</v>
      </c>
      <c r="C6" s="361">
        <v>2</v>
      </c>
      <c r="D6" s="361">
        <v>3</v>
      </c>
      <c r="E6" s="361">
        <v>4</v>
      </c>
      <c r="F6" s="361">
        <v>5</v>
      </c>
      <c r="G6" s="361">
        <v>6</v>
      </c>
      <c r="H6" s="361">
        <v>7</v>
      </c>
      <c r="I6" s="361">
        <v>8</v>
      </c>
      <c r="J6" s="361">
        <v>9</v>
      </c>
      <c r="K6" s="526">
        <v>10</v>
      </c>
      <c r="L6" s="525">
        <v>11</v>
      </c>
      <c r="M6" s="361">
        <v>12</v>
      </c>
      <c r="N6" s="721" t="s">
        <v>830</v>
      </c>
      <c r="O6" s="527">
        <v>14</v>
      </c>
    </row>
    <row r="7" spans="2:18" s="312" customFormat="1" ht="12.95" customHeight="1">
      <c r="B7" s="6" t="s">
        <v>115</v>
      </c>
      <c r="C7" s="7" t="s">
        <v>80</v>
      </c>
      <c r="D7" s="7" t="s">
        <v>134</v>
      </c>
      <c r="E7" s="667" t="s">
        <v>829</v>
      </c>
      <c r="F7" s="313"/>
      <c r="G7" s="313"/>
      <c r="H7" s="313"/>
      <c r="I7" s="313"/>
      <c r="J7" s="313"/>
      <c r="K7" s="574"/>
      <c r="L7" s="4"/>
      <c r="M7" s="313"/>
      <c r="N7" s="722"/>
      <c r="O7" s="375"/>
    </row>
    <row r="8" spans="2:18" s="311" customFormat="1" ht="12.95" customHeight="1">
      <c r="B8" s="317"/>
      <c r="C8" s="8"/>
      <c r="D8" s="8"/>
      <c r="E8" s="8"/>
      <c r="F8" s="335">
        <v>611000</v>
      </c>
      <c r="G8" s="361"/>
      <c r="H8" s="8" t="s">
        <v>146</v>
      </c>
      <c r="I8" s="389">
        <f t="shared" ref="I8" si="0">SUM(I9:I12)</f>
        <v>92580</v>
      </c>
      <c r="J8" s="389">
        <f t="shared" ref="J8:L8" si="1">SUM(J9:J12)</f>
        <v>92580</v>
      </c>
      <c r="K8" s="560">
        <f>SUM(K9:K11)</f>
        <v>18007</v>
      </c>
      <c r="L8" s="573">
        <f t="shared" si="1"/>
        <v>90800</v>
      </c>
      <c r="M8" s="236">
        <f>SUM(M9:M12)</f>
        <v>0</v>
      </c>
      <c r="N8" s="723">
        <f>SUM(N9:N12)</f>
        <v>90800</v>
      </c>
      <c r="O8" s="376">
        <f>IF(J8=0,"",N8/J8*100)</f>
        <v>98.077338518038445</v>
      </c>
    </row>
    <row r="9" spans="2:18" ht="12.95" customHeight="1">
      <c r="B9" s="315"/>
      <c r="C9" s="316"/>
      <c r="D9" s="316"/>
      <c r="E9" s="316"/>
      <c r="F9" s="336">
        <v>611100</v>
      </c>
      <c r="G9" s="362"/>
      <c r="H9" s="320" t="s">
        <v>174</v>
      </c>
      <c r="I9" s="392">
        <v>74150</v>
      </c>
      <c r="J9" s="392">
        <v>74150</v>
      </c>
      <c r="K9" s="559">
        <v>14464</v>
      </c>
      <c r="L9" s="572">
        <f>71120+500</f>
        <v>71620</v>
      </c>
      <c r="M9" s="235">
        <v>0</v>
      </c>
      <c r="N9" s="724">
        <f>SUM(L9:M9)</f>
        <v>71620</v>
      </c>
      <c r="O9" s="377">
        <f>IF(J9=0,"",N9/J9*100)</f>
        <v>96.587997302764663</v>
      </c>
    </row>
    <row r="10" spans="2:18" ht="12.95" customHeight="1">
      <c r="B10" s="315"/>
      <c r="C10" s="316"/>
      <c r="D10" s="316"/>
      <c r="E10" s="316"/>
      <c r="F10" s="336">
        <v>611200</v>
      </c>
      <c r="G10" s="362"/>
      <c r="H10" s="316" t="s">
        <v>175</v>
      </c>
      <c r="I10" s="392">
        <v>18430</v>
      </c>
      <c r="J10" s="392">
        <v>18430</v>
      </c>
      <c r="K10" s="559">
        <v>3543</v>
      </c>
      <c r="L10" s="572">
        <f>18880+300</f>
        <v>19180</v>
      </c>
      <c r="M10" s="235">
        <v>0</v>
      </c>
      <c r="N10" s="724">
        <f t="shared" ref="N10:N11" si="2">SUM(L10:M10)</f>
        <v>19180</v>
      </c>
      <c r="O10" s="377">
        <f t="shared" ref="O10:O33" si="3">IF(J10=0,"",N10/J10*100)</f>
        <v>104.06945198046662</v>
      </c>
    </row>
    <row r="11" spans="2:18" ht="12.95" customHeight="1">
      <c r="B11" s="315"/>
      <c r="C11" s="316"/>
      <c r="D11" s="316"/>
      <c r="E11" s="316"/>
      <c r="F11" s="336">
        <v>611200</v>
      </c>
      <c r="G11" s="362"/>
      <c r="H11" s="210" t="s">
        <v>464</v>
      </c>
      <c r="I11" s="392">
        <f t="shared" ref="I11:L11" si="4">SUM(G11:H11)</f>
        <v>0</v>
      </c>
      <c r="J11" s="392">
        <f t="shared" si="4"/>
        <v>0</v>
      </c>
      <c r="K11" s="559">
        <v>0</v>
      </c>
      <c r="L11" s="572">
        <f t="shared" si="4"/>
        <v>0</v>
      </c>
      <c r="M11" s="235">
        <v>0</v>
      </c>
      <c r="N11" s="724">
        <f t="shared" si="2"/>
        <v>0</v>
      </c>
      <c r="O11" s="377" t="str">
        <f t="shared" si="3"/>
        <v/>
      </c>
      <c r="Q11" s="62"/>
    </row>
    <row r="12" spans="2:18" ht="8.1" customHeight="1">
      <c r="B12" s="315"/>
      <c r="C12" s="316"/>
      <c r="D12" s="316"/>
      <c r="E12" s="316"/>
      <c r="F12" s="336"/>
      <c r="G12" s="362"/>
      <c r="H12" s="320"/>
      <c r="I12" s="392"/>
      <c r="J12" s="392"/>
      <c r="K12" s="559"/>
      <c r="L12" s="572"/>
      <c r="M12" s="235"/>
      <c r="N12" s="724"/>
      <c r="O12" s="377" t="str">
        <f t="shared" si="3"/>
        <v/>
      </c>
    </row>
    <row r="13" spans="2:18" s="311" customFormat="1" ht="12.95" customHeight="1">
      <c r="B13" s="317"/>
      <c r="C13" s="8"/>
      <c r="D13" s="8"/>
      <c r="E13" s="8"/>
      <c r="F13" s="335">
        <v>612000</v>
      </c>
      <c r="G13" s="361"/>
      <c r="H13" s="8" t="s">
        <v>145</v>
      </c>
      <c r="I13" s="389">
        <f t="shared" ref="I13:L13" si="5">I14</f>
        <v>8120</v>
      </c>
      <c r="J13" s="389">
        <f t="shared" si="5"/>
        <v>8120</v>
      </c>
      <c r="K13" s="560">
        <f>K14</f>
        <v>1528</v>
      </c>
      <c r="L13" s="573">
        <f t="shared" si="5"/>
        <v>7600</v>
      </c>
      <c r="M13" s="236">
        <f>M14</f>
        <v>0</v>
      </c>
      <c r="N13" s="723">
        <f>N14</f>
        <v>7600</v>
      </c>
      <c r="O13" s="376">
        <f t="shared" si="3"/>
        <v>93.596059113300484</v>
      </c>
      <c r="R13" s="68"/>
    </row>
    <row r="14" spans="2:18" ht="12.95" customHeight="1">
      <c r="B14" s="315"/>
      <c r="C14" s="316"/>
      <c r="D14" s="316"/>
      <c r="E14" s="316"/>
      <c r="F14" s="336">
        <v>612100</v>
      </c>
      <c r="G14" s="362"/>
      <c r="H14" s="13" t="s">
        <v>82</v>
      </c>
      <c r="I14" s="392">
        <v>8120</v>
      </c>
      <c r="J14" s="392">
        <v>8120</v>
      </c>
      <c r="K14" s="559">
        <v>1528</v>
      </c>
      <c r="L14" s="572">
        <f>7500+100</f>
        <v>7600</v>
      </c>
      <c r="M14" s="235">
        <v>0</v>
      </c>
      <c r="N14" s="724">
        <f>SUM(L14:M14)</f>
        <v>7600</v>
      </c>
      <c r="O14" s="377">
        <f t="shared" si="3"/>
        <v>93.596059113300484</v>
      </c>
      <c r="R14" s="55"/>
    </row>
    <row r="15" spans="2:18" ht="8.1" customHeight="1">
      <c r="B15" s="315"/>
      <c r="C15" s="316"/>
      <c r="D15" s="316"/>
      <c r="E15" s="316"/>
      <c r="F15" s="336"/>
      <c r="G15" s="362"/>
      <c r="H15" s="316"/>
      <c r="I15" s="392"/>
      <c r="J15" s="392"/>
      <c r="K15" s="559"/>
      <c r="L15" s="572"/>
      <c r="M15" s="309"/>
      <c r="N15" s="725"/>
      <c r="O15" s="377" t="str">
        <f t="shared" si="3"/>
        <v/>
      </c>
    </row>
    <row r="16" spans="2:18" s="311" customFormat="1" ht="12.95" customHeight="1">
      <c r="B16" s="317"/>
      <c r="C16" s="8"/>
      <c r="D16" s="8"/>
      <c r="E16" s="8"/>
      <c r="F16" s="335">
        <v>613000</v>
      </c>
      <c r="G16" s="361"/>
      <c r="H16" s="8" t="s">
        <v>147</v>
      </c>
      <c r="I16" s="389">
        <f t="shared" ref="I16" si="6">SUM(I17:I26)</f>
        <v>4800</v>
      </c>
      <c r="J16" s="389">
        <f t="shared" ref="J16:L16" si="7">SUM(J17:J26)</f>
        <v>4800</v>
      </c>
      <c r="K16" s="560">
        <f>SUM(K17:K26)</f>
        <v>329</v>
      </c>
      <c r="L16" s="573">
        <f t="shared" si="7"/>
        <v>4400</v>
      </c>
      <c r="M16" s="323">
        <f>SUM(M17:M26)</f>
        <v>0</v>
      </c>
      <c r="N16" s="726">
        <f>SUM(N17:N26)</f>
        <v>4400</v>
      </c>
      <c r="O16" s="376">
        <f t="shared" si="3"/>
        <v>91.666666666666657</v>
      </c>
    </row>
    <row r="17" spans="2:16" ht="12.95" customHeight="1">
      <c r="B17" s="315"/>
      <c r="C17" s="316"/>
      <c r="D17" s="316"/>
      <c r="E17" s="316"/>
      <c r="F17" s="336">
        <v>613100</v>
      </c>
      <c r="G17" s="362"/>
      <c r="H17" s="316" t="s">
        <v>83</v>
      </c>
      <c r="I17" s="392">
        <v>1500</v>
      </c>
      <c r="J17" s="392">
        <v>1500</v>
      </c>
      <c r="K17" s="559">
        <v>0</v>
      </c>
      <c r="L17" s="572">
        <f>1500*80%</f>
        <v>1200</v>
      </c>
      <c r="M17" s="393">
        <v>0</v>
      </c>
      <c r="N17" s="724">
        <f t="shared" ref="N17:N26" si="8">SUM(L17:M17)</f>
        <v>1200</v>
      </c>
      <c r="O17" s="377">
        <f t="shared" si="3"/>
        <v>80</v>
      </c>
    </row>
    <row r="18" spans="2:16" ht="12.95" customHeight="1">
      <c r="B18" s="315"/>
      <c r="C18" s="316"/>
      <c r="D18" s="316"/>
      <c r="E18" s="316"/>
      <c r="F18" s="336">
        <v>613200</v>
      </c>
      <c r="G18" s="362"/>
      <c r="H18" s="316" t="s">
        <v>84</v>
      </c>
      <c r="I18" s="392">
        <f t="shared" ref="I18:L26" si="9">SUM(G18:H18)</f>
        <v>0</v>
      </c>
      <c r="J18" s="392">
        <f t="shared" si="9"/>
        <v>0</v>
      </c>
      <c r="K18" s="559">
        <v>0</v>
      </c>
      <c r="L18" s="572">
        <f t="shared" si="9"/>
        <v>0</v>
      </c>
      <c r="M18" s="393">
        <v>0</v>
      </c>
      <c r="N18" s="724">
        <f t="shared" si="8"/>
        <v>0</v>
      </c>
      <c r="O18" s="377" t="str">
        <f t="shared" si="3"/>
        <v/>
      </c>
    </row>
    <row r="19" spans="2:16" ht="12.95" customHeight="1">
      <c r="B19" s="315"/>
      <c r="C19" s="316"/>
      <c r="D19" s="316"/>
      <c r="E19" s="316"/>
      <c r="F19" s="336">
        <v>613300</v>
      </c>
      <c r="G19" s="362"/>
      <c r="H19" s="320" t="s">
        <v>176</v>
      </c>
      <c r="I19" s="392">
        <v>1500</v>
      </c>
      <c r="J19" s="392">
        <v>1500</v>
      </c>
      <c r="K19" s="559">
        <v>160</v>
      </c>
      <c r="L19" s="572">
        <v>1500</v>
      </c>
      <c r="M19" s="393">
        <v>0</v>
      </c>
      <c r="N19" s="724">
        <f t="shared" si="8"/>
        <v>1500</v>
      </c>
      <c r="O19" s="377">
        <f t="shared" si="3"/>
        <v>100</v>
      </c>
    </row>
    <row r="20" spans="2:16" ht="12.95" customHeight="1">
      <c r="B20" s="315"/>
      <c r="C20" s="316"/>
      <c r="D20" s="316"/>
      <c r="E20" s="316"/>
      <c r="F20" s="336">
        <v>613400</v>
      </c>
      <c r="G20" s="362"/>
      <c r="H20" s="316" t="s">
        <v>148</v>
      </c>
      <c r="I20" s="392">
        <f t="shared" si="9"/>
        <v>0</v>
      </c>
      <c r="J20" s="392">
        <f t="shared" si="9"/>
        <v>0</v>
      </c>
      <c r="K20" s="559">
        <v>0</v>
      </c>
      <c r="L20" s="572">
        <f t="shared" si="9"/>
        <v>0</v>
      </c>
      <c r="M20" s="393">
        <v>0</v>
      </c>
      <c r="N20" s="724">
        <f t="shared" si="8"/>
        <v>0</v>
      </c>
      <c r="O20" s="377" t="str">
        <f t="shared" si="3"/>
        <v/>
      </c>
    </row>
    <row r="21" spans="2:16" ht="12.95" customHeight="1">
      <c r="B21" s="315"/>
      <c r="C21" s="316"/>
      <c r="D21" s="316"/>
      <c r="E21" s="316"/>
      <c r="F21" s="336">
        <v>613500</v>
      </c>
      <c r="G21" s="362"/>
      <c r="H21" s="316" t="s">
        <v>85</v>
      </c>
      <c r="I21" s="392">
        <f t="shared" si="9"/>
        <v>0</v>
      </c>
      <c r="J21" s="392">
        <f t="shared" si="9"/>
        <v>0</v>
      </c>
      <c r="K21" s="559">
        <v>0</v>
      </c>
      <c r="L21" s="572">
        <f t="shared" si="9"/>
        <v>0</v>
      </c>
      <c r="M21" s="393">
        <v>0</v>
      </c>
      <c r="N21" s="724">
        <f t="shared" si="8"/>
        <v>0</v>
      </c>
      <c r="O21" s="377" t="str">
        <f t="shared" si="3"/>
        <v/>
      </c>
    </row>
    <row r="22" spans="2:16" ht="12.95" customHeight="1">
      <c r="B22" s="315"/>
      <c r="C22" s="316"/>
      <c r="D22" s="316"/>
      <c r="E22" s="316"/>
      <c r="F22" s="336">
        <v>613600</v>
      </c>
      <c r="G22" s="362"/>
      <c r="H22" s="320" t="s">
        <v>177</v>
      </c>
      <c r="I22" s="392">
        <f t="shared" si="9"/>
        <v>0</v>
      </c>
      <c r="J22" s="392">
        <f t="shared" si="9"/>
        <v>0</v>
      </c>
      <c r="K22" s="559">
        <v>0</v>
      </c>
      <c r="L22" s="572">
        <f t="shared" si="9"/>
        <v>0</v>
      </c>
      <c r="M22" s="393">
        <v>0</v>
      </c>
      <c r="N22" s="724">
        <f t="shared" si="8"/>
        <v>0</v>
      </c>
      <c r="O22" s="377" t="str">
        <f t="shared" si="3"/>
        <v/>
      </c>
    </row>
    <row r="23" spans="2:16" ht="12.95" customHeight="1">
      <c r="B23" s="315"/>
      <c r="C23" s="316"/>
      <c r="D23" s="316"/>
      <c r="E23" s="316"/>
      <c r="F23" s="336">
        <v>613700</v>
      </c>
      <c r="G23" s="362"/>
      <c r="H23" s="316" t="s">
        <v>86</v>
      </c>
      <c r="I23" s="392">
        <v>400</v>
      </c>
      <c r="J23" s="392">
        <v>400</v>
      </c>
      <c r="K23" s="559">
        <v>47</v>
      </c>
      <c r="L23" s="572">
        <v>400</v>
      </c>
      <c r="M23" s="393">
        <v>0</v>
      </c>
      <c r="N23" s="724">
        <f t="shared" si="8"/>
        <v>400</v>
      </c>
      <c r="O23" s="377">
        <f t="shared" si="3"/>
        <v>100</v>
      </c>
    </row>
    <row r="24" spans="2:16" ht="12.95" customHeight="1">
      <c r="B24" s="315"/>
      <c r="C24" s="316"/>
      <c r="D24" s="316"/>
      <c r="E24" s="316"/>
      <c r="F24" s="336">
        <v>613800</v>
      </c>
      <c r="G24" s="362"/>
      <c r="H24" s="316" t="s">
        <v>149</v>
      </c>
      <c r="I24" s="392">
        <f t="shared" si="9"/>
        <v>0</v>
      </c>
      <c r="J24" s="392">
        <f t="shared" si="9"/>
        <v>0</v>
      </c>
      <c r="K24" s="559">
        <v>0</v>
      </c>
      <c r="L24" s="572">
        <f t="shared" si="9"/>
        <v>0</v>
      </c>
      <c r="M24" s="393">
        <v>0</v>
      </c>
      <c r="N24" s="724">
        <f t="shared" si="8"/>
        <v>0</v>
      </c>
      <c r="O24" s="377" t="str">
        <f t="shared" si="3"/>
        <v/>
      </c>
      <c r="P24" s="55"/>
    </row>
    <row r="25" spans="2:16" ht="12.95" customHeight="1">
      <c r="B25" s="315"/>
      <c r="C25" s="316"/>
      <c r="D25" s="316"/>
      <c r="E25" s="316"/>
      <c r="F25" s="336">
        <v>613900</v>
      </c>
      <c r="G25" s="362"/>
      <c r="H25" s="316" t="s">
        <v>150</v>
      </c>
      <c r="I25" s="392">
        <v>1400</v>
      </c>
      <c r="J25" s="392">
        <v>1400</v>
      </c>
      <c r="K25" s="559">
        <v>122</v>
      </c>
      <c r="L25" s="572">
        <f>1400-100</f>
        <v>1300</v>
      </c>
      <c r="M25" s="396">
        <v>0</v>
      </c>
      <c r="N25" s="724">
        <f t="shared" si="8"/>
        <v>1300</v>
      </c>
      <c r="O25" s="377">
        <f t="shared" si="3"/>
        <v>92.857142857142861</v>
      </c>
    </row>
    <row r="26" spans="2:16" ht="12.95" customHeight="1">
      <c r="B26" s="315"/>
      <c r="C26" s="316"/>
      <c r="D26" s="316"/>
      <c r="E26" s="316"/>
      <c r="F26" s="336">
        <v>613900</v>
      </c>
      <c r="G26" s="362"/>
      <c r="H26" s="210" t="s">
        <v>465</v>
      </c>
      <c r="I26" s="392">
        <f t="shared" si="9"/>
        <v>0</v>
      </c>
      <c r="J26" s="392">
        <f t="shared" si="9"/>
        <v>0</v>
      </c>
      <c r="K26" s="559">
        <v>0</v>
      </c>
      <c r="L26" s="572">
        <f t="shared" si="9"/>
        <v>0</v>
      </c>
      <c r="M26" s="393">
        <v>0</v>
      </c>
      <c r="N26" s="724">
        <f t="shared" si="8"/>
        <v>0</v>
      </c>
      <c r="O26" s="377" t="str">
        <f t="shared" si="3"/>
        <v/>
      </c>
    </row>
    <row r="27" spans="2:16" ht="8.1" customHeight="1">
      <c r="B27" s="315"/>
      <c r="C27" s="316"/>
      <c r="D27" s="316"/>
      <c r="E27" s="316"/>
      <c r="F27" s="336"/>
      <c r="G27" s="362"/>
      <c r="H27" s="316"/>
      <c r="I27" s="389"/>
      <c r="J27" s="389"/>
      <c r="K27" s="560"/>
      <c r="L27" s="573"/>
      <c r="M27" s="318"/>
      <c r="N27" s="726"/>
      <c r="O27" s="377" t="str">
        <f t="shared" si="3"/>
        <v/>
      </c>
    </row>
    <row r="28" spans="2:16" s="311" customFormat="1" ht="12.95" customHeight="1">
      <c r="B28" s="317"/>
      <c r="C28" s="8"/>
      <c r="D28" s="8"/>
      <c r="E28" s="666"/>
      <c r="F28" s="346">
        <v>614000</v>
      </c>
      <c r="G28" s="373"/>
      <c r="H28" s="8" t="s">
        <v>178</v>
      </c>
      <c r="I28" s="389">
        <f t="shared" ref="I28:N28" si="10">SUM(I29:I29)</f>
        <v>80000</v>
      </c>
      <c r="J28" s="389">
        <f t="shared" si="10"/>
        <v>80000</v>
      </c>
      <c r="K28" s="560">
        <f t="shared" si="10"/>
        <v>0</v>
      </c>
      <c r="L28" s="573">
        <f t="shared" si="10"/>
        <v>50000</v>
      </c>
      <c r="M28" s="318">
        <f t="shared" si="10"/>
        <v>0</v>
      </c>
      <c r="N28" s="726">
        <f t="shared" si="10"/>
        <v>50000</v>
      </c>
      <c r="O28" s="376">
        <f t="shared" si="3"/>
        <v>62.5</v>
      </c>
    </row>
    <row r="29" spans="2:16" ht="24" customHeight="1">
      <c r="B29" s="315"/>
      <c r="C29" s="316"/>
      <c r="D29" s="24"/>
      <c r="E29" s="24"/>
      <c r="F29" s="384">
        <v>614200</v>
      </c>
      <c r="G29" s="674" t="s">
        <v>736</v>
      </c>
      <c r="H29" s="637" t="s">
        <v>858</v>
      </c>
      <c r="I29" s="392">
        <v>80000</v>
      </c>
      <c r="J29" s="392">
        <v>80000</v>
      </c>
      <c r="K29" s="559">
        <v>0</v>
      </c>
      <c r="L29" s="572">
        <v>50000</v>
      </c>
      <c r="M29" s="310">
        <v>0</v>
      </c>
      <c r="N29" s="724">
        <f>SUM(L29:M29)</f>
        <v>50000</v>
      </c>
      <c r="O29" s="377">
        <f t="shared" si="3"/>
        <v>62.5</v>
      </c>
    </row>
    <row r="30" spans="2:16" ht="8.1" customHeight="1">
      <c r="B30" s="315"/>
      <c r="C30" s="316"/>
      <c r="D30" s="316"/>
      <c r="E30" s="662"/>
      <c r="F30" s="344"/>
      <c r="G30" s="369"/>
      <c r="H30" s="316"/>
      <c r="I30" s="392"/>
      <c r="J30" s="392"/>
      <c r="K30" s="559"/>
      <c r="L30" s="572"/>
      <c r="M30" s="309"/>
      <c r="N30" s="725"/>
      <c r="O30" s="377" t="str">
        <f t="shared" si="3"/>
        <v/>
      </c>
    </row>
    <row r="31" spans="2:16" s="311" customFormat="1" ht="12.95" customHeight="1">
      <c r="B31" s="317"/>
      <c r="C31" s="8"/>
      <c r="D31" s="8"/>
      <c r="E31" s="8"/>
      <c r="F31" s="335">
        <v>821000</v>
      </c>
      <c r="G31" s="361"/>
      <c r="H31" s="8" t="s">
        <v>89</v>
      </c>
      <c r="I31" s="389">
        <f t="shared" ref="I31" si="11">SUM(I32:I33)</f>
        <v>1000</v>
      </c>
      <c r="J31" s="389">
        <f t="shared" ref="J31:L31" si="12">SUM(J32:J33)</f>
        <v>1000</v>
      </c>
      <c r="K31" s="560">
        <f>SUM(K32:K33)</f>
        <v>0</v>
      </c>
      <c r="L31" s="573">
        <f t="shared" si="12"/>
        <v>1000</v>
      </c>
      <c r="M31" s="318">
        <f>SUM(M32:M33)</f>
        <v>0</v>
      </c>
      <c r="N31" s="726">
        <f>SUM(N32:N33)</f>
        <v>1000</v>
      </c>
      <c r="O31" s="376">
        <f t="shared" si="3"/>
        <v>100</v>
      </c>
    </row>
    <row r="32" spans="2:16" ht="12.95" customHeight="1">
      <c r="B32" s="315"/>
      <c r="C32" s="316"/>
      <c r="D32" s="316"/>
      <c r="E32" s="316"/>
      <c r="F32" s="336">
        <v>821200</v>
      </c>
      <c r="G32" s="362"/>
      <c r="H32" s="316" t="s">
        <v>90</v>
      </c>
      <c r="I32" s="392">
        <f t="shared" ref="I32:L32" si="13">SUM(G32:H32)</f>
        <v>0</v>
      </c>
      <c r="J32" s="392">
        <f t="shared" si="13"/>
        <v>0</v>
      </c>
      <c r="K32" s="559">
        <v>0</v>
      </c>
      <c r="L32" s="572">
        <f t="shared" si="13"/>
        <v>0</v>
      </c>
      <c r="M32" s="310">
        <v>0</v>
      </c>
      <c r="N32" s="724">
        <f t="shared" ref="N32:N33" si="14">SUM(L32:M32)</f>
        <v>0</v>
      </c>
      <c r="O32" s="377" t="str">
        <f t="shared" si="3"/>
        <v/>
      </c>
    </row>
    <row r="33" spans="1:18" ht="12.95" customHeight="1">
      <c r="B33" s="315"/>
      <c r="C33" s="316"/>
      <c r="D33" s="316"/>
      <c r="E33" s="316"/>
      <c r="F33" s="336">
        <v>821300</v>
      </c>
      <c r="G33" s="362"/>
      <c r="H33" s="316" t="s">
        <v>91</v>
      </c>
      <c r="I33" s="392">
        <v>1000</v>
      </c>
      <c r="J33" s="392">
        <v>1000</v>
      </c>
      <c r="K33" s="559">
        <v>0</v>
      </c>
      <c r="L33" s="572">
        <v>1000</v>
      </c>
      <c r="M33" s="309">
        <v>0</v>
      </c>
      <c r="N33" s="724">
        <f t="shared" si="14"/>
        <v>1000</v>
      </c>
      <c r="O33" s="377">
        <f t="shared" si="3"/>
        <v>100</v>
      </c>
    </row>
    <row r="34" spans="1:18" ht="8.1" customHeight="1">
      <c r="B34" s="315"/>
      <c r="C34" s="316"/>
      <c r="D34" s="316"/>
      <c r="E34" s="316"/>
      <c r="F34" s="336"/>
      <c r="G34" s="362"/>
      <c r="H34" s="316"/>
      <c r="I34" s="392"/>
      <c r="J34" s="392"/>
      <c r="K34" s="559"/>
      <c r="L34" s="569"/>
      <c r="M34" s="309"/>
      <c r="N34" s="725"/>
      <c r="O34" s="377" t="str">
        <f>IF(J34=0,"",N34/J34*100)</f>
        <v/>
      </c>
    </row>
    <row r="35" spans="1:18" s="311" customFormat="1" ht="12.95" customHeight="1">
      <c r="B35" s="317"/>
      <c r="C35" s="8"/>
      <c r="D35" s="8"/>
      <c r="E35" s="8"/>
      <c r="F35" s="335"/>
      <c r="G35" s="361"/>
      <c r="H35" s="8" t="s">
        <v>92</v>
      </c>
      <c r="I35" s="389">
        <v>4</v>
      </c>
      <c r="J35" s="389">
        <v>4</v>
      </c>
      <c r="K35" s="560">
        <v>3</v>
      </c>
      <c r="L35" s="695">
        <v>4</v>
      </c>
      <c r="M35" s="325"/>
      <c r="N35" s="726">
        <v>4</v>
      </c>
      <c r="O35" s="377"/>
    </row>
    <row r="36" spans="1:18" s="311" customFormat="1" ht="12.95" customHeight="1">
      <c r="B36" s="317"/>
      <c r="C36" s="8"/>
      <c r="D36" s="8"/>
      <c r="E36" s="8"/>
      <c r="F36" s="335"/>
      <c r="G36" s="361"/>
      <c r="H36" s="8" t="s">
        <v>110</v>
      </c>
      <c r="I36" s="318">
        <f t="shared" ref="I36:N36" si="15">I31+I28+I16+I13+I8</f>
        <v>186500</v>
      </c>
      <c r="J36" s="318">
        <f t="shared" si="15"/>
        <v>186500</v>
      </c>
      <c r="K36" s="565">
        <f t="shared" si="15"/>
        <v>19864</v>
      </c>
      <c r="L36" s="582">
        <f t="shared" si="15"/>
        <v>153800</v>
      </c>
      <c r="M36" s="318">
        <f t="shared" si="15"/>
        <v>0</v>
      </c>
      <c r="N36" s="726">
        <f t="shared" si="15"/>
        <v>153800</v>
      </c>
      <c r="O36" s="376">
        <f>IF(J36=0,"",N36/J36*100)</f>
        <v>82.466487935656843</v>
      </c>
    </row>
    <row r="37" spans="1:18" s="311" customFormat="1" ht="12.95" customHeight="1">
      <c r="B37" s="317"/>
      <c r="C37" s="8"/>
      <c r="D37" s="8"/>
      <c r="E37" s="8"/>
      <c r="F37" s="335"/>
      <c r="G37" s="361"/>
      <c r="H37" s="8" t="s">
        <v>93</v>
      </c>
      <c r="I37" s="318">
        <f>I36+'7'!I33+'6'!I33+'5'!I33+'4 (S)'!I36+'3'!I55</f>
        <v>2537390</v>
      </c>
      <c r="J37" s="318">
        <f>J36+'7'!J33+'6'!J33+'5'!J33+'4 (S)'!J36+'3'!J55</f>
        <v>2337390</v>
      </c>
      <c r="K37" s="565">
        <f>K36+'7'!K33+'6'!K33+'5'!K33+'4 (S)'!K36+'3'!K55</f>
        <v>456169</v>
      </c>
      <c r="L37" s="582">
        <f>L36+'7'!L33+'6'!L33+'5'!L33+'4 (S)'!L36+'3'!L55</f>
        <v>2240870</v>
      </c>
      <c r="M37" s="318">
        <f>M36+'7'!M33+'6'!M33+'5'!M33+'4 (S)'!M36+'3'!M55</f>
        <v>0</v>
      </c>
      <c r="N37" s="726">
        <f>N36+'7'!N33+'6'!N33+'5'!N33+'4 (S)'!N36+'3'!N55</f>
        <v>2240870</v>
      </c>
      <c r="O37" s="383"/>
    </row>
    <row r="38" spans="1:18" s="311" customFormat="1" ht="12.95" customHeight="1">
      <c r="B38" s="317"/>
      <c r="C38" s="8"/>
      <c r="D38" s="8"/>
      <c r="E38" s="8"/>
      <c r="F38" s="335"/>
      <c r="G38" s="361"/>
      <c r="H38" s="8" t="s">
        <v>94</v>
      </c>
      <c r="I38" s="660">
        <f>I37</f>
        <v>2537390</v>
      </c>
      <c r="J38" s="660">
        <f t="shared" ref="J38:N38" si="16">J37</f>
        <v>2337390</v>
      </c>
      <c r="K38" s="661">
        <f t="shared" si="16"/>
        <v>456169</v>
      </c>
      <c r="L38" s="736">
        <f t="shared" si="16"/>
        <v>2240870</v>
      </c>
      <c r="M38" s="660">
        <f t="shared" si="16"/>
        <v>0</v>
      </c>
      <c r="N38" s="737">
        <f t="shared" si="16"/>
        <v>2240870</v>
      </c>
      <c r="O38" s="378"/>
    </row>
    <row r="39" spans="1:18" ht="8.1" customHeight="1" thickBot="1">
      <c r="B39" s="16"/>
      <c r="C39" s="17"/>
      <c r="D39" s="17"/>
      <c r="E39" s="17"/>
      <c r="F39" s="337"/>
      <c r="G39" s="363"/>
      <c r="H39" s="17"/>
      <c r="I39" s="17"/>
      <c r="J39" s="17"/>
      <c r="K39" s="27"/>
      <c r="L39" s="16"/>
      <c r="M39" s="17"/>
      <c r="N39" s="735"/>
      <c r="O39" s="379"/>
    </row>
    <row r="40" spans="1:18" ht="12.95" customHeight="1">
      <c r="F40" s="338"/>
      <c r="G40" s="364"/>
      <c r="N40" s="423"/>
    </row>
    <row r="41" spans="1:18" ht="12.95" customHeight="1">
      <c r="B41" s="55"/>
      <c r="F41" s="338"/>
      <c r="G41" s="364"/>
      <c r="N41" s="423"/>
    </row>
    <row r="42" spans="1:18" ht="12.95" customHeight="1">
      <c r="F42" s="338"/>
      <c r="G42" s="364"/>
      <c r="N42" s="423"/>
    </row>
    <row r="43" spans="1:18" ht="12.95" customHeight="1">
      <c r="F43" s="338"/>
      <c r="G43" s="364"/>
      <c r="N43" s="423"/>
    </row>
    <row r="44" spans="1:18" ht="12.95" customHeight="1">
      <c r="F44" s="338"/>
      <c r="G44" s="364"/>
      <c r="N44" s="423"/>
    </row>
    <row r="45" spans="1:18" ht="12.95" customHeight="1">
      <c r="F45" s="338"/>
      <c r="G45" s="364"/>
      <c r="N45" s="423"/>
    </row>
    <row r="46" spans="1:18" ht="12.95" customHeight="1">
      <c r="F46" s="338"/>
      <c r="G46" s="364"/>
      <c r="N46" s="423"/>
    </row>
    <row r="47" spans="1:18" ht="12.95" customHeight="1">
      <c r="F47" s="338"/>
      <c r="G47" s="364"/>
      <c r="N47" s="423"/>
    </row>
    <row r="48" spans="1:18" s="380" customFormat="1" ht="12.95" customHeight="1">
      <c r="A48" s="314"/>
      <c r="B48" s="314"/>
      <c r="C48" s="314"/>
      <c r="D48" s="314"/>
      <c r="E48" s="314"/>
      <c r="F48" s="338"/>
      <c r="G48" s="364"/>
      <c r="H48" s="314"/>
      <c r="I48" s="314"/>
      <c r="J48" s="314"/>
      <c r="K48" s="314"/>
      <c r="L48" s="314"/>
      <c r="M48" s="314"/>
      <c r="N48" s="423"/>
      <c r="P48" s="314"/>
      <c r="Q48" s="314"/>
      <c r="R48" s="314"/>
    </row>
    <row r="49" spans="1:18" s="380" customFormat="1" ht="12.95" customHeight="1">
      <c r="A49" s="314"/>
      <c r="B49" s="314"/>
      <c r="C49" s="314"/>
      <c r="D49" s="314"/>
      <c r="E49" s="314"/>
      <c r="F49" s="338"/>
      <c r="G49" s="364"/>
      <c r="H49" s="314"/>
      <c r="I49" s="314"/>
      <c r="J49" s="314"/>
      <c r="K49" s="314"/>
      <c r="L49" s="314"/>
      <c r="M49" s="314"/>
      <c r="N49" s="423"/>
      <c r="P49" s="314"/>
      <c r="Q49" s="314"/>
      <c r="R49" s="314"/>
    </row>
    <row r="50" spans="1:18" s="380" customFormat="1" ht="12.95" customHeight="1">
      <c r="A50" s="314"/>
      <c r="B50" s="314"/>
      <c r="C50" s="314"/>
      <c r="D50" s="314"/>
      <c r="E50" s="314"/>
      <c r="F50" s="338"/>
      <c r="G50" s="364"/>
      <c r="H50" s="314"/>
      <c r="I50" s="314"/>
      <c r="J50" s="314"/>
      <c r="K50" s="314"/>
      <c r="L50" s="314"/>
      <c r="M50" s="314"/>
      <c r="N50" s="423"/>
      <c r="P50" s="314"/>
      <c r="Q50" s="314"/>
      <c r="R50" s="314"/>
    </row>
    <row r="51" spans="1:18" s="380" customFormat="1" ht="12.95" customHeight="1">
      <c r="A51" s="314"/>
      <c r="B51" s="314"/>
      <c r="C51" s="314"/>
      <c r="D51" s="314"/>
      <c r="E51" s="314"/>
      <c r="F51" s="338"/>
      <c r="G51" s="364"/>
      <c r="H51" s="314"/>
      <c r="I51" s="314"/>
      <c r="J51" s="314"/>
      <c r="K51" s="314"/>
      <c r="L51" s="314"/>
      <c r="M51" s="314"/>
      <c r="N51" s="423"/>
      <c r="P51" s="314"/>
      <c r="Q51" s="314"/>
      <c r="R51" s="314"/>
    </row>
    <row r="52" spans="1:18" s="380" customFormat="1" ht="12.95" customHeight="1">
      <c r="A52" s="314"/>
      <c r="B52" s="314"/>
      <c r="C52" s="314"/>
      <c r="D52" s="314"/>
      <c r="E52" s="314"/>
      <c r="F52" s="338"/>
      <c r="G52" s="364"/>
      <c r="H52" s="314"/>
      <c r="I52" s="314"/>
      <c r="J52" s="314"/>
      <c r="K52" s="314"/>
      <c r="L52" s="314"/>
      <c r="M52" s="314"/>
      <c r="N52" s="423"/>
      <c r="P52" s="314"/>
      <c r="Q52" s="314"/>
      <c r="R52" s="314"/>
    </row>
    <row r="53" spans="1:18" s="380" customFormat="1" ht="12.95" customHeight="1">
      <c r="A53" s="314"/>
      <c r="B53" s="314"/>
      <c r="C53" s="314"/>
      <c r="D53" s="314"/>
      <c r="E53" s="314"/>
      <c r="F53" s="338"/>
      <c r="G53" s="364"/>
      <c r="H53" s="314"/>
      <c r="I53" s="314"/>
      <c r="J53" s="314"/>
      <c r="K53" s="314"/>
      <c r="L53" s="314"/>
      <c r="M53" s="314"/>
      <c r="N53" s="423"/>
      <c r="P53" s="314"/>
      <c r="Q53" s="314"/>
      <c r="R53" s="314"/>
    </row>
    <row r="54" spans="1:18" s="380" customFormat="1" ht="12.95" customHeight="1">
      <c r="A54" s="314"/>
      <c r="B54" s="314"/>
      <c r="C54" s="314"/>
      <c r="D54" s="314"/>
      <c r="E54" s="314"/>
      <c r="F54" s="338"/>
      <c r="G54" s="364"/>
      <c r="H54" s="314"/>
      <c r="I54" s="314"/>
      <c r="J54" s="314"/>
      <c r="K54" s="314"/>
      <c r="L54" s="314"/>
      <c r="M54" s="314"/>
      <c r="N54" s="423"/>
      <c r="P54" s="314"/>
      <c r="Q54" s="314"/>
      <c r="R54" s="314"/>
    </row>
    <row r="55" spans="1:18" s="380" customFormat="1" ht="12.95" customHeight="1">
      <c r="A55" s="314"/>
      <c r="B55" s="314"/>
      <c r="C55" s="314"/>
      <c r="D55" s="314"/>
      <c r="E55" s="314"/>
      <c r="F55" s="338"/>
      <c r="G55" s="364"/>
      <c r="H55" s="314"/>
      <c r="I55" s="314"/>
      <c r="J55" s="314"/>
      <c r="K55" s="314"/>
      <c r="L55" s="314"/>
      <c r="M55" s="314"/>
      <c r="N55" s="423"/>
      <c r="P55" s="314"/>
      <c r="Q55" s="314"/>
      <c r="R55" s="314"/>
    </row>
    <row r="56" spans="1:18" s="380" customFormat="1" ht="12.95" customHeight="1">
      <c r="A56" s="314"/>
      <c r="B56" s="314"/>
      <c r="C56" s="314"/>
      <c r="D56" s="314"/>
      <c r="E56" s="314"/>
      <c r="F56" s="338"/>
      <c r="G56" s="364"/>
      <c r="H56" s="314"/>
      <c r="I56" s="314"/>
      <c r="J56" s="314"/>
      <c r="K56" s="314"/>
      <c r="L56" s="314"/>
      <c r="M56" s="314"/>
      <c r="N56" s="423"/>
      <c r="P56" s="314"/>
      <c r="Q56" s="314"/>
      <c r="R56" s="314"/>
    </row>
    <row r="57" spans="1:18" s="380" customFormat="1" ht="12.95" customHeight="1">
      <c r="A57" s="314"/>
      <c r="B57" s="314"/>
      <c r="C57" s="314"/>
      <c r="D57" s="314"/>
      <c r="E57" s="314"/>
      <c r="F57" s="338"/>
      <c r="G57" s="364"/>
      <c r="H57" s="314"/>
      <c r="I57" s="314"/>
      <c r="J57" s="314"/>
      <c r="K57" s="314"/>
      <c r="L57" s="314"/>
      <c r="M57" s="314"/>
      <c r="N57" s="423"/>
      <c r="P57" s="314"/>
      <c r="Q57" s="314"/>
      <c r="R57" s="314"/>
    </row>
    <row r="58" spans="1:18" s="380" customFormat="1" ht="12.95" customHeight="1">
      <c r="A58" s="314"/>
      <c r="B58" s="314"/>
      <c r="C58" s="314"/>
      <c r="D58" s="314"/>
      <c r="E58" s="314"/>
      <c r="F58" s="338"/>
      <c r="G58" s="364"/>
      <c r="H58" s="314"/>
      <c r="I58" s="314"/>
      <c r="J58" s="314"/>
      <c r="K58" s="314"/>
      <c r="L58" s="314"/>
      <c r="M58" s="314"/>
      <c r="N58" s="423"/>
      <c r="P58" s="314"/>
      <c r="Q58" s="314"/>
      <c r="R58" s="314"/>
    </row>
    <row r="59" spans="1:18" s="380" customFormat="1" ht="12.95" customHeight="1">
      <c r="A59" s="314"/>
      <c r="B59" s="314"/>
      <c r="C59" s="314"/>
      <c r="D59" s="314"/>
      <c r="E59" s="314"/>
      <c r="F59" s="338"/>
      <c r="G59" s="364"/>
      <c r="H59" s="314"/>
      <c r="I59" s="314"/>
      <c r="J59" s="314"/>
      <c r="K59" s="314"/>
      <c r="L59" s="314"/>
      <c r="M59" s="314"/>
      <c r="N59" s="423"/>
      <c r="P59" s="314"/>
      <c r="Q59" s="314"/>
      <c r="R59" s="314"/>
    </row>
    <row r="60" spans="1:18" s="380" customFormat="1" ht="17.100000000000001" customHeight="1">
      <c r="A60" s="314"/>
      <c r="B60" s="314"/>
      <c r="C60" s="314"/>
      <c r="D60" s="314"/>
      <c r="E60" s="314"/>
      <c r="F60" s="338"/>
      <c r="G60" s="364"/>
      <c r="H60" s="314"/>
      <c r="I60" s="314"/>
      <c r="J60" s="314"/>
      <c r="K60" s="314"/>
      <c r="L60" s="314"/>
      <c r="M60" s="314"/>
      <c r="N60" s="423"/>
      <c r="P60" s="314"/>
      <c r="Q60" s="314"/>
      <c r="R60" s="314"/>
    </row>
    <row r="61" spans="1:18" s="380" customFormat="1" ht="14.25">
      <c r="A61" s="314"/>
      <c r="B61" s="314"/>
      <c r="C61" s="314"/>
      <c r="D61" s="314"/>
      <c r="E61" s="314"/>
      <c r="F61" s="338"/>
      <c r="G61" s="364"/>
      <c r="H61" s="314"/>
      <c r="I61" s="314"/>
      <c r="J61" s="314"/>
      <c r="K61" s="314"/>
      <c r="L61" s="314"/>
      <c r="M61" s="314"/>
      <c r="N61" s="423"/>
      <c r="P61" s="314"/>
      <c r="Q61" s="314"/>
      <c r="R61" s="314"/>
    </row>
    <row r="62" spans="1:18" s="380" customFormat="1" ht="14.25">
      <c r="A62" s="314"/>
      <c r="B62" s="314"/>
      <c r="C62" s="314"/>
      <c r="D62" s="314"/>
      <c r="E62" s="314"/>
      <c r="F62" s="338"/>
      <c r="G62" s="364"/>
      <c r="H62" s="314"/>
      <c r="I62" s="314"/>
      <c r="J62" s="314"/>
      <c r="K62" s="314"/>
      <c r="L62" s="314"/>
      <c r="M62" s="314"/>
      <c r="N62" s="423"/>
      <c r="P62" s="314"/>
      <c r="Q62" s="314"/>
      <c r="R62" s="314"/>
    </row>
    <row r="63" spans="1:18" s="380" customFormat="1" ht="14.25">
      <c r="A63" s="314"/>
      <c r="B63" s="314"/>
      <c r="C63" s="314"/>
      <c r="D63" s="314"/>
      <c r="E63" s="314"/>
      <c r="F63" s="338"/>
      <c r="G63" s="364"/>
      <c r="H63" s="314"/>
      <c r="I63" s="314"/>
      <c r="J63" s="314"/>
      <c r="K63" s="314"/>
      <c r="L63" s="314"/>
      <c r="M63" s="314"/>
      <c r="N63" s="423"/>
      <c r="P63" s="314"/>
      <c r="Q63" s="314"/>
      <c r="R63" s="314"/>
    </row>
    <row r="64" spans="1:18" s="380" customFormat="1" ht="14.25">
      <c r="A64" s="314"/>
      <c r="B64" s="314"/>
      <c r="C64" s="314"/>
      <c r="D64" s="314"/>
      <c r="E64" s="314"/>
      <c r="F64" s="338"/>
      <c r="G64" s="364"/>
      <c r="H64" s="314"/>
      <c r="I64" s="314"/>
      <c r="J64" s="314"/>
      <c r="K64" s="314"/>
      <c r="L64" s="314"/>
      <c r="M64" s="314"/>
      <c r="N64" s="423"/>
      <c r="P64" s="314"/>
      <c r="Q64" s="314"/>
      <c r="R64" s="314"/>
    </row>
    <row r="65" spans="1:18" s="380" customFormat="1" ht="14.25">
      <c r="A65" s="314"/>
      <c r="B65" s="314"/>
      <c r="C65" s="314"/>
      <c r="D65" s="314"/>
      <c r="E65" s="314"/>
      <c r="F65" s="338"/>
      <c r="G65" s="364"/>
      <c r="H65" s="314"/>
      <c r="I65" s="314"/>
      <c r="J65" s="314"/>
      <c r="K65" s="314"/>
      <c r="L65" s="314"/>
      <c r="M65" s="314"/>
      <c r="N65" s="423"/>
      <c r="P65" s="314"/>
      <c r="Q65" s="314"/>
      <c r="R65" s="314"/>
    </row>
    <row r="66" spans="1:18" s="380" customFormat="1" ht="14.25">
      <c r="A66" s="314"/>
      <c r="B66" s="314"/>
      <c r="C66" s="314"/>
      <c r="D66" s="314"/>
      <c r="E66" s="314"/>
      <c r="F66" s="338"/>
      <c r="G66" s="364"/>
      <c r="H66" s="314"/>
      <c r="I66" s="314"/>
      <c r="J66" s="314"/>
      <c r="K66" s="314"/>
      <c r="L66" s="314"/>
      <c r="M66" s="314"/>
      <c r="N66" s="423"/>
      <c r="P66" s="314"/>
      <c r="Q66" s="314"/>
      <c r="R66" s="314"/>
    </row>
    <row r="67" spans="1:18" s="380" customFormat="1" ht="14.25">
      <c r="A67" s="314"/>
      <c r="B67" s="314"/>
      <c r="C67" s="314"/>
      <c r="D67" s="314"/>
      <c r="E67" s="314"/>
      <c r="F67" s="338"/>
      <c r="G67" s="364"/>
      <c r="H67" s="314"/>
      <c r="I67" s="314"/>
      <c r="J67" s="314"/>
      <c r="K67" s="314"/>
      <c r="L67" s="314"/>
      <c r="M67" s="314"/>
      <c r="N67" s="423"/>
      <c r="P67" s="314"/>
      <c r="Q67" s="314"/>
      <c r="R67" s="314"/>
    </row>
    <row r="68" spans="1:18" s="380" customFormat="1" ht="14.25">
      <c r="A68" s="314"/>
      <c r="B68" s="314"/>
      <c r="C68" s="314"/>
      <c r="D68" s="314"/>
      <c r="E68" s="314"/>
      <c r="F68" s="338"/>
      <c r="G68" s="364"/>
      <c r="H68" s="314"/>
      <c r="I68" s="314"/>
      <c r="J68" s="314"/>
      <c r="K68" s="314"/>
      <c r="L68" s="314"/>
      <c r="M68" s="314"/>
      <c r="N68" s="423"/>
      <c r="P68" s="314"/>
      <c r="Q68" s="314"/>
      <c r="R68" s="314"/>
    </row>
    <row r="69" spans="1:18" s="380" customFormat="1" ht="14.25">
      <c r="A69" s="314"/>
      <c r="B69" s="314"/>
      <c r="C69" s="314"/>
      <c r="D69" s="314"/>
      <c r="E69" s="314"/>
      <c r="F69" s="338"/>
      <c r="G69" s="364"/>
      <c r="H69" s="314"/>
      <c r="I69" s="314"/>
      <c r="J69" s="314"/>
      <c r="K69" s="314"/>
      <c r="L69" s="314"/>
      <c r="M69" s="314"/>
      <c r="N69" s="423"/>
      <c r="P69" s="314"/>
      <c r="Q69" s="314"/>
      <c r="R69" s="314"/>
    </row>
    <row r="70" spans="1:18" s="380" customFormat="1" ht="14.25">
      <c r="A70" s="314"/>
      <c r="B70" s="314"/>
      <c r="C70" s="314"/>
      <c r="D70" s="314"/>
      <c r="E70" s="314"/>
      <c r="F70" s="338"/>
      <c r="G70" s="364"/>
      <c r="H70" s="314"/>
      <c r="I70" s="314"/>
      <c r="J70" s="314"/>
      <c r="K70" s="314"/>
      <c r="L70" s="314"/>
      <c r="M70" s="314"/>
      <c r="N70" s="423"/>
      <c r="P70" s="314"/>
      <c r="Q70" s="314"/>
      <c r="R70" s="314"/>
    </row>
    <row r="71" spans="1:18" s="380" customFormat="1" ht="14.25">
      <c r="A71" s="314"/>
      <c r="B71" s="314"/>
      <c r="C71" s="314"/>
      <c r="D71" s="314"/>
      <c r="E71" s="314"/>
      <c r="F71" s="338"/>
      <c r="G71" s="364"/>
      <c r="H71" s="314"/>
      <c r="I71" s="314"/>
      <c r="J71" s="314"/>
      <c r="K71" s="314"/>
      <c r="L71" s="314"/>
      <c r="M71" s="314"/>
      <c r="N71" s="423"/>
      <c r="P71" s="314"/>
      <c r="Q71" s="314"/>
      <c r="R71" s="314"/>
    </row>
    <row r="72" spans="1:18" s="380" customFormat="1" ht="14.25">
      <c r="A72" s="314"/>
      <c r="B72" s="314"/>
      <c r="C72" s="314"/>
      <c r="D72" s="314"/>
      <c r="E72" s="314"/>
      <c r="F72" s="338"/>
      <c r="G72" s="364"/>
      <c r="H72" s="314"/>
      <c r="I72" s="314"/>
      <c r="J72" s="314"/>
      <c r="K72" s="314"/>
      <c r="L72" s="314"/>
      <c r="M72" s="314"/>
      <c r="N72" s="423"/>
      <c r="P72" s="314"/>
      <c r="Q72" s="314"/>
      <c r="R72" s="314"/>
    </row>
    <row r="73" spans="1:18" s="380" customFormat="1" ht="14.25">
      <c r="A73" s="314"/>
      <c r="B73" s="314"/>
      <c r="C73" s="314"/>
      <c r="D73" s="314"/>
      <c r="E73" s="314"/>
      <c r="F73" s="338"/>
      <c r="G73" s="364"/>
      <c r="H73" s="314"/>
      <c r="I73" s="314"/>
      <c r="J73" s="314"/>
      <c r="K73" s="314"/>
      <c r="L73" s="314"/>
      <c r="M73" s="314"/>
      <c r="N73" s="423"/>
      <c r="P73" s="314"/>
      <c r="Q73" s="314"/>
      <c r="R73" s="314"/>
    </row>
    <row r="74" spans="1:18" s="380" customFormat="1" ht="14.25">
      <c r="A74" s="314"/>
      <c r="B74" s="314"/>
      <c r="C74" s="314"/>
      <c r="D74" s="314"/>
      <c r="E74" s="314"/>
      <c r="F74" s="338"/>
      <c r="G74" s="338"/>
      <c r="H74" s="314"/>
      <c r="I74" s="314"/>
      <c r="J74" s="314"/>
      <c r="K74" s="314"/>
      <c r="L74" s="314"/>
      <c r="M74" s="314"/>
      <c r="N74" s="423"/>
      <c r="P74" s="314"/>
      <c r="Q74" s="314"/>
      <c r="R74" s="314"/>
    </row>
    <row r="75" spans="1:18" s="380" customFormat="1" ht="14.25">
      <c r="A75" s="314"/>
      <c r="B75" s="314"/>
      <c r="C75" s="314"/>
      <c r="D75" s="314"/>
      <c r="E75" s="314"/>
      <c r="F75" s="338"/>
      <c r="G75" s="338"/>
      <c r="H75" s="314"/>
      <c r="I75" s="314"/>
      <c r="J75" s="314"/>
      <c r="K75" s="314"/>
      <c r="L75" s="314"/>
      <c r="M75" s="314"/>
      <c r="N75" s="423"/>
      <c r="P75" s="314"/>
      <c r="Q75" s="314"/>
      <c r="R75" s="314"/>
    </row>
    <row r="76" spans="1:18" s="380" customFormat="1" ht="14.25">
      <c r="A76" s="314"/>
      <c r="B76" s="314"/>
      <c r="C76" s="314"/>
      <c r="D76" s="314"/>
      <c r="E76" s="314"/>
      <c r="F76" s="338"/>
      <c r="G76" s="338"/>
      <c r="H76" s="314"/>
      <c r="I76" s="314"/>
      <c r="J76" s="314"/>
      <c r="K76" s="314"/>
      <c r="L76" s="314"/>
      <c r="M76" s="314"/>
      <c r="N76" s="423"/>
      <c r="P76" s="314"/>
      <c r="Q76" s="314"/>
      <c r="R76" s="314"/>
    </row>
    <row r="77" spans="1:18" s="380" customFormat="1" ht="14.25">
      <c r="A77" s="314"/>
      <c r="B77" s="314"/>
      <c r="C77" s="314"/>
      <c r="D77" s="314"/>
      <c r="E77" s="314"/>
      <c r="F77" s="338"/>
      <c r="G77" s="338"/>
      <c r="H77" s="314"/>
      <c r="I77" s="314"/>
      <c r="J77" s="314"/>
      <c r="K77" s="314"/>
      <c r="L77" s="314"/>
      <c r="M77" s="314"/>
      <c r="N77" s="423"/>
      <c r="P77" s="314"/>
      <c r="Q77" s="314"/>
      <c r="R77" s="314"/>
    </row>
    <row r="78" spans="1:18" s="380" customFormat="1" ht="14.25">
      <c r="A78" s="314"/>
      <c r="B78" s="314"/>
      <c r="C78" s="314"/>
      <c r="D78" s="314"/>
      <c r="E78" s="314"/>
      <c r="F78" s="338"/>
      <c r="G78" s="338"/>
      <c r="H78" s="314"/>
      <c r="I78" s="314"/>
      <c r="J78" s="314"/>
      <c r="K78" s="314"/>
      <c r="L78" s="314"/>
      <c r="M78" s="314"/>
      <c r="N78" s="423"/>
      <c r="P78" s="314"/>
      <c r="Q78" s="314"/>
      <c r="R78" s="314"/>
    </row>
    <row r="79" spans="1:18" s="380" customFormat="1" ht="14.25">
      <c r="A79" s="314"/>
      <c r="B79" s="314"/>
      <c r="C79" s="314"/>
      <c r="D79" s="314"/>
      <c r="E79" s="314"/>
      <c r="F79" s="338"/>
      <c r="G79" s="338"/>
      <c r="H79" s="314"/>
      <c r="I79" s="314"/>
      <c r="J79" s="314"/>
      <c r="K79" s="314"/>
      <c r="L79" s="314"/>
      <c r="M79" s="314"/>
      <c r="N79" s="423"/>
      <c r="P79" s="314"/>
      <c r="Q79" s="314"/>
      <c r="R79" s="314"/>
    </row>
    <row r="80" spans="1:18" s="380" customFormat="1" ht="14.25">
      <c r="A80" s="314"/>
      <c r="B80" s="314"/>
      <c r="C80" s="314"/>
      <c r="D80" s="314"/>
      <c r="E80" s="314"/>
      <c r="F80" s="338"/>
      <c r="G80" s="338"/>
      <c r="H80" s="314"/>
      <c r="I80" s="314"/>
      <c r="J80" s="314"/>
      <c r="K80" s="314"/>
      <c r="L80" s="314"/>
      <c r="M80" s="314"/>
      <c r="N80" s="423"/>
      <c r="P80" s="314"/>
      <c r="Q80" s="314"/>
      <c r="R80" s="314"/>
    </row>
    <row r="81" spans="1:18" s="380" customFormat="1" ht="14.25">
      <c r="A81" s="314"/>
      <c r="B81" s="314"/>
      <c r="C81" s="314"/>
      <c r="D81" s="314"/>
      <c r="E81" s="314"/>
      <c r="F81" s="338"/>
      <c r="G81" s="338"/>
      <c r="H81" s="314"/>
      <c r="I81" s="314"/>
      <c r="J81" s="314"/>
      <c r="K81" s="314"/>
      <c r="L81" s="314"/>
      <c r="M81" s="314"/>
      <c r="N81" s="423"/>
      <c r="P81" s="314"/>
      <c r="Q81" s="314"/>
      <c r="R81" s="314"/>
    </row>
    <row r="82" spans="1:18" s="380" customFormat="1" ht="14.25">
      <c r="A82" s="314"/>
      <c r="B82" s="314"/>
      <c r="C82" s="314"/>
      <c r="D82" s="314"/>
      <c r="E82" s="314"/>
      <c r="F82" s="338"/>
      <c r="G82" s="338"/>
      <c r="H82" s="314"/>
      <c r="I82" s="314"/>
      <c r="J82" s="314"/>
      <c r="K82" s="314"/>
      <c r="L82" s="314"/>
      <c r="M82" s="314"/>
      <c r="N82" s="423"/>
      <c r="P82" s="314"/>
      <c r="Q82" s="314"/>
      <c r="R82" s="314"/>
    </row>
    <row r="83" spans="1:18" s="380" customFormat="1" ht="14.25">
      <c r="A83" s="314"/>
      <c r="B83" s="314"/>
      <c r="C83" s="314"/>
      <c r="D83" s="314"/>
      <c r="E83" s="314"/>
      <c r="F83" s="338"/>
      <c r="G83" s="338"/>
      <c r="H83" s="314"/>
      <c r="I83" s="314"/>
      <c r="J83" s="314"/>
      <c r="K83" s="314"/>
      <c r="L83" s="314"/>
      <c r="M83" s="314"/>
      <c r="N83" s="423"/>
      <c r="P83" s="314"/>
      <c r="Q83" s="314"/>
      <c r="R83" s="314"/>
    </row>
    <row r="84" spans="1:18" s="380" customFormat="1" ht="14.25">
      <c r="A84" s="314"/>
      <c r="B84" s="314"/>
      <c r="C84" s="314"/>
      <c r="D84" s="314"/>
      <c r="E84" s="314"/>
      <c r="F84" s="338"/>
      <c r="G84" s="338"/>
      <c r="H84" s="314"/>
      <c r="I84" s="314"/>
      <c r="J84" s="314"/>
      <c r="K84" s="314"/>
      <c r="L84" s="314"/>
      <c r="M84" s="314"/>
      <c r="N84" s="423"/>
      <c r="P84" s="314"/>
      <c r="Q84" s="314"/>
      <c r="R84" s="314"/>
    </row>
    <row r="85" spans="1:18" s="380" customFormat="1" ht="14.25">
      <c r="A85" s="314"/>
      <c r="B85" s="314"/>
      <c r="C85" s="314"/>
      <c r="D85" s="314"/>
      <c r="E85" s="314"/>
      <c r="F85" s="338"/>
      <c r="G85" s="338"/>
      <c r="H85" s="314"/>
      <c r="I85" s="314"/>
      <c r="J85" s="314"/>
      <c r="K85" s="314"/>
      <c r="L85" s="314"/>
      <c r="M85" s="314"/>
      <c r="N85" s="423"/>
      <c r="P85" s="314"/>
      <c r="Q85" s="314"/>
      <c r="R85" s="314"/>
    </row>
    <row r="86" spans="1:18" s="380" customFormat="1" ht="14.25">
      <c r="A86" s="314"/>
      <c r="B86" s="314"/>
      <c r="C86" s="314"/>
      <c r="D86" s="314"/>
      <c r="E86" s="314"/>
      <c r="F86" s="338"/>
      <c r="G86" s="338"/>
      <c r="H86" s="314"/>
      <c r="I86" s="314"/>
      <c r="J86" s="314"/>
      <c r="K86" s="314"/>
      <c r="L86" s="314"/>
      <c r="M86" s="314"/>
      <c r="N86" s="423"/>
      <c r="P86" s="314"/>
      <c r="Q86" s="314"/>
      <c r="R86" s="314"/>
    </row>
    <row r="87" spans="1:18" s="380" customFormat="1" ht="14.25">
      <c r="A87" s="314"/>
      <c r="B87" s="314"/>
      <c r="C87" s="314"/>
      <c r="D87" s="314"/>
      <c r="E87" s="314"/>
      <c r="F87" s="338"/>
      <c r="G87" s="338"/>
      <c r="H87" s="314"/>
      <c r="I87" s="314"/>
      <c r="J87" s="314"/>
      <c r="K87" s="314"/>
      <c r="L87" s="314"/>
      <c r="M87" s="314"/>
      <c r="N87" s="423"/>
      <c r="P87" s="314"/>
      <c r="Q87" s="314"/>
      <c r="R87" s="314"/>
    </row>
    <row r="88" spans="1:18" s="380" customFormat="1" ht="14.25">
      <c r="A88" s="314"/>
      <c r="B88" s="314"/>
      <c r="C88" s="314"/>
      <c r="D88" s="314"/>
      <c r="E88" s="314"/>
      <c r="F88" s="338"/>
      <c r="G88" s="338"/>
      <c r="H88" s="314"/>
      <c r="I88" s="314"/>
      <c r="J88" s="314"/>
      <c r="K88" s="314"/>
      <c r="L88" s="314"/>
      <c r="M88" s="314"/>
      <c r="N88" s="423"/>
      <c r="P88" s="314"/>
      <c r="Q88" s="314"/>
      <c r="R88" s="314"/>
    </row>
    <row r="89" spans="1:18" s="380" customFormat="1" ht="14.25">
      <c r="A89" s="314"/>
      <c r="B89" s="314"/>
      <c r="C89" s="314"/>
      <c r="D89" s="314"/>
      <c r="E89" s="314"/>
      <c r="F89" s="338"/>
      <c r="G89" s="338"/>
      <c r="H89" s="314"/>
      <c r="I89" s="314"/>
      <c r="J89" s="314"/>
      <c r="K89" s="314"/>
      <c r="L89" s="314"/>
      <c r="M89" s="314"/>
      <c r="N89" s="423"/>
      <c r="P89" s="314"/>
      <c r="Q89" s="314"/>
      <c r="R89" s="314"/>
    </row>
    <row r="90" spans="1:18" s="380" customFormat="1" ht="14.25">
      <c r="A90" s="314"/>
      <c r="B90" s="314"/>
      <c r="C90" s="314"/>
      <c r="D90" s="314"/>
      <c r="E90" s="314"/>
      <c r="F90" s="338"/>
      <c r="G90" s="338"/>
      <c r="H90" s="314"/>
      <c r="I90" s="314"/>
      <c r="J90" s="314"/>
      <c r="K90" s="314"/>
      <c r="L90" s="314"/>
      <c r="M90" s="314"/>
      <c r="N90" s="423"/>
      <c r="P90" s="314"/>
      <c r="Q90" s="314"/>
      <c r="R90" s="314"/>
    </row>
    <row r="91" spans="1:18" s="380" customFormat="1">
      <c r="A91" s="314"/>
      <c r="B91" s="314"/>
      <c r="C91" s="314"/>
      <c r="D91" s="314"/>
      <c r="E91" s="314"/>
      <c r="F91" s="319"/>
      <c r="G91" s="338"/>
      <c r="H91" s="314"/>
      <c r="I91" s="314"/>
      <c r="J91" s="314"/>
      <c r="K91" s="314"/>
      <c r="L91" s="314"/>
      <c r="M91" s="314"/>
      <c r="N91" s="314"/>
      <c r="P91" s="314"/>
      <c r="Q91" s="314"/>
      <c r="R91" s="314"/>
    </row>
    <row r="92" spans="1:18" s="380" customFormat="1">
      <c r="A92" s="314"/>
      <c r="B92" s="314"/>
      <c r="C92" s="314"/>
      <c r="D92" s="314"/>
      <c r="E92" s="314"/>
      <c r="F92" s="319"/>
      <c r="G92" s="338"/>
      <c r="H92" s="314"/>
      <c r="I92" s="314"/>
      <c r="J92" s="314"/>
      <c r="K92" s="314"/>
      <c r="L92" s="314"/>
      <c r="M92" s="314"/>
      <c r="N92" s="314"/>
      <c r="P92" s="314"/>
      <c r="Q92" s="314"/>
      <c r="R92" s="314"/>
    </row>
    <row r="93" spans="1:18" s="380" customFormat="1">
      <c r="A93" s="314"/>
      <c r="B93" s="314"/>
      <c r="C93" s="314"/>
      <c r="D93" s="314"/>
      <c r="E93" s="314"/>
      <c r="F93" s="319"/>
      <c r="G93" s="338"/>
      <c r="H93" s="314"/>
      <c r="I93" s="314"/>
      <c r="J93" s="314"/>
      <c r="K93" s="314"/>
      <c r="L93" s="314"/>
      <c r="M93" s="314"/>
      <c r="N93" s="314"/>
      <c r="P93" s="314"/>
      <c r="Q93" s="314"/>
      <c r="R93" s="314"/>
    </row>
    <row r="94" spans="1:18" s="380" customFormat="1">
      <c r="A94" s="314"/>
      <c r="B94" s="314"/>
      <c r="C94" s="314"/>
      <c r="D94" s="314"/>
      <c r="E94" s="314"/>
      <c r="F94" s="319"/>
      <c r="G94" s="338"/>
      <c r="H94" s="314"/>
      <c r="I94" s="314"/>
      <c r="J94" s="314"/>
      <c r="K94" s="314"/>
      <c r="L94" s="314"/>
      <c r="M94" s="314"/>
      <c r="N94" s="314"/>
      <c r="P94" s="314"/>
      <c r="Q94" s="314"/>
      <c r="R94" s="314"/>
    </row>
    <row r="95" spans="1:18" s="380" customFormat="1">
      <c r="A95" s="314"/>
      <c r="B95" s="314"/>
      <c r="C95" s="314"/>
      <c r="D95" s="314"/>
      <c r="E95" s="314"/>
      <c r="F95" s="319"/>
      <c r="G95" s="338"/>
      <c r="H95" s="314"/>
      <c r="I95" s="314"/>
      <c r="J95" s="314"/>
      <c r="K95" s="314"/>
      <c r="L95" s="314"/>
      <c r="M95" s="314"/>
      <c r="N95" s="314"/>
      <c r="P95" s="314"/>
      <c r="Q95" s="314"/>
      <c r="R95" s="314"/>
    </row>
    <row r="96" spans="1:18">
      <c r="G96" s="338"/>
    </row>
  </sheetData>
  <mergeCells count="14">
    <mergeCell ref="K4:K5"/>
    <mergeCell ref="L4:N4"/>
    <mergeCell ref="O4:O5"/>
    <mergeCell ref="B2:N2"/>
    <mergeCell ref="H3:I3"/>
    <mergeCell ref="B4:B5"/>
    <mergeCell ref="C4:C5"/>
    <mergeCell ref="D4:D5"/>
    <mergeCell ref="F4:F5"/>
    <mergeCell ref="G4:G5"/>
    <mergeCell ref="H4:H5"/>
    <mergeCell ref="I4:I5"/>
    <mergeCell ref="J4:J5"/>
    <mergeCell ref="E4:E5"/>
  </mergeCells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1"/>
  <dimension ref="A1:R96"/>
  <sheetViews>
    <sheetView zoomScaleNormal="100" workbookViewId="0">
      <selection activeCell="S14" sqref="S14"/>
    </sheetView>
  </sheetViews>
  <sheetFormatPr defaultRowHeight="12.75"/>
  <cols>
    <col min="1" max="1" width="9.140625" style="314"/>
    <col min="2" max="2" width="4.7109375" style="9" customWidth="1"/>
    <col min="3" max="3" width="5.140625" style="9" customWidth="1"/>
    <col min="4" max="4" width="5" style="9" customWidth="1"/>
    <col min="5" max="5" width="5" style="314" customWidth="1"/>
    <col min="6" max="6" width="8.7109375" style="18" customWidth="1"/>
    <col min="7" max="7" width="8.7109375" style="319" customWidth="1"/>
    <col min="8" max="8" width="50.7109375" style="9" customWidth="1"/>
    <col min="9" max="11" width="14.7109375" style="9" customWidth="1"/>
    <col min="12" max="13" width="14.7109375" style="314" customWidth="1"/>
    <col min="14" max="14" width="15.7109375" style="9" customWidth="1"/>
    <col min="15" max="15" width="7.7109375" style="380" customWidth="1"/>
    <col min="16" max="16384" width="9.140625" style="9"/>
  </cols>
  <sheetData>
    <row r="1" spans="1:18" ht="13.5" thickBot="1"/>
    <row r="2" spans="1:18" s="408" customFormat="1" ht="20.100000000000001" customHeight="1" thickTop="1" thickBot="1">
      <c r="B2" s="887" t="s">
        <v>740</v>
      </c>
      <c r="C2" s="888"/>
      <c r="D2" s="888"/>
      <c r="E2" s="888"/>
      <c r="F2" s="888"/>
      <c r="G2" s="888"/>
      <c r="H2" s="888"/>
      <c r="I2" s="888"/>
      <c r="J2" s="888"/>
      <c r="K2" s="888"/>
      <c r="L2" s="888"/>
      <c r="M2" s="888"/>
      <c r="N2" s="888"/>
      <c r="O2" s="412"/>
    </row>
    <row r="3" spans="1:18" s="1" customFormat="1" ht="8.1" customHeight="1" thickTop="1" thickBot="1">
      <c r="A3" s="311"/>
      <c r="E3" s="311"/>
      <c r="F3" s="2"/>
      <c r="G3" s="312"/>
      <c r="H3" s="890"/>
      <c r="I3" s="890"/>
      <c r="J3" s="282"/>
      <c r="K3" s="282"/>
      <c r="L3" s="107"/>
      <c r="M3" s="107"/>
      <c r="N3" s="107"/>
      <c r="O3" s="374"/>
    </row>
    <row r="4" spans="1:18" s="1" customFormat="1" ht="39" customHeight="1">
      <c r="A4" s="311"/>
      <c r="B4" s="894" t="s">
        <v>77</v>
      </c>
      <c r="C4" s="909" t="s">
        <v>78</v>
      </c>
      <c r="D4" s="910" t="s">
        <v>107</v>
      </c>
      <c r="E4" s="916" t="s">
        <v>828</v>
      </c>
      <c r="F4" s="911" t="s">
        <v>517</v>
      </c>
      <c r="G4" s="899" t="s">
        <v>556</v>
      </c>
      <c r="H4" s="900" t="s">
        <v>79</v>
      </c>
      <c r="I4" s="912" t="s">
        <v>697</v>
      </c>
      <c r="J4" s="913" t="s">
        <v>862</v>
      </c>
      <c r="K4" s="917" t="s">
        <v>863</v>
      </c>
      <c r="L4" s="908" t="s">
        <v>865</v>
      </c>
      <c r="M4" s="892"/>
      <c r="N4" s="893"/>
      <c r="O4" s="906" t="s">
        <v>866</v>
      </c>
      <c r="Q4" s="81"/>
    </row>
    <row r="5" spans="1:18" s="311" customFormat="1" ht="27" customHeight="1">
      <c r="B5" s="895"/>
      <c r="C5" s="897"/>
      <c r="D5" s="897"/>
      <c r="E5" s="897"/>
      <c r="F5" s="901"/>
      <c r="G5" s="897"/>
      <c r="H5" s="901"/>
      <c r="I5" s="901"/>
      <c r="J5" s="901"/>
      <c r="K5" s="905"/>
      <c r="L5" s="587" t="s">
        <v>601</v>
      </c>
      <c r="M5" s="404" t="s">
        <v>602</v>
      </c>
      <c r="N5" s="720" t="s">
        <v>349</v>
      </c>
      <c r="O5" s="907"/>
    </row>
    <row r="6" spans="1:18" s="2" customFormat="1" ht="12.95" customHeight="1">
      <c r="A6" s="312"/>
      <c r="B6" s="525">
        <v>1</v>
      </c>
      <c r="C6" s="361">
        <v>2</v>
      </c>
      <c r="D6" s="361">
        <v>3</v>
      </c>
      <c r="E6" s="361">
        <v>4</v>
      </c>
      <c r="F6" s="361">
        <v>5</v>
      </c>
      <c r="G6" s="361">
        <v>6</v>
      </c>
      <c r="H6" s="361">
        <v>7</v>
      </c>
      <c r="I6" s="361">
        <v>8</v>
      </c>
      <c r="J6" s="361">
        <v>9</v>
      </c>
      <c r="K6" s="526">
        <v>10</v>
      </c>
      <c r="L6" s="525">
        <v>11</v>
      </c>
      <c r="M6" s="361">
        <v>12</v>
      </c>
      <c r="N6" s="721" t="s">
        <v>830</v>
      </c>
      <c r="O6" s="527">
        <v>14</v>
      </c>
    </row>
    <row r="7" spans="1:18" s="2" customFormat="1" ht="12.95" customHeight="1">
      <c r="A7" s="312"/>
      <c r="B7" s="6" t="s">
        <v>120</v>
      </c>
      <c r="C7" s="7" t="s">
        <v>80</v>
      </c>
      <c r="D7" s="7" t="s">
        <v>81</v>
      </c>
      <c r="E7" s="667" t="s">
        <v>831</v>
      </c>
      <c r="F7" s="5"/>
      <c r="G7" s="313"/>
      <c r="H7" s="5"/>
      <c r="I7" s="5"/>
      <c r="J7" s="5"/>
      <c r="K7" s="574"/>
      <c r="L7" s="4"/>
      <c r="M7" s="313"/>
      <c r="N7" s="722"/>
      <c r="O7" s="375"/>
    </row>
    <row r="8" spans="1:18" s="1" customFormat="1" ht="12.95" customHeight="1">
      <c r="A8" s="311"/>
      <c r="B8" s="12"/>
      <c r="C8" s="8"/>
      <c r="D8" s="8"/>
      <c r="E8" s="8"/>
      <c r="F8" s="335">
        <v>611000</v>
      </c>
      <c r="G8" s="361"/>
      <c r="H8" s="8" t="s">
        <v>146</v>
      </c>
      <c r="I8" s="556">
        <f t="shared" ref="I8" si="0">SUM(I9:I12)</f>
        <v>350140</v>
      </c>
      <c r="J8" s="556">
        <f t="shared" ref="J8:L8" si="1">SUM(J9:J12)</f>
        <v>350140</v>
      </c>
      <c r="K8" s="556">
        <f>SUM(K9:K11)</f>
        <v>68010</v>
      </c>
      <c r="L8" s="573">
        <f t="shared" si="1"/>
        <v>301560</v>
      </c>
      <c r="M8" s="236">
        <f>SUM(M9:M12)</f>
        <v>0</v>
      </c>
      <c r="N8" s="723">
        <f>SUM(N9:N12)</f>
        <v>301560</v>
      </c>
      <c r="O8" s="376">
        <f>IF(J8=0,"",N8/J8*100)</f>
        <v>86.125549780087965</v>
      </c>
    </row>
    <row r="9" spans="1:18" ht="12.95" customHeight="1">
      <c r="B9" s="10"/>
      <c r="C9" s="11"/>
      <c r="D9" s="11"/>
      <c r="E9" s="316"/>
      <c r="F9" s="336">
        <v>611100</v>
      </c>
      <c r="G9" s="362"/>
      <c r="H9" s="20" t="s">
        <v>174</v>
      </c>
      <c r="I9" s="557">
        <v>277240</v>
      </c>
      <c r="J9" s="557">
        <v>277240</v>
      </c>
      <c r="K9" s="557">
        <v>56302</v>
      </c>
      <c r="L9" s="572">
        <f>229810+2000+760+6*750</f>
        <v>237070</v>
      </c>
      <c r="M9" s="235">
        <v>0</v>
      </c>
      <c r="N9" s="724">
        <f>SUM(L9:M9)</f>
        <v>237070</v>
      </c>
      <c r="O9" s="377">
        <f>IF(J9=0,"",N9/J9*100)</f>
        <v>85.510748809695571</v>
      </c>
      <c r="P9" s="55"/>
    </row>
    <row r="10" spans="1:18" ht="12.95" customHeight="1">
      <c r="B10" s="10"/>
      <c r="C10" s="11"/>
      <c r="D10" s="11"/>
      <c r="E10" s="316"/>
      <c r="F10" s="336">
        <v>611200</v>
      </c>
      <c r="G10" s="362"/>
      <c r="H10" s="11" t="s">
        <v>175</v>
      </c>
      <c r="I10" s="557">
        <v>72900</v>
      </c>
      <c r="J10" s="557">
        <v>72900</v>
      </c>
      <c r="K10" s="557">
        <v>11708</v>
      </c>
      <c r="L10" s="572">
        <f>59520+1000+1650+6*320+400</f>
        <v>64490</v>
      </c>
      <c r="M10" s="235">
        <v>0</v>
      </c>
      <c r="N10" s="724">
        <f t="shared" ref="N10:N11" si="2">SUM(L10:M10)</f>
        <v>64490</v>
      </c>
      <c r="O10" s="377">
        <f t="shared" ref="O10:O35" si="3">IF(J10=0,"",N10/J10*100)</f>
        <v>88.46364883401921</v>
      </c>
    </row>
    <row r="11" spans="1:18" ht="12.95" customHeight="1">
      <c r="B11" s="10"/>
      <c r="C11" s="11"/>
      <c r="D11" s="11"/>
      <c r="E11" s="316"/>
      <c r="F11" s="336">
        <v>611200</v>
      </c>
      <c r="G11" s="362"/>
      <c r="H11" s="210" t="s">
        <v>464</v>
      </c>
      <c r="I11" s="557">
        <f t="shared" ref="I11:L11" si="4">SUM(G11:H11)</f>
        <v>0</v>
      </c>
      <c r="J11" s="557">
        <f t="shared" si="4"/>
        <v>0</v>
      </c>
      <c r="K11" s="557">
        <v>0</v>
      </c>
      <c r="L11" s="572">
        <f t="shared" si="4"/>
        <v>0</v>
      </c>
      <c r="M11" s="235">
        <v>0</v>
      </c>
      <c r="N11" s="724">
        <f t="shared" si="2"/>
        <v>0</v>
      </c>
      <c r="O11" s="377" t="str">
        <f t="shared" si="3"/>
        <v/>
      </c>
      <c r="Q11" s="62"/>
    </row>
    <row r="12" spans="1:18" ht="12.95" customHeight="1">
      <c r="B12" s="10"/>
      <c r="C12" s="11"/>
      <c r="D12" s="11"/>
      <c r="E12" s="316"/>
      <c r="F12" s="336"/>
      <c r="G12" s="362"/>
      <c r="H12" s="20"/>
      <c r="I12" s="557"/>
      <c r="J12" s="557"/>
      <c r="K12" s="557"/>
      <c r="L12" s="572"/>
      <c r="M12" s="235"/>
      <c r="N12" s="724"/>
      <c r="O12" s="377" t="str">
        <f t="shared" si="3"/>
        <v/>
      </c>
      <c r="Q12" s="55"/>
    </row>
    <row r="13" spans="1:18" s="1" customFormat="1" ht="12.95" customHeight="1">
      <c r="A13" s="311"/>
      <c r="B13" s="12"/>
      <c r="C13" s="8"/>
      <c r="D13" s="8"/>
      <c r="E13" s="8"/>
      <c r="F13" s="335">
        <v>612000</v>
      </c>
      <c r="G13" s="361"/>
      <c r="H13" s="8" t="s">
        <v>145</v>
      </c>
      <c r="I13" s="556">
        <f t="shared" ref="I13:L13" si="5">I14</f>
        <v>28100</v>
      </c>
      <c r="J13" s="556">
        <f t="shared" si="5"/>
        <v>28100</v>
      </c>
      <c r="K13" s="556">
        <f>K14</f>
        <v>6150</v>
      </c>
      <c r="L13" s="573">
        <f t="shared" si="5"/>
        <v>26250</v>
      </c>
      <c r="M13" s="236">
        <f>M14</f>
        <v>0</v>
      </c>
      <c r="N13" s="723">
        <f>N14</f>
        <v>26250</v>
      </c>
      <c r="O13" s="376">
        <f t="shared" si="3"/>
        <v>93.416370106761576</v>
      </c>
      <c r="Q13" s="68"/>
      <c r="R13" s="68"/>
    </row>
    <row r="14" spans="1:18" ht="12.95" customHeight="1">
      <c r="B14" s="10"/>
      <c r="C14" s="11"/>
      <c r="D14" s="11"/>
      <c r="E14" s="316"/>
      <c r="F14" s="336">
        <v>612100</v>
      </c>
      <c r="G14" s="362"/>
      <c r="H14" s="13" t="s">
        <v>82</v>
      </c>
      <c r="I14" s="557">
        <v>28100</v>
      </c>
      <c r="J14" s="557">
        <v>28100</v>
      </c>
      <c r="K14" s="557">
        <v>6150</v>
      </c>
      <c r="L14" s="572">
        <f>24840+600+270+6*90</f>
        <v>26250</v>
      </c>
      <c r="M14" s="235">
        <v>0</v>
      </c>
      <c r="N14" s="724">
        <f>SUM(L14:M14)</f>
        <v>26250</v>
      </c>
      <c r="O14" s="377">
        <f t="shared" si="3"/>
        <v>93.416370106761576</v>
      </c>
    </row>
    <row r="15" spans="1:18" ht="12.95" customHeight="1">
      <c r="B15" s="10"/>
      <c r="C15" s="11"/>
      <c r="D15" s="11"/>
      <c r="E15" s="316"/>
      <c r="F15" s="336"/>
      <c r="G15" s="362"/>
      <c r="H15" s="11"/>
      <c r="I15" s="557"/>
      <c r="J15" s="557"/>
      <c r="K15" s="557"/>
      <c r="L15" s="572"/>
      <c r="M15" s="310"/>
      <c r="N15" s="725"/>
      <c r="O15" s="377" t="str">
        <f t="shared" si="3"/>
        <v/>
      </c>
    </row>
    <row r="16" spans="1:18" s="1" customFormat="1" ht="12.95" customHeight="1">
      <c r="A16" s="311"/>
      <c r="B16" s="12"/>
      <c r="C16" s="8"/>
      <c r="D16" s="8"/>
      <c r="E16" s="8"/>
      <c r="F16" s="335">
        <v>613000</v>
      </c>
      <c r="G16" s="361"/>
      <c r="H16" s="8" t="s">
        <v>147</v>
      </c>
      <c r="I16" s="556">
        <f t="shared" ref="I16" si="6">SUM(I17:I26)</f>
        <v>415500</v>
      </c>
      <c r="J16" s="556">
        <f t="shared" ref="J16:L16" si="7">SUM(J17:J26)</f>
        <v>415500</v>
      </c>
      <c r="K16" s="556">
        <f>SUM(K17:K26)</f>
        <v>85786</v>
      </c>
      <c r="L16" s="573">
        <f t="shared" si="7"/>
        <v>405000</v>
      </c>
      <c r="M16" s="323">
        <f>SUM(M17:M26)</f>
        <v>0</v>
      </c>
      <c r="N16" s="726">
        <f>SUM(N17:N26)</f>
        <v>405000</v>
      </c>
      <c r="O16" s="376">
        <f t="shared" si="3"/>
        <v>97.472924187725624</v>
      </c>
    </row>
    <row r="17" spans="1:16" ht="12.95" customHeight="1">
      <c r="B17" s="10"/>
      <c r="C17" s="11"/>
      <c r="D17" s="11"/>
      <c r="E17" s="316"/>
      <c r="F17" s="336">
        <v>613100</v>
      </c>
      <c r="G17" s="362"/>
      <c r="H17" s="11" t="s">
        <v>83</v>
      </c>
      <c r="I17" s="557">
        <v>8500</v>
      </c>
      <c r="J17" s="557">
        <v>8500</v>
      </c>
      <c r="K17" s="557">
        <v>42</v>
      </c>
      <c r="L17" s="572">
        <v>6000</v>
      </c>
      <c r="M17" s="396">
        <v>0</v>
      </c>
      <c r="N17" s="724">
        <f t="shared" ref="N17:N26" si="8">SUM(L17:M17)</f>
        <v>6000</v>
      </c>
      <c r="O17" s="377">
        <f t="shared" si="3"/>
        <v>70.588235294117652</v>
      </c>
    </row>
    <row r="18" spans="1:16" ht="12.95" customHeight="1">
      <c r="B18" s="10"/>
      <c r="C18" s="11"/>
      <c r="D18" s="11"/>
      <c r="E18" s="316"/>
      <c r="F18" s="336">
        <v>613200</v>
      </c>
      <c r="G18" s="362"/>
      <c r="H18" s="11" t="s">
        <v>84</v>
      </c>
      <c r="I18" s="557">
        <v>95000</v>
      </c>
      <c r="J18" s="557">
        <v>95000</v>
      </c>
      <c r="K18" s="557">
        <v>15418</v>
      </c>
      <c r="L18" s="572">
        <v>95000</v>
      </c>
      <c r="M18" s="393">
        <v>0</v>
      </c>
      <c r="N18" s="724">
        <f t="shared" si="8"/>
        <v>95000</v>
      </c>
      <c r="O18" s="377">
        <f t="shared" si="3"/>
        <v>100</v>
      </c>
    </row>
    <row r="19" spans="1:16" ht="12.95" customHeight="1">
      <c r="B19" s="10"/>
      <c r="C19" s="11"/>
      <c r="D19" s="11"/>
      <c r="E19" s="316"/>
      <c r="F19" s="336">
        <v>613300</v>
      </c>
      <c r="G19" s="362"/>
      <c r="H19" s="20" t="s">
        <v>176</v>
      </c>
      <c r="I19" s="557">
        <v>41000</v>
      </c>
      <c r="J19" s="557">
        <v>41000</v>
      </c>
      <c r="K19" s="557">
        <v>9879</v>
      </c>
      <c r="L19" s="572">
        <v>41000</v>
      </c>
      <c r="M19" s="393">
        <v>0</v>
      </c>
      <c r="N19" s="724">
        <f t="shared" si="8"/>
        <v>41000</v>
      </c>
      <c r="O19" s="377">
        <f t="shared" si="3"/>
        <v>100</v>
      </c>
    </row>
    <row r="20" spans="1:16" ht="12.95" customHeight="1">
      <c r="B20" s="10"/>
      <c r="C20" s="11"/>
      <c r="D20" s="11"/>
      <c r="E20" s="316"/>
      <c r="F20" s="336">
        <v>613400</v>
      </c>
      <c r="G20" s="362"/>
      <c r="H20" s="11" t="s">
        <v>148</v>
      </c>
      <c r="I20" s="557">
        <v>84000</v>
      </c>
      <c r="J20" s="557">
        <v>84000</v>
      </c>
      <c r="K20" s="557">
        <v>17616</v>
      </c>
      <c r="L20" s="572">
        <v>84000</v>
      </c>
      <c r="M20" s="393">
        <v>0</v>
      </c>
      <c r="N20" s="724">
        <f t="shared" si="8"/>
        <v>84000</v>
      </c>
      <c r="O20" s="377">
        <f t="shared" si="3"/>
        <v>100</v>
      </c>
    </row>
    <row r="21" spans="1:16" ht="12.95" customHeight="1">
      <c r="B21" s="10"/>
      <c r="C21" s="11"/>
      <c r="D21" s="11"/>
      <c r="E21" s="316"/>
      <c r="F21" s="336">
        <v>613500</v>
      </c>
      <c r="G21" s="362"/>
      <c r="H21" s="11" t="s">
        <v>85</v>
      </c>
      <c r="I21" s="557">
        <v>72000</v>
      </c>
      <c r="J21" s="557">
        <v>72000</v>
      </c>
      <c r="K21" s="557">
        <v>16645</v>
      </c>
      <c r="L21" s="572">
        <v>72000</v>
      </c>
      <c r="M21" s="393">
        <v>0</v>
      </c>
      <c r="N21" s="724">
        <f t="shared" si="8"/>
        <v>72000</v>
      </c>
      <c r="O21" s="377">
        <f t="shared" si="3"/>
        <v>100</v>
      </c>
    </row>
    <row r="22" spans="1:16" ht="12.95" customHeight="1">
      <c r="B22" s="10"/>
      <c r="C22" s="11"/>
      <c r="D22" s="11"/>
      <c r="E22" s="316"/>
      <c r="F22" s="336">
        <v>613600</v>
      </c>
      <c r="G22" s="362"/>
      <c r="H22" s="20" t="s">
        <v>177</v>
      </c>
      <c r="I22" s="557">
        <f t="shared" ref="I22:L26" si="9">SUM(G22:H22)</f>
        <v>0</v>
      </c>
      <c r="J22" s="557">
        <f t="shared" si="9"/>
        <v>0</v>
      </c>
      <c r="K22" s="557">
        <v>0</v>
      </c>
      <c r="L22" s="572">
        <f t="shared" si="9"/>
        <v>0</v>
      </c>
      <c r="M22" s="393">
        <v>0</v>
      </c>
      <c r="N22" s="724">
        <f t="shared" si="8"/>
        <v>0</v>
      </c>
      <c r="O22" s="377" t="str">
        <f t="shared" si="3"/>
        <v/>
      </c>
    </row>
    <row r="23" spans="1:16" ht="12.95" customHeight="1">
      <c r="B23" s="10"/>
      <c r="C23" s="11"/>
      <c r="D23" s="11"/>
      <c r="E23" s="316"/>
      <c r="F23" s="336">
        <v>613700</v>
      </c>
      <c r="G23" s="362"/>
      <c r="H23" s="11" t="s">
        <v>86</v>
      </c>
      <c r="I23" s="557">
        <v>41000</v>
      </c>
      <c r="J23" s="557">
        <v>41000</v>
      </c>
      <c r="K23" s="557">
        <v>5715</v>
      </c>
      <c r="L23" s="572">
        <v>41000</v>
      </c>
      <c r="M23" s="393">
        <v>0</v>
      </c>
      <c r="N23" s="724">
        <f t="shared" si="8"/>
        <v>41000</v>
      </c>
      <c r="O23" s="377">
        <f t="shared" si="3"/>
        <v>100</v>
      </c>
    </row>
    <row r="24" spans="1:16" ht="12.95" customHeight="1">
      <c r="B24" s="10"/>
      <c r="C24" s="11"/>
      <c r="D24" s="11"/>
      <c r="E24" s="316"/>
      <c r="F24" s="336">
        <v>613800</v>
      </c>
      <c r="G24" s="362"/>
      <c r="H24" s="11" t="s">
        <v>149</v>
      </c>
      <c r="I24" s="557">
        <v>9000</v>
      </c>
      <c r="J24" s="557">
        <v>9000</v>
      </c>
      <c r="K24" s="557">
        <v>1385</v>
      </c>
      <c r="L24" s="572">
        <v>9000</v>
      </c>
      <c r="M24" s="393">
        <v>0</v>
      </c>
      <c r="N24" s="724">
        <f t="shared" si="8"/>
        <v>9000</v>
      </c>
      <c r="O24" s="377">
        <f t="shared" si="3"/>
        <v>100</v>
      </c>
      <c r="P24" s="55"/>
    </row>
    <row r="25" spans="1:16" ht="12.95" customHeight="1">
      <c r="B25" s="10"/>
      <c r="C25" s="11"/>
      <c r="D25" s="11"/>
      <c r="E25" s="316"/>
      <c r="F25" s="336">
        <v>613900</v>
      </c>
      <c r="G25" s="362"/>
      <c r="H25" s="11" t="s">
        <v>150</v>
      </c>
      <c r="I25" s="557">
        <v>65000</v>
      </c>
      <c r="J25" s="557">
        <v>65000</v>
      </c>
      <c r="K25" s="557">
        <v>19086</v>
      </c>
      <c r="L25" s="572">
        <f>65000-8000</f>
        <v>57000</v>
      </c>
      <c r="M25" s="396">
        <v>0</v>
      </c>
      <c r="N25" s="724">
        <f t="shared" si="8"/>
        <v>57000</v>
      </c>
      <c r="O25" s="377">
        <f t="shared" si="3"/>
        <v>87.692307692307693</v>
      </c>
    </row>
    <row r="26" spans="1:16" ht="12.95" customHeight="1">
      <c r="B26" s="10"/>
      <c r="C26" s="11"/>
      <c r="D26" s="11"/>
      <c r="E26" s="316"/>
      <c r="F26" s="336">
        <v>613900</v>
      </c>
      <c r="G26" s="362"/>
      <c r="H26" s="210" t="s">
        <v>465</v>
      </c>
      <c r="I26" s="557">
        <f t="shared" si="9"/>
        <v>0</v>
      </c>
      <c r="J26" s="557">
        <f t="shared" si="9"/>
        <v>0</v>
      </c>
      <c r="K26" s="557">
        <v>0</v>
      </c>
      <c r="L26" s="572">
        <f t="shared" si="9"/>
        <v>0</v>
      </c>
      <c r="M26" s="395">
        <v>0</v>
      </c>
      <c r="N26" s="724">
        <f t="shared" si="8"/>
        <v>0</v>
      </c>
      <c r="O26" s="377" t="str">
        <f t="shared" si="3"/>
        <v/>
      </c>
    </row>
    <row r="27" spans="1:16" s="1" customFormat="1" ht="12.95" customHeight="1">
      <c r="A27" s="311"/>
      <c r="B27" s="12"/>
      <c r="C27" s="8"/>
      <c r="D27" s="8"/>
      <c r="E27" s="666"/>
      <c r="F27" s="346"/>
      <c r="G27" s="373"/>
      <c r="H27" s="8"/>
      <c r="I27" s="557"/>
      <c r="J27" s="557"/>
      <c r="K27" s="557"/>
      <c r="L27" s="572"/>
      <c r="M27" s="309"/>
      <c r="N27" s="725"/>
      <c r="O27" s="377" t="str">
        <f t="shared" si="3"/>
        <v/>
      </c>
    </row>
    <row r="28" spans="1:16" s="1" customFormat="1" ht="12.95" customHeight="1">
      <c r="A28" s="311"/>
      <c r="B28" s="12"/>
      <c r="C28" s="8"/>
      <c r="D28" s="8"/>
      <c r="E28" s="8"/>
      <c r="F28" s="335">
        <v>821000</v>
      </c>
      <c r="G28" s="361"/>
      <c r="H28" s="8" t="s">
        <v>89</v>
      </c>
      <c r="I28" s="556">
        <f t="shared" ref="I28" si="10">SUM(I29:I30)</f>
        <v>40000</v>
      </c>
      <c r="J28" s="556">
        <f t="shared" ref="J28:L28" si="11">SUM(J29:J30)</f>
        <v>40000</v>
      </c>
      <c r="K28" s="556">
        <f>SUM(K29:K30)</f>
        <v>82</v>
      </c>
      <c r="L28" s="573">
        <f t="shared" si="11"/>
        <v>40000</v>
      </c>
      <c r="M28" s="318">
        <f>SUM(M29:M30)</f>
        <v>0</v>
      </c>
      <c r="N28" s="726">
        <f>SUM(N29:N30)</f>
        <v>40000</v>
      </c>
      <c r="O28" s="376">
        <f t="shared" si="3"/>
        <v>100</v>
      </c>
    </row>
    <row r="29" spans="1:16" ht="12.95" customHeight="1">
      <c r="B29" s="10"/>
      <c r="C29" s="11"/>
      <c r="D29" s="11"/>
      <c r="E29" s="316"/>
      <c r="F29" s="336">
        <v>821200</v>
      </c>
      <c r="G29" s="362"/>
      <c r="H29" s="11" t="s">
        <v>90</v>
      </c>
      <c r="I29" s="557">
        <f t="shared" ref="I29:L29" si="12">SUM(G29:H29)</f>
        <v>0</v>
      </c>
      <c r="J29" s="557">
        <f t="shared" si="12"/>
        <v>0</v>
      </c>
      <c r="K29" s="557">
        <v>0</v>
      </c>
      <c r="L29" s="572">
        <f t="shared" si="12"/>
        <v>0</v>
      </c>
      <c r="M29" s="310">
        <v>0</v>
      </c>
      <c r="N29" s="724">
        <f t="shared" ref="N29:N30" si="13">SUM(L29:M29)</f>
        <v>0</v>
      </c>
      <c r="O29" s="377" t="str">
        <f t="shared" si="3"/>
        <v/>
      </c>
    </row>
    <row r="30" spans="1:16" ht="12.95" customHeight="1">
      <c r="B30" s="10"/>
      <c r="C30" s="11"/>
      <c r="D30" s="11"/>
      <c r="E30" s="316"/>
      <c r="F30" s="336">
        <v>821300</v>
      </c>
      <c r="G30" s="362"/>
      <c r="H30" s="11" t="s">
        <v>91</v>
      </c>
      <c r="I30" s="557">
        <v>40000</v>
      </c>
      <c r="J30" s="557">
        <v>40000</v>
      </c>
      <c r="K30" s="557">
        <v>82</v>
      </c>
      <c r="L30" s="572">
        <v>40000</v>
      </c>
      <c r="M30" s="310">
        <v>0</v>
      </c>
      <c r="N30" s="724">
        <f t="shared" si="13"/>
        <v>40000</v>
      </c>
      <c r="O30" s="377">
        <f t="shared" si="3"/>
        <v>100</v>
      </c>
    </row>
    <row r="31" spans="1:16" ht="12.95" customHeight="1">
      <c r="B31" s="10"/>
      <c r="C31" s="11"/>
      <c r="D31" s="11"/>
      <c r="E31" s="316"/>
      <c r="F31" s="336"/>
      <c r="G31" s="362"/>
      <c r="H31" s="11"/>
      <c r="I31" s="556"/>
      <c r="J31" s="556"/>
      <c r="K31" s="556"/>
      <c r="L31" s="573"/>
      <c r="M31" s="318"/>
      <c r="N31" s="726"/>
      <c r="O31" s="377" t="str">
        <f t="shared" si="3"/>
        <v/>
      </c>
    </row>
    <row r="32" spans="1:16" s="1" customFormat="1" ht="12.95" customHeight="1">
      <c r="A32" s="311"/>
      <c r="B32" s="12"/>
      <c r="C32" s="8"/>
      <c r="D32" s="8"/>
      <c r="E32" s="8"/>
      <c r="F32" s="335"/>
      <c r="G32" s="361"/>
      <c r="H32" s="8" t="s">
        <v>92</v>
      </c>
      <c r="I32" s="556">
        <v>20</v>
      </c>
      <c r="J32" s="556">
        <v>20</v>
      </c>
      <c r="K32" s="556">
        <v>17</v>
      </c>
      <c r="L32" s="573">
        <v>19</v>
      </c>
      <c r="M32" s="325"/>
      <c r="N32" s="726">
        <v>19</v>
      </c>
      <c r="O32" s="377"/>
    </row>
    <row r="33" spans="1:15" s="1" customFormat="1" ht="12.95" customHeight="1">
      <c r="A33" s="311"/>
      <c r="B33" s="12"/>
      <c r="C33" s="8"/>
      <c r="D33" s="8"/>
      <c r="E33" s="8"/>
      <c r="F33" s="335"/>
      <c r="G33" s="361"/>
      <c r="H33" s="8" t="s">
        <v>110</v>
      </c>
      <c r="I33" s="575">
        <f>I8+I13+I16+I28</f>
        <v>833740</v>
      </c>
      <c r="J33" s="318">
        <f>J8+J13+J16+J28</f>
        <v>833740</v>
      </c>
      <c r="K33" s="575">
        <f t="shared" ref="K33" si="14">K8+K13+K16+K28</f>
        <v>160028</v>
      </c>
      <c r="L33" s="582">
        <f>L8+L13+L16+L28</f>
        <v>772810</v>
      </c>
      <c r="M33" s="318">
        <f>M8+M13+M16+M28</f>
        <v>0</v>
      </c>
      <c r="N33" s="726">
        <f>N8+N13+N16+N28</f>
        <v>772810</v>
      </c>
      <c r="O33" s="376">
        <f t="shared" si="3"/>
        <v>92.691966320435625</v>
      </c>
    </row>
    <row r="34" spans="1:15" s="1" customFormat="1" ht="12.95" customHeight="1">
      <c r="A34" s="311"/>
      <c r="B34" s="12"/>
      <c r="C34" s="8"/>
      <c r="D34" s="8"/>
      <c r="E34" s="8"/>
      <c r="F34" s="335"/>
      <c r="G34" s="361"/>
      <c r="H34" s="8" t="s">
        <v>93</v>
      </c>
      <c r="I34" s="15">
        <f>I33</f>
        <v>833740</v>
      </c>
      <c r="J34" s="15">
        <f>J33</f>
        <v>833740</v>
      </c>
      <c r="K34" s="575">
        <f t="shared" ref="K34" si="15">K33</f>
        <v>160028</v>
      </c>
      <c r="L34" s="582">
        <f t="shared" ref="L34:N35" si="16">L33</f>
        <v>772810</v>
      </c>
      <c r="M34" s="318">
        <f t="shared" si="16"/>
        <v>0</v>
      </c>
      <c r="N34" s="726">
        <f t="shared" si="16"/>
        <v>772810</v>
      </c>
      <c r="O34" s="376">
        <f>IF(J34=0,"",N34/J34*100)</f>
        <v>92.691966320435625</v>
      </c>
    </row>
    <row r="35" spans="1:15" s="1" customFormat="1" ht="12.95" customHeight="1">
      <c r="A35" s="311"/>
      <c r="B35" s="12"/>
      <c r="C35" s="8"/>
      <c r="D35" s="8"/>
      <c r="E35" s="8"/>
      <c r="F35" s="335"/>
      <c r="G35" s="361"/>
      <c r="H35" s="8" t="s">
        <v>94</v>
      </c>
      <c r="I35" s="15">
        <f>I34</f>
        <v>833740</v>
      </c>
      <c r="J35" s="15">
        <f>J34</f>
        <v>833740</v>
      </c>
      <c r="K35" s="575">
        <f t="shared" ref="K35" si="17">K34</f>
        <v>160028</v>
      </c>
      <c r="L35" s="582">
        <f t="shared" si="16"/>
        <v>772810</v>
      </c>
      <c r="M35" s="318">
        <f t="shared" si="16"/>
        <v>0</v>
      </c>
      <c r="N35" s="726">
        <f t="shared" si="16"/>
        <v>772810</v>
      </c>
      <c r="O35" s="376">
        <f t="shared" si="3"/>
        <v>92.691966320435625</v>
      </c>
    </row>
    <row r="36" spans="1:15" ht="12.95" customHeight="1" thickBot="1">
      <c r="B36" s="16"/>
      <c r="C36" s="17"/>
      <c r="D36" s="17"/>
      <c r="E36" s="17"/>
      <c r="F36" s="337"/>
      <c r="G36" s="363"/>
      <c r="H36" s="17"/>
      <c r="I36" s="17"/>
      <c r="J36" s="17"/>
      <c r="K36" s="27"/>
      <c r="L36" s="16"/>
      <c r="M36" s="17"/>
      <c r="N36" s="735"/>
      <c r="O36" s="379"/>
    </row>
    <row r="37" spans="1:15" ht="12.95" customHeight="1">
      <c r="F37" s="338"/>
      <c r="G37" s="364"/>
      <c r="N37" s="423"/>
    </row>
    <row r="38" spans="1:15" ht="12.95" customHeight="1">
      <c r="B38" s="55"/>
      <c r="F38" s="338"/>
      <c r="G38" s="364"/>
      <c r="N38" s="423"/>
    </row>
    <row r="39" spans="1:15" ht="12.95" customHeight="1">
      <c r="B39" s="55"/>
      <c r="F39" s="338"/>
      <c r="G39" s="364"/>
      <c r="N39" s="423"/>
    </row>
    <row r="40" spans="1:15" ht="12.95" customHeight="1">
      <c r="B40" s="55"/>
      <c r="F40" s="338"/>
      <c r="G40" s="364"/>
      <c r="N40" s="423"/>
    </row>
    <row r="41" spans="1:15" ht="12.95" customHeight="1">
      <c r="B41" s="55"/>
      <c r="F41" s="338"/>
      <c r="G41" s="364"/>
      <c r="N41" s="423"/>
    </row>
    <row r="42" spans="1:15" ht="12.95" customHeight="1">
      <c r="F42" s="338"/>
      <c r="G42" s="364"/>
      <c r="N42" s="423"/>
    </row>
    <row r="43" spans="1:15" ht="12.95" customHeight="1">
      <c r="F43" s="338"/>
      <c r="G43" s="364"/>
      <c r="N43" s="423"/>
    </row>
    <row r="44" spans="1:15" ht="12.95" customHeight="1">
      <c r="F44" s="338"/>
      <c r="G44" s="364"/>
      <c r="N44" s="423"/>
    </row>
    <row r="45" spans="1:15" ht="12.95" customHeight="1">
      <c r="F45" s="338"/>
      <c r="G45" s="364"/>
      <c r="N45" s="423"/>
    </row>
    <row r="46" spans="1:15" ht="12.95" customHeight="1">
      <c r="F46" s="338"/>
      <c r="G46" s="364"/>
      <c r="N46" s="423"/>
    </row>
    <row r="47" spans="1:15" ht="12.95" customHeight="1">
      <c r="F47" s="338"/>
      <c r="G47" s="364"/>
      <c r="N47" s="423"/>
    </row>
    <row r="48" spans="1:15" ht="12.95" customHeight="1">
      <c r="F48" s="338"/>
      <c r="G48" s="364"/>
      <c r="N48" s="423"/>
    </row>
    <row r="49" spans="6:14" ht="12.95" customHeight="1">
      <c r="F49" s="338"/>
      <c r="G49" s="364"/>
      <c r="N49" s="423"/>
    </row>
    <row r="50" spans="6:14" ht="12.95" customHeight="1">
      <c r="F50" s="338"/>
      <c r="G50" s="364"/>
      <c r="N50" s="423"/>
    </row>
    <row r="51" spans="6:14" ht="12.95" customHeight="1">
      <c r="F51" s="338"/>
      <c r="G51" s="364"/>
      <c r="N51" s="423"/>
    </row>
    <row r="52" spans="6:14" ht="12.95" customHeight="1">
      <c r="F52" s="338"/>
      <c r="G52" s="364"/>
      <c r="N52" s="423"/>
    </row>
    <row r="53" spans="6:14" ht="12.95" customHeight="1">
      <c r="F53" s="338"/>
      <c r="G53" s="364"/>
      <c r="N53" s="423"/>
    </row>
    <row r="54" spans="6:14" ht="12.95" customHeight="1">
      <c r="F54" s="338"/>
      <c r="G54" s="364"/>
      <c r="N54" s="423"/>
    </row>
    <row r="55" spans="6:14" ht="12.95" customHeight="1">
      <c r="F55" s="338"/>
      <c r="G55" s="364"/>
      <c r="N55" s="423"/>
    </row>
    <row r="56" spans="6:14" ht="12.95" customHeight="1">
      <c r="F56" s="338"/>
      <c r="G56" s="364"/>
      <c r="N56" s="423"/>
    </row>
    <row r="57" spans="6:14" ht="12.95" customHeight="1">
      <c r="F57" s="338"/>
      <c r="G57" s="364"/>
      <c r="N57" s="423"/>
    </row>
    <row r="58" spans="6:14" ht="12.95" customHeight="1">
      <c r="F58" s="338"/>
      <c r="G58" s="364"/>
      <c r="N58" s="423"/>
    </row>
    <row r="59" spans="6:14" ht="12.95" customHeight="1">
      <c r="F59" s="338"/>
      <c r="G59" s="364"/>
      <c r="N59" s="423"/>
    </row>
    <row r="60" spans="6:14" ht="17.100000000000001" customHeight="1">
      <c r="F60" s="338"/>
      <c r="G60" s="364"/>
      <c r="N60" s="423"/>
    </row>
    <row r="61" spans="6:14" ht="14.25">
      <c r="F61" s="338"/>
      <c r="G61" s="364"/>
      <c r="N61" s="423"/>
    </row>
    <row r="62" spans="6:14" ht="14.25">
      <c r="F62" s="338"/>
      <c r="G62" s="364"/>
      <c r="N62" s="423"/>
    </row>
    <row r="63" spans="6:14" ht="14.25">
      <c r="F63" s="338"/>
      <c r="G63" s="364"/>
      <c r="N63" s="423"/>
    </row>
    <row r="64" spans="6:14" ht="14.25">
      <c r="F64" s="338"/>
      <c r="G64" s="364"/>
      <c r="N64" s="423"/>
    </row>
    <row r="65" spans="6:14" ht="14.25">
      <c r="F65" s="338"/>
      <c r="G65" s="364"/>
      <c r="N65" s="423"/>
    </row>
    <row r="66" spans="6:14" ht="14.25">
      <c r="F66" s="338"/>
      <c r="G66" s="364"/>
      <c r="N66" s="423"/>
    </row>
    <row r="67" spans="6:14" ht="14.25">
      <c r="F67" s="338"/>
      <c r="G67" s="364"/>
      <c r="N67" s="423"/>
    </row>
    <row r="68" spans="6:14" ht="14.25">
      <c r="F68" s="338"/>
      <c r="G68" s="364"/>
      <c r="N68" s="423"/>
    </row>
    <row r="69" spans="6:14" ht="14.25">
      <c r="F69" s="338"/>
      <c r="G69" s="364"/>
      <c r="N69" s="423"/>
    </row>
    <row r="70" spans="6:14" ht="14.25">
      <c r="F70" s="338"/>
      <c r="G70" s="364"/>
      <c r="N70" s="423"/>
    </row>
    <row r="71" spans="6:14" ht="14.25">
      <c r="F71" s="338"/>
      <c r="G71" s="364"/>
      <c r="N71" s="423"/>
    </row>
    <row r="72" spans="6:14" ht="14.25">
      <c r="F72" s="338"/>
      <c r="G72" s="364"/>
      <c r="N72" s="423"/>
    </row>
    <row r="73" spans="6:14" ht="14.25">
      <c r="F73" s="338"/>
      <c r="G73" s="364"/>
      <c r="N73" s="423"/>
    </row>
    <row r="74" spans="6:14" ht="14.25">
      <c r="F74" s="338"/>
      <c r="G74" s="338"/>
      <c r="N74" s="423"/>
    </row>
    <row r="75" spans="6:14" ht="14.25">
      <c r="F75" s="338"/>
      <c r="G75" s="338"/>
      <c r="N75" s="423"/>
    </row>
    <row r="76" spans="6:14" ht="14.25">
      <c r="F76" s="338"/>
      <c r="G76" s="338"/>
      <c r="N76" s="423"/>
    </row>
    <row r="77" spans="6:14" ht="14.25">
      <c r="F77" s="338"/>
      <c r="G77" s="338"/>
      <c r="N77" s="423"/>
    </row>
    <row r="78" spans="6:14" ht="14.25">
      <c r="F78" s="338"/>
      <c r="G78" s="338"/>
      <c r="N78" s="423"/>
    </row>
    <row r="79" spans="6:14" ht="14.25">
      <c r="F79" s="338"/>
      <c r="G79" s="338"/>
      <c r="N79" s="423"/>
    </row>
    <row r="80" spans="6:14" ht="14.25">
      <c r="F80" s="338"/>
      <c r="G80" s="338"/>
      <c r="N80" s="423"/>
    </row>
    <row r="81" spans="6:14" ht="14.25">
      <c r="F81" s="338"/>
      <c r="G81" s="338"/>
      <c r="N81" s="423"/>
    </row>
    <row r="82" spans="6:14" ht="14.25">
      <c r="F82" s="338"/>
      <c r="G82" s="338"/>
      <c r="N82" s="423"/>
    </row>
    <row r="83" spans="6:14" ht="14.25">
      <c r="F83" s="338"/>
      <c r="G83" s="338"/>
      <c r="N83" s="423"/>
    </row>
    <row r="84" spans="6:14" ht="14.25">
      <c r="F84" s="338"/>
      <c r="G84" s="338"/>
      <c r="N84" s="423"/>
    </row>
    <row r="85" spans="6:14" ht="14.25">
      <c r="F85" s="338"/>
      <c r="G85" s="338"/>
      <c r="N85" s="423"/>
    </row>
    <row r="86" spans="6:14" ht="14.25">
      <c r="F86" s="338"/>
      <c r="G86" s="338"/>
      <c r="N86" s="423"/>
    </row>
    <row r="87" spans="6:14" ht="14.25">
      <c r="F87" s="338"/>
      <c r="G87" s="338"/>
      <c r="N87" s="423"/>
    </row>
    <row r="88" spans="6:14" ht="14.25">
      <c r="F88" s="338"/>
      <c r="G88" s="338"/>
      <c r="N88" s="423"/>
    </row>
    <row r="89" spans="6:14" ht="14.25">
      <c r="F89" s="338"/>
      <c r="G89" s="338"/>
      <c r="N89" s="423"/>
    </row>
    <row r="90" spans="6:14" ht="14.25">
      <c r="F90" s="338"/>
      <c r="G90" s="338"/>
      <c r="N90" s="423"/>
    </row>
    <row r="91" spans="6:14">
      <c r="G91" s="338"/>
    </row>
    <row r="92" spans="6:14">
      <c r="G92" s="338"/>
    </row>
    <row r="93" spans="6:14">
      <c r="G93" s="338"/>
    </row>
    <row r="94" spans="6:14">
      <c r="G94" s="338"/>
    </row>
    <row r="95" spans="6:14">
      <c r="G95" s="338"/>
    </row>
    <row r="96" spans="6:14">
      <c r="G96" s="338"/>
    </row>
  </sheetData>
  <mergeCells count="14">
    <mergeCell ref="O4:O5"/>
    <mergeCell ref="H4:H5"/>
    <mergeCell ref="B2:N2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K4:K5"/>
    <mergeCell ref="E4:E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2"/>
  <dimension ref="A1:Q96"/>
  <sheetViews>
    <sheetView zoomScaleNormal="100" workbookViewId="0">
      <selection activeCell="R30" sqref="R30"/>
    </sheetView>
  </sheetViews>
  <sheetFormatPr defaultRowHeight="12.75"/>
  <cols>
    <col min="1" max="1" width="9.140625" style="314"/>
    <col min="2" max="2" width="4.7109375" style="9" customWidth="1"/>
    <col min="3" max="3" width="5.140625" style="9" customWidth="1"/>
    <col min="4" max="4" width="5" style="9" customWidth="1"/>
    <col min="5" max="5" width="5" style="314" customWidth="1"/>
    <col min="6" max="6" width="8.7109375" style="18" customWidth="1"/>
    <col min="7" max="7" width="8.7109375" style="319" customWidth="1"/>
    <col min="8" max="8" width="50.7109375" style="9" customWidth="1"/>
    <col min="9" max="11" width="14.7109375" style="9" customWidth="1"/>
    <col min="12" max="13" width="14.7109375" style="314" customWidth="1"/>
    <col min="14" max="14" width="15.7109375" style="9" customWidth="1"/>
    <col min="15" max="15" width="7.7109375" style="380" customWidth="1"/>
    <col min="16" max="16" width="9.140625" style="9"/>
    <col min="17" max="17" width="9.5703125" style="9" bestFit="1" customWidth="1"/>
    <col min="18" max="16384" width="9.140625" style="9"/>
  </cols>
  <sheetData>
    <row r="1" spans="1:17" ht="13.5" thickBot="1"/>
    <row r="2" spans="1:17" s="113" customFormat="1" ht="20.100000000000001" customHeight="1" thickTop="1" thickBot="1">
      <c r="A2" s="408"/>
      <c r="B2" s="887" t="s">
        <v>121</v>
      </c>
      <c r="C2" s="888"/>
      <c r="D2" s="888"/>
      <c r="E2" s="888"/>
      <c r="F2" s="888"/>
      <c r="G2" s="888"/>
      <c r="H2" s="888"/>
      <c r="I2" s="888"/>
      <c r="J2" s="888"/>
      <c r="K2" s="888"/>
      <c r="L2" s="888"/>
      <c r="M2" s="888"/>
      <c r="N2" s="888"/>
      <c r="O2" s="412"/>
      <c r="Q2" s="408"/>
    </row>
    <row r="3" spans="1:17" s="1" customFormat="1" ht="8.1" customHeight="1" thickTop="1" thickBot="1">
      <c r="A3" s="311"/>
      <c r="E3" s="311"/>
      <c r="F3" s="2"/>
      <c r="G3" s="312"/>
      <c r="H3" s="890"/>
      <c r="I3" s="890"/>
      <c r="J3" s="282"/>
      <c r="K3" s="282"/>
      <c r="L3" s="107"/>
      <c r="M3" s="107"/>
      <c r="N3" s="107"/>
      <c r="O3" s="374"/>
    </row>
    <row r="4" spans="1:17" s="1" customFormat="1" ht="39" customHeight="1">
      <c r="A4" s="311"/>
      <c r="B4" s="894" t="s">
        <v>77</v>
      </c>
      <c r="C4" s="909" t="s">
        <v>78</v>
      </c>
      <c r="D4" s="910" t="s">
        <v>107</v>
      </c>
      <c r="E4" s="916" t="s">
        <v>828</v>
      </c>
      <c r="F4" s="911" t="s">
        <v>517</v>
      </c>
      <c r="G4" s="899" t="s">
        <v>556</v>
      </c>
      <c r="H4" s="900" t="s">
        <v>79</v>
      </c>
      <c r="I4" s="912" t="s">
        <v>697</v>
      </c>
      <c r="J4" s="913" t="s">
        <v>862</v>
      </c>
      <c r="K4" s="917" t="s">
        <v>863</v>
      </c>
      <c r="L4" s="908" t="s">
        <v>865</v>
      </c>
      <c r="M4" s="892"/>
      <c r="N4" s="893"/>
      <c r="O4" s="906" t="s">
        <v>866</v>
      </c>
      <c r="Q4" s="81"/>
    </row>
    <row r="5" spans="1:17" s="311" customFormat="1" ht="27" customHeight="1">
      <c r="B5" s="895"/>
      <c r="C5" s="897"/>
      <c r="D5" s="897"/>
      <c r="E5" s="897"/>
      <c r="F5" s="901"/>
      <c r="G5" s="897"/>
      <c r="H5" s="901"/>
      <c r="I5" s="901"/>
      <c r="J5" s="901"/>
      <c r="K5" s="905"/>
      <c r="L5" s="587" t="s">
        <v>601</v>
      </c>
      <c r="M5" s="404" t="s">
        <v>602</v>
      </c>
      <c r="N5" s="720" t="s">
        <v>349</v>
      </c>
      <c r="O5" s="907"/>
    </row>
    <row r="6" spans="1:17" s="2" customFormat="1" ht="12.95" customHeight="1">
      <c r="A6" s="312"/>
      <c r="B6" s="525">
        <v>1</v>
      </c>
      <c r="C6" s="361">
        <v>2</v>
      </c>
      <c r="D6" s="361">
        <v>3</v>
      </c>
      <c r="E6" s="361">
        <v>4</v>
      </c>
      <c r="F6" s="361">
        <v>5</v>
      </c>
      <c r="G6" s="361">
        <v>6</v>
      </c>
      <c r="H6" s="361">
        <v>7</v>
      </c>
      <c r="I6" s="361">
        <v>8</v>
      </c>
      <c r="J6" s="361">
        <v>9</v>
      </c>
      <c r="K6" s="526">
        <v>10</v>
      </c>
      <c r="L6" s="525">
        <v>11</v>
      </c>
      <c r="M6" s="361">
        <v>12</v>
      </c>
      <c r="N6" s="721" t="s">
        <v>830</v>
      </c>
      <c r="O6" s="527">
        <v>14</v>
      </c>
    </row>
    <row r="7" spans="1:17" s="2" customFormat="1" ht="12.95" customHeight="1">
      <c r="A7" s="312"/>
      <c r="B7" s="6" t="s">
        <v>122</v>
      </c>
      <c r="C7" s="7" t="s">
        <v>80</v>
      </c>
      <c r="D7" s="7" t="s">
        <v>81</v>
      </c>
      <c r="E7" s="667" t="s">
        <v>832</v>
      </c>
      <c r="F7" s="5"/>
      <c r="G7" s="313"/>
      <c r="H7" s="5"/>
      <c r="I7" s="574"/>
      <c r="J7" s="313"/>
      <c r="K7" s="574"/>
      <c r="L7" s="4"/>
      <c r="M7" s="313"/>
      <c r="N7" s="722"/>
      <c r="O7" s="375"/>
    </row>
    <row r="8" spans="1:17" s="1" customFormat="1" ht="12.95" customHeight="1">
      <c r="A8" s="311"/>
      <c r="B8" s="12"/>
      <c r="C8" s="8"/>
      <c r="D8" s="8"/>
      <c r="E8" s="8"/>
      <c r="F8" s="335">
        <v>611000</v>
      </c>
      <c r="G8" s="361"/>
      <c r="H8" s="8" t="s">
        <v>146</v>
      </c>
      <c r="I8" s="738">
        <f t="shared" ref="I8:N8" si="0">SUM(I9:I12)</f>
        <v>5374050</v>
      </c>
      <c r="J8" s="738">
        <f t="shared" si="0"/>
        <v>5374050</v>
      </c>
      <c r="K8" s="744">
        <f t="shared" si="0"/>
        <v>1248301</v>
      </c>
      <c r="L8" s="578">
        <f t="shared" si="0"/>
        <v>5292540</v>
      </c>
      <c r="M8" s="236">
        <f t="shared" si="0"/>
        <v>0</v>
      </c>
      <c r="N8" s="723">
        <f t="shared" si="0"/>
        <v>5292540</v>
      </c>
      <c r="O8" s="376">
        <f>IF(J8=0,"",N8/J8*100)</f>
        <v>98.483266809947807</v>
      </c>
      <c r="Q8" s="64"/>
    </row>
    <row r="9" spans="1:17" ht="12.95" customHeight="1">
      <c r="B9" s="10"/>
      <c r="C9" s="11"/>
      <c r="D9" s="11"/>
      <c r="E9" s="316"/>
      <c r="F9" s="336">
        <v>611100</v>
      </c>
      <c r="G9" s="362"/>
      <c r="H9" s="20" t="s">
        <v>174</v>
      </c>
      <c r="I9" s="739">
        <f>4231260+10*10*1240+9*1*1430+9*2*1140+11*730+10000+105790</f>
        <v>4512470</v>
      </c>
      <c r="J9" s="739">
        <f>4231260+10*10*1240+9*1*1430+9*2*1140+11*730+10000+105790</f>
        <v>4512470</v>
      </c>
      <c r="K9" s="741">
        <v>1058613</v>
      </c>
      <c r="L9" s="579">
        <f>4376720+10000+5*1140+14360+7*760</f>
        <v>4412100</v>
      </c>
      <c r="M9" s="235">
        <v>0</v>
      </c>
      <c r="N9" s="724">
        <f>SUM(L9:M9)</f>
        <v>4412100</v>
      </c>
      <c r="O9" s="377">
        <f>IF(J9=0,"",N9/J9*100)</f>
        <v>97.775719284560338</v>
      </c>
      <c r="P9" s="79"/>
    </row>
    <row r="10" spans="1:17" ht="12.95" customHeight="1">
      <c r="B10" s="10"/>
      <c r="C10" s="11"/>
      <c r="D10" s="11"/>
      <c r="E10" s="316"/>
      <c r="F10" s="336">
        <v>611200</v>
      </c>
      <c r="G10" s="362"/>
      <c r="H10" s="11" t="s">
        <v>175</v>
      </c>
      <c r="I10" s="739">
        <f>775970+10*9*21*15+3*8*21*15+13*400+23000+11*1500+5000</f>
        <v>861580</v>
      </c>
      <c r="J10" s="739">
        <f>775970+10*9*21*15+3*8*21*15+13*400+23000+11*1500+5000</f>
        <v>861580</v>
      </c>
      <c r="K10" s="741">
        <v>189688</v>
      </c>
      <c r="L10" s="579">
        <f>837980+6000+1580+23330+7*1650</f>
        <v>880440</v>
      </c>
      <c r="M10" s="235">
        <v>0</v>
      </c>
      <c r="N10" s="724">
        <f t="shared" ref="N10:N11" si="1">SUM(L10:M10)</f>
        <v>880440</v>
      </c>
      <c r="O10" s="377">
        <f t="shared" ref="O10:O35" si="2">IF(J10=0,"",N10/J10*100)</f>
        <v>102.1890016017085</v>
      </c>
      <c r="P10" s="80"/>
    </row>
    <row r="11" spans="1:17" ht="12.95" customHeight="1">
      <c r="B11" s="10"/>
      <c r="C11" s="11"/>
      <c r="D11" s="11"/>
      <c r="E11" s="316"/>
      <c r="F11" s="336">
        <v>611200</v>
      </c>
      <c r="G11" s="362"/>
      <c r="H11" s="210" t="s">
        <v>464</v>
      </c>
      <c r="I11" s="739">
        <v>0</v>
      </c>
      <c r="J11" s="739">
        <v>0</v>
      </c>
      <c r="K11" s="741">
        <v>0</v>
      </c>
      <c r="L11" s="579">
        <v>0</v>
      </c>
      <c r="M11" s="235">
        <v>0</v>
      </c>
      <c r="N11" s="724">
        <f t="shared" si="1"/>
        <v>0</v>
      </c>
      <c r="O11" s="377" t="str">
        <f t="shared" si="2"/>
        <v/>
      </c>
      <c r="Q11" s="62"/>
    </row>
    <row r="12" spans="1:17" ht="12.95" customHeight="1">
      <c r="B12" s="10"/>
      <c r="C12" s="11"/>
      <c r="D12" s="11"/>
      <c r="E12" s="316"/>
      <c r="F12" s="336"/>
      <c r="G12" s="362"/>
      <c r="H12" s="20"/>
      <c r="I12" s="739"/>
      <c r="J12" s="739"/>
      <c r="K12" s="741"/>
      <c r="L12" s="579"/>
      <c r="M12" s="235"/>
      <c r="N12" s="724"/>
      <c r="O12" s="377" t="str">
        <f t="shared" si="2"/>
        <v/>
      </c>
      <c r="P12" s="80"/>
    </row>
    <row r="13" spans="1:17" s="1" customFormat="1" ht="12.95" customHeight="1">
      <c r="A13" s="311"/>
      <c r="B13" s="12"/>
      <c r="C13" s="8"/>
      <c r="D13" s="8"/>
      <c r="E13" s="8"/>
      <c r="F13" s="335">
        <v>612000</v>
      </c>
      <c r="G13" s="361"/>
      <c r="H13" s="8" t="s">
        <v>145</v>
      </c>
      <c r="I13" s="738">
        <f t="shared" ref="I13:N13" si="3">I14</f>
        <v>701520</v>
      </c>
      <c r="J13" s="738">
        <f t="shared" si="3"/>
        <v>701520</v>
      </c>
      <c r="K13" s="744">
        <f t="shared" si="3"/>
        <v>164743</v>
      </c>
      <c r="L13" s="578">
        <f t="shared" si="3"/>
        <v>687980</v>
      </c>
      <c r="M13" s="236">
        <f t="shared" si="3"/>
        <v>0</v>
      </c>
      <c r="N13" s="723">
        <f t="shared" si="3"/>
        <v>687980</v>
      </c>
      <c r="O13" s="376">
        <f t="shared" si="2"/>
        <v>98.069905348386371</v>
      </c>
      <c r="P13" s="81"/>
    </row>
    <row r="14" spans="1:17" ht="12.95" customHeight="1">
      <c r="B14" s="10"/>
      <c r="C14" s="11"/>
      <c r="D14" s="11"/>
      <c r="E14" s="316"/>
      <c r="F14" s="336">
        <v>612100</v>
      </c>
      <c r="G14" s="362"/>
      <c r="H14" s="13" t="s">
        <v>82</v>
      </c>
      <c r="I14" s="739">
        <f>654360+10*10*220+2*9*160+1*9*130+11*250+2000+16360</f>
        <v>701520</v>
      </c>
      <c r="J14" s="739">
        <f>654360+10*10*220+2*9*160+1*9*130+11*250+2000+16360</f>
        <v>701520</v>
      </c>
      <c r="K14" s="741">
        <v>164743</v>
      </c>
      <c r="L14" s="579">
        <f>680440+5000+5*130+7*270</f>
        <v>687980</v>
      </c>
      <c r="M14" s="235">
        <v>0</v>
      </c>
      <c r="N14" s="724">
        <f>SUM(L14:M14)</f>
        <v>687980</v>
      </c>
      <c r="O14" s="377">
        <f t="shared" si="2"/>
        <v>98.069905348386371</v>
      </c>
      <c r="P14" s="79"/>
    </row>
    <row r="15" spans="1:17" ht="12.95" customHeight="1">
      <c r="B15" s="10"/>
      <c r="C15" s="11"/>
      <c r="D15" s="11"/>
      <c r="E15" s="316"/>
      <c r="F15" s="336"/>
      <c r="G15" s="362"/>
      <c r="H15" s="20"/>
      <c r="I15" s="740"/>
      <c r="J15" s="740"/>
      <c r="K15" s="741"/>
      <c r="L15" s="583"/>
      <c r="M15" s="310"/>
      <c r="N15" s="725"/>
      <c r="O15" s="377" t="str">
        <f t="shared" si="2"/>
        <v/>
      </c>
      <c r="P15" s="80"/>
    </row>
    <row r="16" spans="1:17" s="1" customFormat="1" ht="12.95" customHeight="1">
      <c r="A16" s="311"/>
      <c r="B16" s="12"/>
      <c r="C16" s="8"/>
      <c r="D16" s="8"/>
      <c r="E16" s="8"/>
      <c r="F16" s="335">
        <v>613000</v>
      </c>
      <c r="G16" s="361"/>
      <c r="H16" s="8" t="s">
        <v>147</v>
      </c>
      <c r="I16" s="632">
        <f t="shared" ref="I16:N16" si="4">SUM(I17:I26)</f>
        <v>785500</v>
      </c>
      <c r="J16" s="632">
        <f t="shared" si="4"/>
        <v>785500</v>
      </c>
      <c r="K16" s="744">
        <f t="shared" si="4"/>
        <v>180484</v>
      </c>
      <c r="L16" s="588">
        <f t="shared" si="4"/>
        <v>720800</v>
      </c>
      <c r="M16" s="325">
        <f t="shared" si="4"/>
        <v>0</v>
      </c>
      <c r="N16" s="726">
        <f t="shared" si="4"/>
        <v>720800</v>
      </c>
      <c r="O16" s="376">
        <f t="shared" si="2"/>
        <v>91.763208147676636</v>
      </c>
    </row>
    <row r="17" spans="1:17" ht="12.95" customHeight="1">
      <c r="B17" s="10"/>
      <c r="C17" s="11"/>
      <c r="D17" s="11"/>
      <c r="E17" s="316"/>
      <c r="F17" s="336">
        <v>613100</v>
      </c>
      <c r="G17" s="362"/>
      <c r="H17" s="11" t="s">
        <v>83</v>
      </c>
      <c r="I17" s="741">
        <v>14500</v>
      </c>
      <c r="J17" s="741">
        <v>14500</v>
      </c>
      <c r="K17" s="741">
        <v>1314</v>
      </c>
      <c r="L17" s="568">
        <f>14500-2500</f>
        <v>12000</v>
      </c>
      <c r="M17" s="396">
        <v>0</v>
      </c>
      <c r="N17" s="724">
        <f t="shared" ref="N17:N26" si="5">SUM(L17:M17)</f>
        <v>12000</v>
      </c>
      <c r="O17" s="377">
        <f t="shared" si="2"/>
        <v>82.758620689655174</v>
      </c>
      <c r="Q17" s="63"/>
    </row>
    <row r="18" spans="1:17" ht="12.95" customHeight="1">
      <c r="B18" s="10"/>
      <c r="C18" s="11"/>
      <c r="D18" s="11"/>
      <c r="E18" s="316"/>
      <c r="F18" s="336">
        <v>613200</v>
      </c>
      <c r="G18" s="362"/>
      <c r="H18" s="11" t="s">
        <v>84</v>
      </c>
      <c r="I18" s="741">
        <v>90000</v>
      </c>
      <c r="J18" s="741">
        <v>90000</v>
      </c>
      <c r="K18" s="741">
        <v>29614</v>
      </c>
      <c r="L18" s="568">
        <v>90000</v>
      </c>
      <c r="M18" s="396">
        <v>0</v>
      </c>
      <c r="N18" s="724">
        <f t="shared" si="5"/>
        <v>90000</v>
      </c>
      <c r="O18" s="377">
        <f t="shared" si="2"/>
        <v>100</v>
      </c>
    </row>
    <row r="19" spans="1:17" ht="12.95" customHeight="1">
      <c r="B19" s="10"/>
      <c r="C19" s="11"/>
      <c r="D19" s="11"/>
      <c r="E19" s="316"/>
      <c r="F19" s="336">
        <v>613300</v>
      </c>
      <c r="G19" s="362"/>
      <c r="H19" s="20" t="s">
        <v>176</v>
      </c>
      <c r="I19" s="741">
        <v>92000</v>
      </c>
      <c r="J19" s="741">
        <v>92000</v>
      </c>
      <c r="K19" s="741">
        <v>19152</v>
      </c>
      <c r="L19" s="568">
        <v>92000</v>
      </c>
      <c r="M19" s="396">
        <v>0</v>
      </c>
      <c r="N19" s="724">
        <f t="shared" si="5"/>
        <v>92000</v>
      </c>
      <c r="O19" s="377">
        <f t="shared" si="2"/>
        <v>100</v>
      </c>
    </row>
    <row r="20" spans="1:17" ht="12.95" customHeight="1">
      <c r="B20" s="10"/>
      <c r="C20" s="11"/>
      <c r="D20" s="11"/>
      <c r="E20" s="316"/>
      <c r="F20" s="336">
        <v>613400</v>
      </c>
      <c r="G20" s="362"/>
      <c r="H20" s="11" t="s">
        <v>148</v>
      </c>
      <c r="I20" s="741">
        <v>175000</v>
      </c>
      <c r="J20" s="741">
        <v>175000</v>
      </c>
      <c r="K20" s="741">
        <v>26706</v>
      </c>
      <c r="L20" s="568">
        <v>175000</v>
      </c>
      <c r="M20" s="396">
        <v>0</v>
      </c>
      <c r="N20" s="724">
        <f t="shared" si="5"/>
        <v>175000</v>
      </c>
      <c r="O20" s="377">
        <f t="shared" si="2"/>
        <v>100</v>
      </c>
    </row>
    <row r="21" spans="1:17" ht="12.95" customHeight="1">
      <c r="B21" s="10"/>
      <c r="C21" s="11"/>
      <c r="D21" s="11"/>
      <c r="E21" s="316"/>
      <c r="F21" s="336">
        <v>613500</v>
      </c>
      <c r="G21" s="362"/>
      <c r="H21" s="11" t="s">
        <v>85</v>
      </c>
      <c r="I21" s="741">
        <v>106000</v>
      </c>
      <c r="J21" s="741">
        <v>106000</v>
      </c>
      <c r="K21" s="741">
        <v>27212</v>
      </c>
      <c r="L21" s="568">
        <v>106000</v>
      </c>
      <c r="M21" s="396">
        <v>0</v>
      </c>
      <c r="N21" s="724">
        <f t="shared" si="5"/>
        <v>106000</v>
      </c>
      <c r="O21" s="377">
        <f t="shared" si="2"/>
        <v>100</v>
      </c>
    </row>
    <row r="22" spans="1:17" ht="12.95" customHeight="1">
      <c r="B22" s="10"/>
      <c r="C22" s="11"/>
      <c r="D22" s="11"/>
      <c r="E22" s="316"/>
      <c r="F22" s="336">
        <v>613600</v>
      </c>
      <c r="G22" s="362"/>
      <c r="H22" s="20" t="s">
        <v>177</v>
      </c>
      <c r="I22" s="741">
        <v>27000</v>
      </c>
      <c r="J22" s="741">
        <v>27000</v>
      </c>
      <c r="K22" s="741">
        <v>6750</v>
      </c>
      <c r="L22" s="568">
        <v>27000</v>
      </c>
      <c r="M22" s="396">
        <v>0</v>
      </c>
      <c r="N22" s="724">
        <f t="shared" si="5"/>
        <v>27000</v>
      </c>
      <c r="O22" s="377">
        <f t="shared" si="2"/>
        <v>100</v>
      </c>
    </row>
    <row r="23" spans="1:17" ht="12.95" customHeight="1">
      <c r="B23" s="10"/>
      <c r="C23" s="11"/>
      <c r="D23" s="11"/>
      <c r="E23" s="316"/>
      <c r="F23" s="336">
        <v>613700</v>
      </c>
      <c r="G23" s="362"/>
      <c r="H23" s="11" t="s">
        <v>86</v>
      </c>
      <c r="I23" s="741">
        <v>83000</v>
      </c>
      <c r="J23" s="741">
        <v>83000</v>
      </c>
      <c r="K23" s="741">
        <v>42828</v>
      </c>
      <c r="L23" s="568">
        <f>83000-6000</f>
        <v>77000</v>
      </c>
      <c r="M23" s="396">
        <v>0</v>
      </c>
      <c r="N23" s="724">
        <f t="shared" si="5"/>
        <v>77000</v>
      </c>
      <c r="O23" s="377">
        <f t="shared" si="2"/>
        <v>92.771084337349393</v>
      </c>
    </row>
    <row r="24" spans="1:17" ht="12.95" customHeight="1">
      <c r="B24" s="10"/>
      <c r="C24" s="11"/>
      <c r="D24" s="11"/>
      <c r="E24" s="316"/>
      <c r="F24" s="336">
        <v>613800</v>
      </c>
      <c r="G24" s="362"/>
      <c r="H24" s="11" t="s">
        <v>149</v>
      </c>
      <c r="I24" s="741">
        <v>18000</v>
      </c>
      <c r="J24" s="741">
        <v>18000</v>
      </c>
      <c r="K24" s="741">
        <v>4320</v>
      </c>
      <c r="L24" s="568">
        <v>18000</v>
      </c>
      <c r="M24" s="396">
        <v>0</v>
      </c>
      <c r="N24" s="724">
        <f t="shared" si="5"/>
        <v>18000</v>
      </c>
      <c r="O24" s="377">
        <f t="shared" si="2"/>
        <v>100</v>
      </c>
    </row>
    <row r="25" spans="1:17" ht="12.95" customHeight="1">
      <c r="B25" s="10"/>
      <c r="C25" s="11"/>
      <c r="D25" s="11"/>
      <c r="E25" s="316"/>
      <c r="F25" s="336">
        <v>613900</v>
      </c>
      <c r="G25" s="362"/>
      <c r="H25" s="11" t="s">
        <v>150</v>
      </c>
      <c r="I25" s="741">
        <v>180000</v>
      </c>
      <c r="J25" s="741">
        <v>180000</v>
      </c>
      <c r="K25" s="741">
        <v>22588</v>
      </c>
      <c r="L25" s="568">
        <f>180000-5200-51000</f>
        <v>123800</v>
      </c>
      <c r="M25" s="396">
        <v>0</v>
      </c>
      <c r="N25" s="724">
        <f t="shared" si="5"/>
        <v>123800</v>
      </c>
      <c r="O25" s="377">
        <f t="shared" si="2"/>
        <v>68.777777777777786</v>
      </c>
    </row>
    <row r="26" spans="1:17" ht="12.95" customHeight="1">
      <c r="B26" s="10"/>
      <c r="C26" s="11"/>
      <c r="D26" s="11"/>
      <c r="E26" s="316"/>
      <c r="F26" s="336">
        <v>613900</v>
      </c>
      <c r="G26" s="362"/>
      <c r="H26" s="210" t="s">
        <v>465</v>
      </c>
      <c r="I26" s="742">
        <v>0</v>
      </c>
      <c r="J26" s="742">
        <v>0</v>
      </c>
      <c r="K26" s="742">
        <v>0</v>
      </c>
      <c r="L26" s="571">
        <v>0</v>
      </c>
      <c r="M26" s="397">
        <v>0</v>
      </c>
      <c r="N26" s="724">
        <f t="shared" si="5"/>
        <v>0</v>
      </c>
      <c r="O26" s="377" t="str">
        <f t="shared" si="2"/>
        <v/>
      </c>
      <c r="P26" s="63"/>
    </row>
    <row r="27" spans="1:17" s="1" customFormat="1" ht="12.95" customHeight="1">
      <c r="A27" s="311"/>
      <c r="B27" s="12"/>
      <c r="C27" s="8"/>
      <c r="D27" s="8"/>
      <c r="E27" s="666"/>
      <c r="F27" s="346"/>
      <c r="G27" s="373"/>
      <c r="H27" s="8"/>
      <c r="I27" s="740"/>
      <c r="J27" s="740"/>
      <c r="K27" s="741"/>
      <c r="L27" s="583"/>
      <c r="M27" s="310"/>
      <c r="N27" s="725"/>
      <c r="O27" s="377" t="str">
        <f t="shared" si="2"/>
        <v/>
      </c>
    </row>
    <row r="28" spans="1:17" s="1" customFormat="1" ht="12.95" customHeight="1">
      <c r="A28" s="311"/>
      <c r="B28" s="12"/>
      <c r="C28" s="8"/>
      <c r="D28" s="8"/>
      <c r="E28" s="8"/>
      <c r="F28" s="335">
        <v>821000</v>
      </c>
      <c r="G28" s="361"/>
      <c r="H28" s="8" t="s">
        <v>89</v>
      </c>
      <c r="I28" s="632">
        <f t="shared" ref="I28:N28" si="6">SUM(I29:I30)</f>
        <v>75000</v>
      </c>
      <c r="J28" s="632">
        <f t="shared" si="6"/>
        <v>75000</v>
      </c>
      <c r="K28" s="744">
        <f t="shared" si="6"/>
        <v>0</v>
      </c>
      <c r="L28" s="588">
        <f t="shared" si="6"/>
        <v>75000</v>
      </c>
      <c r="M28" s="325">
        <f t="shared" si="6"/>
        <v>0</v>
      </c>
      <c r="N28" s="726">
        <f t="shared" si="6"/>
        <v>75000</v>
      </c>
      <c r="O28" s="376">
        <f t="shared" si="2"/>
        <v>100</v>
      </c>
    </row>
    <row r="29" spans="1:17" ht="12.95" customHeight="1">
      <c r="B29" s="10"/>
      <c r="C29" s="11"/>
      <c r="D29" s="11"/>
      <c r="E29" s="316"/>
      <c r="F29" s="336">
        <v>821200</v>
      </c>
      <c r="G29" s="362"/>
      <c r="H29" s="11" t="s">
        <v>90</v>
      </c>
      <c r="I29" s="740">
        <v>5000</v>
      </c>
      <c r="J29" s="740">
        <v>5000</v>
      </c>
      <c r="K29" s="741">
        <v>0</v>
      </c>
      <c r="L29" s="583">
        <v>5000</v>
      </c>
      <c r="M29" s="310">
        <v>0</v>
      </c>
      <c r="N29" s="724">
        <f t="shared" ref="N29:N30" si="7">SUM(L29:M29)</f>
        <v>5000</v>
      </c>
      <c r="O29" s="377">
        <f t="shared" si="2"/>
        <v>100</v>
      </c>
    </row>
    <row r="30" spans="1:17" ht="12.95" customHeight="1">
      <c r="B30" s="10"/>
      <c r="C30" s="11"/>
      <c r="D30" s="11"/>
      <c r="E30" s="316"/>
      <c r="F30" s="336">
        <v>821300</v>
      </c>
      <c r="G30" s="362"/>
      <c r="H30" s="11" t="s">
        <v>91</v>
      </c>
      <c r="I30" s="740">
        <v>70000</v>
      </c>
      <c r="J30" s="740">
        <v>70000</v>
      </c>
      <c r="K30" s="741">
        <v>0</v>
      </c>
      <c r="L30" s="583">
        <f>70000</f>
        <v>70000</v>
      </c>
      <c r="M30" s="310">
        <v>0</v>
      </c>
      <c r="N30" s="724">
        <f t="shared" si="7"/>
        <v>70000</v>
      </c>
      <c r="O30" s="377">
        <f t="shared" si="2"/>
        <v>100</v>
      </c>
    </row>
    <row r="31" spans="1:17" ht="12.95" customHeight="1">
      <c r="B31" s="10"/>
      <c r="C31" s="11"/>
      <c r="D31" s="11"/>
      <c r="E31" s="316"/>
      <c r="F31" s="336"/>
      <c r="G31" s="362"/>
      <c r="H31" s="11"/>
      <c r="I31" s="575"/>
      <c r="J31" s="575"/>
      <c r="K31" s="745"/>
      <c r="L31" s="582"/>
      <c r="M31" s="318"/>
      <c r="N31" s="726"/>
      <c r="O31" s="377" t="str">
        <f t="shared" si="2"/>
        <v/>
      </c>
    </row>
    <row r="32" spans="1:17" s="1" customFormat="1" ht="12.95" customHeight="1">
      <c r="A32" s="311"/>
      <c r="B32" s="12"/>
      <c r="C32" s="8"/>
      <c r="D32" s="8"/>
      <c r="E32" s="8"/>
      <c r="F32" s="335"/>
      <c r="G32" s="361"/>
      <c r="H32" s="8" t="s">
        <v>92</v>
      </c>
      <c r="I32" s="743" t="s">
        <v>797</v>
      </c>
      <c r="J32" s="743" t="s">
        <v>797</v>
      </c>
      <c r="K32" s="746">
        <v>205</v>
      </c>
      <c r="L32" s="584" t="s">
        <v>931</v>
      </c>
      <c r="M32" s="327"/>
      <c r="N32" s="727" t="s">
        <v>931</v>
      </c>
      <c r="O32" s="377"/>
    </row>
    <row r="33" spans="1:15" s="1" customFormat="1" ht="12.95" customHeight="1">
      <c r="A33" s="311"/>
      <c r="B33" s="12"/>
      <c r="C33" s="8"/>
      <c r="D33" s="8"/>
      <c r="E33" s="8"/>
      <c r="F33" s="335"/>
      <c r="G33" s="361"/>
      <c r="H33" s="8" t="s">
        <v>110</v>
      </c>
      <c r="I33" s="575">
        <f>I8+I13+I16+I28</f>
        <v>6936070</v>
      </c>
      <c r="J33" s="318">
        <f>J8+J13+J16+J28</f>
        <v>6936070</v>
      </c>
      <c r="K33" s="575">
        <f t="shared" ref="K33" si="8">K8+K13+K16+K28</f>
        <v>1593528</v>
      </c>
      <c r="L33" s="582">
        <f>L8+L13+L16+L28</f>
        <v>6776320</v>
      </c>
      <c r="M33" s="318">
        <f>M8+M13+M16+M28</f>
        <v>0</v>
      </c>
      <c r="N33" s="726">
        <f>N8+N13+N16+N28</f>
        <v>6776320</v>
      </c>
      <c r="O33" s="376">
        <f t="shared" si="2"/>
        <v>97.696822552252215</v>
      </c>
    </row>
    <row r="34" spans="1:15" s="1" customFormat="1" ht="12.95" customHeight="1">
      <c r="A34" s="311"/>
      <c r="B34" s="12"/>
      <c r="C34" s="8"/>
      <c r="D34" s="8"/>
      <c r="E34" s="8"/>
      <c r="F34" s="335"/>
      <c r="G34" s="361"/>
      <c r="H34" s="8" t="s">
        <v>93</v>
      </c>
      <c r="I34" s="575">
        <f>I33</f>
        <v>6936070</v>
      </c>
      <c r="J34" s="318">
        <f>J33</f>
        <v>6936070</v>
      </c>
      <c r="K34" s="575">
        <f t="shared" ref="K34" si="9">K33</f>
        <v>1593528</v>
      </c>
      <c r="L34" s="582">
        <f t="shared" ref="L34:N35" si="10">L33</f>
        <v>6776320</v>
      </c>
      <c r="M34" s="318">
        <f t="shared" si="10"/>
        <v>0</v>
      </c>
      <c r="N34" s="726">
        <f t="shared" si="10"/>
        <v>6776320</v>
      </c>
      <c r="O34" s="376">
        <f>IF(J34=0,"",N34/J34*100)</f>
        <v>97.696822552252215</v>
      </c>
    </row>
    <row r="35" spans="1:15" s="1" customFormat="1" ht="12.95" customHeight="1">
      <c r="A35" s="311"/>
      <c r="B35" s="12"/>
      <c r="C35" s="8"/>
      <c r="D35" s="8"/>
      <c r="E35" s="8"/>
      <c r="F35" s="335"/>
      <c r="G35" s="361"/>
      <c r="H35" s="8" t="s">
        <v>94</v>
      </c>
      <c r="I35" s="15">
        <f>I34</f>
        <v>6936070</v>
      </c>
      <c r="J35" s="15">
        <f>J34</f>
        <v>6936070</v>
      </c>
      <c r="K35" s="575">
        <f t="shared" ref="K35" si="11">K34</f>
        <v>1593528</v>
      </c>
      <c r="L35" s="582">
        <f t="shared" si="10"/>
        <v>6776320</v>
      </c>
      <c r="M35" s="318">
        <f t="shared" si="10"/>
        <v>0</v>
      </c>
      <c r="N35" s="726">
        <f t="shared" si="10"/>
        <v>6776320</v>
      </c>
      <c r="O35" s="376">
        <f t="shared" si="2"/>
        <v>97.696822552252215</v>
      </c>
    </row>
    <row r="36" spans="1:15" ht="12.95" customHeight="1" thickBot="1">
      <c r="B36" s="16"/>
      <c r="C36" s="17"/>
      <c r="D36" s="17"/>
      <c r="E36" s="17"/>
      <c r="F36" s="337"/>
      <c r="G36" s="363"/>
      <c r="H36" s="17"/>
      <c r="I36" s="17"/>
      <c r="J36" s="17"/>
      <c r="K36" s="27"/>
      <c r="L36" s="16"/>
      <c r="M36" s="17"/>
      <c r="N36" s="735"/>
      <c r="O36" s="379"/>
    </row>
    <row r="37" spans="1:15" ht="12.95" customHeight="1">
      <c r="F37" s="338"/>
      <c r="G37" s="364"/>
      <c r="N37" s="423"/>
    </row>
    <row r="38" spans="1:15" ht="12.95" customHeight="1">
      <c r="B38" s="55"/>
      <c r="F38" s="338"/>
      <c r="G38" s="364"/>
      <c r="N38" s="423"/>
    </row>
    <row r="39" spans="1:15" ht="12.95" customHeight="1">
      <c r="B39" s="55"/>
      <c r="F39" s="338"/>
      <c r="G39" s="364"/>
      <c r="N39" s="423"/>
    </row>
    <row r="40" spans="1:15" ht="12.95" customHeight="1">
      <c r="B40" s="55"/>
      <c r="F40" s="338"/>
      <c r="G40" s="364"/>
      <c r="N40" s="423"/>
    </row>
    <row r="41" spans="1:15" ht="12.95" customHeight="1">
      <c r="B41" s="55"/>
      <c r="F41" s="338"/>
      <c r="G41" s="364"/>
      <c r="N41" s="423"/>
    </row>
    <row r="42" spans="1:15" ht="12.95" customHeight="1">
      <c r="B42" s="55"/>
      <c r="F42" s="338"/>
      <c r="G42" s="364"/>
      <c r="N42" s="423"/>
    </row>
    <row r="43" spans="1:15" ht="12.95" customHeight="1">
      <c r="B43" s="55"/>
      <c r="F43" s="338"/>
      <c r="G43" s="364"/>
      <c r="N43" s="423"/>
    </row>
    <row r="44" spans="1:15" ht="12.95" customHeight="1">
      <c r="F44" s="338"/>
      <c r="G44" s="364"/>
      <c r="N44" s="423"/>
    </row>
    <row r="45" spans="1:15" ht="12.95" customHeight="1">
      <c r="F45" s="338"/>
      <c r="G45" s="364"/>
      <c r="N45" s="423"/>
    </row>
    <row r="46" spans="1:15" ht="12.95" customHeight="1">
      <c r="F46" s="338"/>
      <c r="G46" s="364"/>
      <c r="N46" s="423"/>
    </row>
    <row r="47" spans="1:15" ht="12.95" customHeight="1">
      <c r="F47" s="338"/>
      <c r="G47" s="364"/>
      <c r="N47" s="423"/>
    </row>
    <row r="48" spans="1:15" ht="12.95" customHeight="1">
      <c r="F48" s="338"/>
      <c r="G48" s="364"/>
      <c r="N48" s="423"/>
    </row>
    <row r="49" spans="6:14" ht="12.95" customHeight="1">
      <c r="F49" s="338"/>
      <c r="G49" s="364"/>
      <c r="N49" s="423"/>
    </row>
    <row r="50" spans="6:14" ht="12.95" customHeight="1">
      <c r="F50" s="338"/>
      <c r="G50" s="364"/>
      <c r="N50" s="423"/>
    </row>
    <row r="51" spans="6:14" ht="12.95" customHeight="1">
      <c r="F51" s="338"/>
      <c r="G51" s="364"/>
      <c r="N51" s="423"/>
    </row>
    <row r="52" spans="6:14" ht="12.95" customHeight="1">
      <c r="F52" s="338"/>
      <c r="G52" s="364"/>
      <c r="N52" s="423"/>
    </row>
    <row r="53" spans="6:14" ht="12.95" customHeight="1">
      <c r="F53" s="338"/>
      <c r="G53" s="364"/>
      <c r="N53" s="423"/>
    </row>
    <row r="54" spans="6:14" ht="12.95" customHeight="1">
      <c r="F54" s="338"/>
      <c r="G54" s="364"/>
      <c r="N54" s="423"/>
    </row>
    <row r="55" spans="6:14" ht="12.95" customHeight="1">
      <c r="F55" s="338"/>
      <c r="G55" s="364"/>
      <c r="N55" s="423"/>
    </row>
    <row r="56" spans="6:14" ht="12.95" customHeight="1">
      <c r="F56" s="338"/>
      <c r="G56" s="364"/>
      <c r="N56" s="423"/>
    </row>
    <row r="57" spans="6:14" ht="12.95" customHeight="1">
      <c r="F57" s="338"/>
      <c r="G57" s="364"/>
      <c r="N57" s="423"/>
    </row>
    <row r="58" spans="6:14" ht="12.95" customHeight="1">
      <c r="F58" s="338"/>
      <c r="G58" s="364"/>
      <c r="N58" s="423"/>
    </row>
    <row r="59" spans="6:14" ht="12.95" customHeight="1">
      <c r="F59" s="338"/>
      <c r="G59" s="364"/>
      <c r="N59" s="423"/>
    </row>
    <row r="60" spans="6:14" ht="17.100000000000001" customHeight="1">
      <c r="F60" s="338"/>
      <c r="G60" s="364"/>
      <c r="N60" s="423"/>
    </row>
    <row r="61" spans="6:14" ht="14.25">
      <c r="F61" s="338"/>
      <c r="G61" s="364"/>
      <c r="N61" s="423"/>
    </row>
    <row r="62" spans="6:14" ht="14.25">
      <c r="F62" s="338"/>
      <c r="G62" s="364"/>
      <c r="N62" s="423"/>
    </row>
    <row r="63" spans="6:14" ht="14.25">
      <c r="F63" s="338"/>
      <c r="G63" s="364"/>
      <c r="N63" s="423"/>
    </row>
    <row r="64" spans="6:14" ht="14.25">
      <c r="F64" s="338"/>
      <c r="G64" s="364"/>
      <c r="N64" s="423"/>
    </row>
    <row r="65" spans="6:14" ht="14.25">
      <c r="F65" s="338"/>
      <c r="G65" s="364"/>
      <c r="N65" s="423"/>
    </row>
    <row r="66" spans="6:14" ht="14.25">
      <c r="F66" s="338"/>
      <c r="G66" s="364"/>
      <c r="N66" s="423"/>
    </row>
    <row r="67" spans="6:14" ht="14.25">
      <c r="F67" s="338"/>
      <c r="G67" s="364"/>
      <c r="N67" s="423"/>
    </row>
    <row r="68" spans="6:14" ht="14.25">
      <c r="F68" s="338"/>
      <c r="G68" s="364"/>
      <c r="N68" s="423"/>
    </row>
    <row r="69" spans="6:14" ht="14.25">
      <c r="F69" s="338"/>
      <c r="G69" s="364"/>
      <c r="N69" s="423"/>
    </row>
    <row r="70" spans="6:14" ht="14.25">
      <c r="F70" s="338"/>
      <c r="G70" s="364"/>
      <c r="N70" s="423"/>
    </row>
    <row r="71" spans="6:14" ht="14.25">
      <c r="F71" s="338"/>
      <c r="G71" s="364"/>
      <c r="N71" s="423"/>
    </row>
    <row r="72" spans="6:14" ht="14.25">
      <c r="F72" s="338"/>
      <c r="G72" s="364"/>
      <c r="N72" s="423"/>
    </row>
    <row r="73" spans="6:14" ht="14.25">
      <c r="F73" s="338"/>
      <c r="G73" s="364"/>
      <c r="N73" s="423"/>
    </row>
    <row r="74" spans="6:14" ht="14.25">
      <c r="F74" s="338"/>
      <c r="G74" s="338"/>
      <c r="N74" s="423"/>
    </row>
    <row r="75" spans="6:14" ht="14.25">
      <c r="F75" s="338"/>
      <c r="G75" s="338"/>
      <c r="N75" s="423"/>
    </row>
    <row r="76" spans="6:14" ht="14.25">
      <c r="F76" s="338"/>
      <c r="G76" s="338"/>
      <c r="N76" s="423"/>
    </row>
    <row r="77" spans="6:14" ht="14.25">
      <c r="F77" s="338"/>
      <c r="G77" s="338"/>
      <c r="N77" s="423"/>
    </row>
    <row r="78" spans="6:14" ht="14.25">
      <c r="F78" s="338"/>
      <c r="G78" s="338"/>
      <c r="N78" s="423"/>
    </row>
    <row r="79" spans="6:14" ht="14.25">
      <c r="F79" s="338"/>
      <c r="G79" s="338"/>
      <c r="N79" s="423"/>
    </row>
    <row r="80" spans="6:14" ht="14.25">
      <c r="F80" s="338"/>
      <c r="G80" s="338"/>
      <c r="N80" s="423"/>
    </row>
    <row r="81" spans="6:14" ht="14.25">
      <c r="F81" s="338"/>
      <c r="G81" s="338"/>
      <c r="N81" s="423"/>
    </row>
    <row r="82" spans="6:14" ht="14.25">
      <c r="F82" s="338"/>
      <c r="G82" s="338"/>
      <c r="N82" s="423"/>
    </row>
    <row r="83" spans="6:14" ht="14.25">
      <c r="F83" s="338"/>
      <c r="G83" s="338"/>
      <c r="N83" s="423"/>
    </row>
    <row r="84" spans="6:14" ht="14.25">
      <c r="F84" s="338"/>
      <c r="G84" s="338"/>
      <c r="N84" s="423"/>
    </row>
    <row r="85" spans="6:14" ht="14.25">
      <c r="F85" s="338"/>
      <c r="G85" s="338"/>
      <c r="N85" s="423"/>
    </row>
    <row r="86" spans="6:14" ht="14.25">
      <c r="F86" s="338"/>
      <c r="G86" s="338"/>
      <c r="N86" s="423"/>
    </row>
    <row r="87" spans="6:14" ht="14.25">
      <c r="F87" s="338"/>
      <c r="G87" s="338"/>
      <c r="N87" s="423"/>
    </row>
    <row r="88" spans="6:14" ht="14.25">
      <c r="F88" s="338"/>
      <c r="G88" s="338"/>
      <c r="N88" s="423"/>
    </row>
    <row r="89" spans="6:14" ht="14.25">
      <c r="F89" s="338"/>
      <c r="G89" s="338"/>
      <c r="N89" s="423"/>
    </row>
    <row r="90" spans="6:14" ht="14.25">
      <c r="F90" s="338"/>
      <c r="G90" s="338"/>
      <c r="N90" s="423"/>
    </row>
    <row r="91" spans="6:14">
      <c r="G91" s="338"/>
    </row>
    <row r="92" spans="6:14">
      <c r="G92" s="338"/>
    </row>
    <row r="93" spans="6:14">
      <c r="G93" s="338"/>
    </row>
    <row r="94" spans="6:14">
      <c r="G94" s="338"/>
    </row>
    <row r="95" spans="6:14">
      <c r="G95" s="338"/>
    </row>
    <row r="96" spans="6:14">
      <c r="G96" s="338"/>
    </row>
  </sheetData>
  <mergeCells count="14">
    <mergeCell ref="O4:O5"/>
    <mergeCell ref="H4:H5"/>
    <mergeCell ref="B2:N2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K4:K5"/>
    <mergeCell ref="E4:E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3"/>
  <dimension ref="A1:Q98"/>
  <sheetViews>
    <sheetView zoomScaleNormal="100" workbookViewId="0">
      <selection activeCell="R27" sqref="R27"/>
    </sheetView>
  </sheetViews>
  <sheetFormatPr defaultRowHeight="12.75"/>
  <cols>
    <col min="1" max="1" width="9.140625" style="314"/>
    <col min="2" max="2" width="4.7109375" style="9" customWidth="1"/>
    <col min="3" max="3" width="5.140625" style="9" customWidth="1"/>
    <col min="4" max="4" width="5" style="9" customWidth="1"/>
    <col min="5" max="5" width="5" style="314" customWidth="1"/>
    <col min="6" max="6" width="8.7109375" style="18" customWidth="1"/>
    <col min="7" max="7" width="8.7109375" style="319" customWidth="1"/>
    <col min="8" max="8" width="50.7109375" style="9" customWidth="1"/>
    <col min="9" max="13" width="14.7109375" style="63" customWidth="1"/>
    <col min="14" max="14" width="15.7109375" style="63" customWidth="1"/>
    <col min="15" max="15" width="7.7109375" style="380" customWidth="1"/>
    <col min="16" max="16384" width="9.140625" style="9"/>
  </cols>
  <sheetData>
    <row r="1" spans="1:17" ht="13.5" thickBot="1"/>
    <row r="2" spans="1:17" s="408" customFormat="1" ht="20.100000000000001" customHeight="1" thickTop="1" thickBot="1">
      <c r="B2" s="887" t="s">
        <v>753</v>
      </c>
      <c r="C2" s="888"/>
      <c r="D2" s="888"/>
      <c r="E2" s="888"/>
      <c r="F2" s="888"/>
      <c r="G2" s="888"/>
      <c r="H2" s="888"/>
      <c r="I2" s="888"/>
      <c r="J2" s="409"/>
      <c r="K2" s="409"/>
      <c r="L2" s="410"/>
      <c r="M2" s="410"/>
      <c r="N2" s="410"/>
      <c r="O2" s="413"/>
    </row>
    <row r="3" spans="1:17" s="1" customFormat="1" ht="8.1" customHeight="1" thickTop="1" thickBot="1">
      <c r="A3" s="311"/>
      <c r="E3" s="311"/>
      <c r="F3" s="2"/>
      <c r="G3" s="312"/>
      <c r="H3" s="890"/>
      <c r="I3" s="890"/>
      <c r="J3" s="282"/>
      <c r="K3" s="282"/>
      <c r="L3" s="107"/>
      <c r="M3" s="107"/>
      <c r="N3" s="107"/>
      <c r="O3" s="374"/>
    </row>
    <row r="4" spans="1:17" s="1" customFormat="1" ht="39" customHeight="1">
      <c r="A4" s="311"/>
      <c r="B4" s="894" t="s">
        <v>77</v>
      </c>
      <c r="C4" s="909" t="s">
        <v>78</v>
      </c>
      <c r="D4" s="910" t="s">
        <v>107</v>
      </c>
      <c r="E4" s="916" t="s">
        <v>828</v>
      </c>
      <c r="F4" s="911" t="s">
        <v>517</v>
      </c>
      <c r="G4" s="899" t="s">
        <v>556</v>
      </c>
      <c r="H4" s="900" t="s">
        <v>79</v>
      </c>
      <c r="I4" s="912" t="s">
        <v>697</v>
      </c>
      <c r="J4" s="913" t="s">
        <v>862</v>
      </c>
      <c r="K4" s="917" t="s">
        <v>863</v>
      </c>
      <c r="L4" s="918" t="s">
        <v>865</v>
      </c>
      <c r="M4" s="919"/>
      <c r="N4" s="920"/>
      <c r="O4" s="906" t="s">
        <v>866</v>
      </c>
      <c r="Q4" s="81"/>
    </row>
    <row r="5" spans="1:17" s="311" customFormat="1" ht="27" customHeight="1">
      <c r="B5" s="895"/>
      <c r="C5" s="897"/>
      <c r="D5" s="897"/>
      <c r="E5" s="897"/>
      <c r="F5" s="901"/>
      <c r="G5" s="897"/>
      <c r="H5" s="901"/>
      <c r="I5" s="901"/>
      <c r="J5" s="901"/>
      <c r="K5" s="905"/>
      <c r="L5" s="606" t="s">
        <v>601</v>
      </c>
      <c r="M5" s="593" t="s">
        <v>602</v>
      </c>
      <c r="N5" s="747" t="s">
        <v>349</v>
      </c>
      <c r="O5" s="907"/>
    </row>
    <row r="6" spans="1:17" s="2" customFormat="1" ht="12.95" customHeight="1">
      <c r="A6" s="312"/>
      <c r="B6" s="525">
        <v>1</v>
      </c>
      <c r="C6" s="361">
        <v>2</v>
      </c>
      <c r="D6" s="361">
        <v>3</v>
      </c>
      <c r="E6" s="361">
        <v>4</v>
      </c>
      <c r="F6" s="361">
        <v>5</v>
      </c>
      <c r="G6" s="361">
        <v>6</v>
      </c>
      <c r="H6" s="361">
        <v>7</v>
      </c>
      <c r="I6" s="361">
        <v>8</v>
      </c>
      <c r="J6" s="361">
        <v>9</v>
      </c>
      <c r="K6" s="526">
        <v>10</v>
      </c>
      <c r="L6" s="607">
        <v>11</v>
      </c>
      <c r="M6" s="594">
        <v>12</v>
      </c>
      <c r="N6" s="748" t="s">
        <v>830</v>
      </c>
      <c r="O6" s="527">
        <v>14</v>
      </c>
    </row>
    <row r="7" spans="1:17" s="2" customFormat="1" ht="12.95" customHeight="1">
      <c r="A7" s="312"/>
      <c r="B7" s="6" t="s">
        <v>123</v>
      </c>
      <c r="C7" s="7" t="s">
        <v>80</v>
      </c>
      <c r="D7" s="7" t="s">
        <v>81</v>
      </c>
      <c r="E7" s="667" t="s">
        <v>833</v>
      </c>
      <c r="F7" s="5"/>
      <c r="G7" s="313"/>
      <c r="H7" s="5"/>
      <c r="I7" s="592"/>
      <c r="J7" s="100"/>
      <c r="K7" s="592"/>
      <c r="L7" s="608"/>
      <c r="M7" s="595"/>
      <c r="N7" s="749"/>
      <c r="O7" s="375"/>
    </row>
    <row r="8" spans="1:17" s="1" customFormat="1" ht="12.95" customHeight="1">
      <c r="A8" s="311"/>
      <c r="B8" s="12"/>
      <c r="C8" s="8"/>
      <c r="D8" s="8"/>
      <c r="E8" s="8"/>
      <c r="F8" s="335">
        <v>611000</v>
      </c>
      <c r="G8" s="361"/>
      <c r="H8" s="8" t="s">
        <v>146</v>
      </c>
      <c r="I8" s="756">
        <f t="shared" ref="I8:N8" si="0">SUM(I9:I12)</f>
        <v>126490</v>
      </c>
      <c r="J8" s="756">
        <f t="shared" si="0"/>
        <v>126490</v>
      </c>
      <c r="K8" s="765">
        <f t="shared" si="0"/>
        <v>29282</v>
      </c>
      <c r="L8" s="609">
        <f t="shared" si="0"/>
        <v>119280</v>
      </c>
      <c r="M8" s="596">
        <f t="shared" si="0"/>
        <v>0</v>
      </c>
      <c r="N8" s="750">
        <f t="shared" si="0"/>
        <v>119280</v>
      </c>
      <c r="O8" s="376">
        <f>IF(J8=0,"",N8/J8*100)</f>
        <v>94.299944659656887</v>
      </c>
    </row>
    <row r="9" spans="1:17" ht="12.95" customHeight="1">
      <c r="B9" s="10"/>
      <c r="C9" s="11"/>
      <c r="D9" s="11"/>
      <c r="E9" s="316"/>
      <c r="F9" s="336">
        <v>611100</v>
      </c>
      <c r="G9" s="362"/>
      <c r="H9" s="20" t="s">
        <v>174</v>
      </c>
      <c r="I9" s="757">
        <f>93350+9*1140+730+400+2340</f>
        <v>107080</v>
      </c>
      <c r="J9" s="757">
        <f>93350+9*1140+730+400+2340</f>
        <v>107080</v>
      </c>
      <c r="K9" s="766">
        <v>24062</v>
      </c>
      <c r="L9" s="610">
        <f>93990+300+5*1140</f>
        <v>99990</v>
      </c>
      <c r="M9" s="597">
        <v>0</v>
      </c>
      <c r="N9" s="751">
        <f>SUM(L9:M9)</f>
        <v>99990</v>
      </c>
      <c r="O9" s="377">
        <f>IF(J9=0,"",N9/J9*100)</f>
        <v>93.378782218901762</v>
      </c>
    </row>
    <row r="10" spans="1:17" ht="12.95" customHeight="1">
      <c r="B10" s="10"/>
      <c r="C10" s="11"/>
      <c r="D10" s="11"/>
      <c r="E10" s="316"/>
      <c r="F10" s="336">
        <v>611200</v>
      </c>
      <c r="G10" s="362"/>
      <c r="H10" s="11" t="s">
        <v>175</v>
      </c>
      <c r="I10" s="757">
        <f>14770+9*21*15+1500+305</f>
        <v>19410</v>
      </c>
      <c r="J10" s="757">
        <f>14770+9*21*15+1500+305</f>
        <v>19410</v>
      </c>
      <c r="K10" s="766">
        <v>5220</v>
      </c>
      <c r="L10" s="610">
        <f>17510+200+1580</f>
        <v>19290</v>
      </c>
      <c r="M10" s="597">
        <v>0</v>
      </c>
      <c r="N10" s="751">
        <f t="shared" ref="N10:N11" si="1">SUM(L10:M10)</f>
        <v>19290</v>
      </c>
      <c r="O10" s="377">
        <f t="shared" ref="O10:O37" si="2">IF(J10=0,"",N10/J10*100)</f>
        <v>99.381761978361666</v>
      </c>
    </row>
    <row r="11" spans="1:17" ht="12.95" customHeight="1">
      <c r="B11" s="10"/>
      <c r="C11" s="11"/>
      <c r="D11" s="11"/>
      <c r="E11" s="316"/>
      <c r="F11" s="336">
        <v>611200</v>
      </c>
      <c r="G11" s="362"/>
      <c r="H11" s="210" t="s">
        <v>464</v>
      </c>
      <c r="I11" s="758">
        <v>0</v>
      </c>
      <c r="J11" s="758">
        <v>0</v>
      </c>
      <c r="K11" s="767">
        <v>0</v>
      </c>
      <c r="L11" s="611">
        <v>0</v>
      </c>
      <c r="M11" s="598">
        <v>0</v>
      </c>
      <c r="N11" s="751">
        <f t="shared" si="1"/>
        <v>0</v>
      </c>
      <c r="O11" s="377" t="str">
        <f t="shared" si="2"/>
        <v/>
      </c>
      <c r="Q11" s="62"/>
    </row>
    <row r="12" spans="1:17" ht="12.95" customHeight="1">
      <c r="B12" s="10"/>
      <c r="C12" s="11"/>
      <c r="D12" s="11"/>
      <c r="E12" s="316"/>
      <c r="F12" s="336"/>
      <c r="G12" s="362"/>
      <c r="H12" s="20"/>
      <c r="I12" s="757"/>
      <c r="J12" s="757"/>
      <c r="K12" s="766"/>
      <c r="L12" s="610"/>
      <c r="M12" s="597"/>
      <c r="N12" s="751"/>
      <c r="O12" s="377" t="str">
        <f t="shared" si="2"/>
        <v/>
      </c>
    </row>
    <row r="13" spans="1:17" s="1" customFormat="1" ht="12.95" customHeight="1">
      <c r="A13" s="311"/>
      <c r="B13" s="12"/>
      <c r="C13" s="8"/>
      <c r="D13" s="8"/>
      <c r="E13" s="8"/>
      <c r="F13" s="335">
        <v>612000</v>
      </c>
      <c r="G13" s="361"/>
      <c r="H13" s="8" t="s">
        <v>145</v>
      </c>
      <c r="I13" s="756">
        <f t="shared" ref="I13:N13" si="3">I14</f>
        <v>11750</v>
      </c>
      <c r="J13" s="756">
        <f t="shared" si="3"/>
        <v>11750</v>
      </c>
      <c r="K13" s="765">
        <f t="shared" si="3"/>
        <v>2715</v>
      </c>
      <c r="L13" s="609">
        <f t="shared" si="3"/>
        <v>10840</v>
      </c>
      <c r="M13" s="596">
        <f t="shared" si="3"/>
        <v>0</v>
      </c>
      <c r="N13" s="750">
        <f t="shared" si="3"/>
        <v>10840</v>
      </c>
      <c r="O13" s="376">
        <f t="shared" si="2"/>
        <v>92.255319148936167</v>
      </c>
    </row>
    <row r="14" spans="1:17" ht="12.95" customHeight="1">
      <c r="B14" s="10"/>
      <c r="C14" s="11"/>
      <c r="D14" s="11"/>
      <c r="E14" s="316"/>
      <c r="F14" s="336">
        <v>612100</v>
      </c>
      <c r="G14" s="362"/>
      <c r="H14" s="13" t="s">
        <v>82</v>
      </c>
      <c r="I14" s="757">
        <f>9880+9*130+250+200+250</f>
        <v>11750</v>
      </c>
      <c r="J14" s="757">
        <f>9880+9*130+250+200+250</f>
        <v>11750</v>
      </c>
      <c r="K14" s="766">
        <v>2715</v>
      </c>
      <c r="L14" s="610">
        <f>10090+100+5*130</f>
        <v>10840</v>
      </c>
      <c r="M14" s="597">
        <v>0</v>
      </c>
      <c r="N14" s="751">
        <f>SUM(L14:M14)</f>
        <v>10840</v>
      </c>
      <c r="O14" s="377">
        <f t="shared" si="2"/>
        <v>92.255319148936167</v>
      </c>
    </row>
    <row r="15" spans="1:17" ht="12.95" customHeight="1">
      <c r="B15" s="10"/>
      <c r="C15" s="11"/>
      <c r="D15" s="11"/>
      <c r="E15" s="316"/>
      <c r="F15" s="336"/>
      <c r="G15" s="362"/>
      <c r="H15" s="11"/>
      <c r="I15" s="759"/>
      <c r="J15" s="759"/>
      <c r="K15" s="768"/>
      <c r="L15" s="612"/>
      <c r="M15" s="599"/>
      <c r="N15" s="752"/>
      <c r="O15" s="377" t="str">
        <f t="shared" si="2"/>
        <v/>
      </c>
    </row>
    <row r="16" spans="1:17" s="1" customFormat="1" ht="12.95" customHeight="1">
      <c r="A16" s="311"/>
      <c r="B16" s="12"/>
      <c r="C16" s="8"/>
      <c r="D16" s="8"/>
      <c r="E16" s="8"/>
      <c r="F16" s="335">
        <v>613000</v>
      </c>
      <c r="G16" s="361"/>
      <c r="H16" s="8" t="s">
        <v>147</v>
      </c>
      <c r="I16" s="760">
        <f t="shared" ref="I16:N16" si="4">SUM(I17:I28)</f>
        <v>75300</v>
      </c>
      <c r="J16" s="760">
        <f t="shared" si="4"/>
        <v>75300</v>
      </c>
      <c r="K16" s="769">
        <f t="shared" si="4"/>
        <v>32529</v>
      </c>
      <c r="L16" s="613">
        <f t="shared" si="4"/>
        <v>115770</v>
      </c>
      <c r="M16" s="600">
        <f t="shared" si="4"/>
        <v>0</v>
      </c>
      <c r="N16" s="753">
        <f t="shared" si="4"/>
        <v>115770</v>
      </c>
      <c r="O16" s="376">
        <f t="shared" si="2"/>
        <v>153.74501992031873</v>
      </c>
    </row>
    <row r="17" spans="1:15" ht="12.95" customHeight="1">
      <c r="B17" s="10"/>
      <c r="C17" s="11"/>
      <c r="D17" s="11"/>
      <c r="E17" s="316"/>
      <c r="F17" s="336">
        <v>613100</v>
      </c>
      <c r="G17" s="362"/>
      <c r="H17" s="11" t="s">
        <v>83</v>
      </c>
      <c r="I17" s="761">
        <v>3500</v>
      </c>
      <c r="J17" s="761">
        <v>3500</v>
      </c>
      <c r="K17" s="767">
        <v>112</v>
      </c>
      <c r="L17" s="614">
        <f>3500*80%</f>
        <v>2800</v>
      </c>
      <c r="M17" s="601">
        <v>0</v>
      </c>
      <c r="N17" s="751">
        <f t="shared" ref="N17:N28" si="5">SUM(L17:M17)</f>
        <v>2800</v>
      </c>
      <c r="O17" s="377">
        <f t="shared" si="2"/>
        <v>80</v>
      </c>
    </row>
    <row r="18" spans="1:15" ht="12.95" customHeight="1">
      <c r="B18" s="10"/>
      <c r="C18" s="11"/>
      <c r="D18" s="11"/>
      <c r="E18" s="316"/>
      <c r="F18" s="336">
        <v>613200</v>
      </c>
      <c r="G18" s="362"/>
      <c r="H18" s="11" t="s">
        <v>84</v>
      </c>
      <c r="I18" s="761">
        <v>0</v>
      </c>
      <c r="J18" s="761">
        <v>0</v>
      </c>
      <c r="K18" s="767">
        <v>0</v>
      </c>
      <c r="L18" s="614">
        <v>0</v>
      </c>
      <c r="M18" s="601">
        <v>0</v>
      </c>
      <c r="N18" s="751">
        <f t="shared" si="5"/>
        <v>0</v>
      </c>
      <c r="O18" s="377" t="str">
        <f t="shared" si="2"/>
        <v/>
      </c>
    </row>
    <row r="19" spans="1:15" ht="12.95" customHeight="1">
      <c r="B19" s="10"/>
      <c r="C19" s="11"/>
      <c r="D19" s="11"/>
      <c r="E19" s="316"/>
      <c r="F19" s="336">
        <v>613300</v>
      </c>
      <c r="G19" s="362"/>
      <c r="H19" s="20" t="s">
        <v>176</v>
      </c>
      <c r="I19" s="761">
        <v>2800</v>
      </c>
      <c r="J19" s="761">
        <v>2800</v>
      </c>
      <c r="K19" s="767">
        <v>354</v>
      </c>
      <c r="L19" s="614">
        <v>2800</v>
      </c>
      <c r="M19" s="601">
        <v>0</v>
      </c>
      <c r="N19" s="751">
        <f t="shared" si="5"/>
        <v>2800</v>
      </c>
      <c r="O19" s="377">
        <f t="shared" si="2"/>
        <v>100</v>
      </c>
    </row>
    <row r="20" spans="1:15" ht="12.95" customHeight="1">
      <c r="B20" s="10"/>
      <c r="C20" s="11"/>
      <c r="D20" s="11"/>
      <c r="E20" s="316"/>
      <c r="F20" s="336">
        <v>613400</v>
      </c>
      <c r="G20" s="362"/>
      <c r="H20" s="11" t="s">
        <v>148</v>
      </c>
      <c r="I20" s="761">
        <v>3000</v>
      </c>
      <c r="J20" s="761">
        <v>3000</v>
      </c>
      <c r="K20" s="767">
        <v>442</v>
      </c>
      <c r="L20" s="614">
        <v>3000</v>
      </c>
      <c r="M20" s="601">
        <v>0</v>
      </c>
      <c r="N20" s="751">
        <f t="shared" si="5"/>
        <v>3000</v>
      </c>
      <c r="O20" s="377">
        <f t="shared" si="2"/>
        <v>100</v>
      </c>
    </row>
    <row r="21" spans="1:15" ht="12.95" customHeight="1">
      <c r="B21" s="10"/>
      <c r="C21" s="11"/>
      <c r="D21" s="11"/>
      <c r="E21" s="316"/>
      <c r="F21" s="336">
        <v>613500</v>
      </c>
      <c r="G21" s="362"/>
      <c r="H21" s="11" t="s">
        <v>85</v>
      </c>
      <c r="I21" s="761">
        <v>0</v>
      </c>
      <c r="J21" s="761">
        <v>0</v>
      </c>
      <c r="K21" s="767">
        <v>0</v>
      </c>
      <c r="L21" s="614">
        <v>0</v>
      </c>
      <c r="M21" s="601">
        <v>0</v>
      </c>
      <c r="N21" s="751">
        <f t="shared" si="5"/>
        <v>0</v>
      </c>
      <c r="O21" s="377" t="str">
        <f t="shared" si="2"/>
        <v/>
      </c>
    </row>
    <row r="22" spans="1:15" ht="12.95" customHeight="1">
      <c r="B22" s="10"/>
      <c r="C22" s="11"/>
      <c r="D22" s="11"/>
      <c r="E22" s="316"/>
      <c r="F22" s="336">
        <v>613600</v>
      </c>
      <c r="G22" s="362"/>
      <c r="H22" s="20" t="s">
        <v>177</v>
      </c>
      <c r="I22" s="761">
        <v>0</v>
      </c>
      <c r="J22" s="761">
        <v>0</v>
      </c>
      <c r="K22" s="767">
        <v>0</v>
      </c>
      <c r="L22" s="614">
        <v>0</v>
      </c>
      <c r="M22" s="601">
        <v>0</v>
      </c>
      <c r="N22" s="751">
        <f t="shared" si="5"/>
        <v>0</v>
      </c>
      <c r="O22" s="377" t="str">
        <f t="shared" si="2"/>
        <v/>
      </c>
    </row>
    <row r="23" spans="1:15" ht="12.95" customHeight="1">
      <c r="B23" s="10"/>
      <c r="C23" s="11"/>
      <c r="D23" s="11"/>
      <c r="E23" s="316"/>
      <c r="F23" s="336">
        <v>613700</v>
      </c>
      <c r="G23" s="362"/>
      <c r="H23" s="11" t="s">
        <v>86</v>
      </c>
      <c r="I23" s="761">
        <v>1000</v>
      </c>
      <c r="J23" s="761">
        <v>1000</v>
      </c>
      <c r="K23" s="767">
        <v>0</v>
      </c>
      <c r="L23" s="614">
        <v>1000</v>
      </c>
      <c r="M23" s="601">
        <v>0</v>
      </c>
      <c r="N23" s="751">
        <f t="shared" si="5"/>
        <v>1000</v>
      </c>
      <c r="O23" s="377">
        <f t="shared" si="2"/>
        <v>100</v>
      </c>
    </row>
    <row r="24" spans="1:15" ht="12.95" customHeight="1">
      <c r="B24" s="10"/>
      <c r="C24" s="11"/>
      <c r="D24" s="11"/>
      <c r="E24" s="316"/>
      <c r="F24" s="336">
        <v>613800</v>
      </c>
      <c r="G24" s="362"/>
      <c r="H24" s="11" t="s">
        <v>149</v>
      </c>
      <c r="I24" s="761">
        <v>0</v>
      </c>
      <c r="J24" s="761">
        <v>0</v>
      </c>
      <c r="K24" s="767">
        <v>0</v>
      </c>
      <c r="L24" s="614">
        <v>0</v>
      </c>
      <c r="M24" s="601">
        <v>0</v>
      </c>
      <c r="N24" s="751">
        <f t="shared" si="5"/>
        <v>0</v>
      </c>
      <c r="O24" s="377" t="str">
        <f t="shared" si="2"/>
        <v/>
      </c>
    </row>
    <row r="25" spans="1:15" ht="12.95" customHeight="1">
      <c r="B25" s="10"/>
      <c r="C25" s="11"/>
      <c r="D25" s="11"/>
      <c r="E25" s="316"/>
      <c r="F25" s="336">
        <v>613900</v>
      </c>
      <c r="G25" s="362"/>
      <c r="H25" s="11" t="s">
        <v>150</v>
      </c>
      <c r="I25" s="761">
        <v>35000</v>
      </c>
      <c r="J25" s="761">
        <v>35000</v>
      </c>
      <c r="K25" s="767">
        <v>29896</v>
      </c>
      <c r="L25" s="614">
        <v>20170</v>
      </c>
      <c r="M25" s="601">
        <v>0</v>
      </c>
      <c r="N25" s="751">
        <f t="shared" si="5"/>
        <v>20170</v>
      </c>
      <c r="O25" s="377">
        <f t="shared" si="2"/>
        <v>57.628571428571426</v>
      </c>
    </row>
    <row r="26" spans="1:15" s="314" customFormat="1" ht="12.95" customHeight="1">
      <c r="B26" s="315"/>
      <c r="C26" s="316"/>
      <c r="D26" s="316"/>
      <c r="E26" s="316"/>
      <c r="F26" s="336">
        <v>613900</v>
      </c>
      <c r="G26" s="365" t="s">
        <v>854</v>
      </c>
      <c r="H26" s="675" t="s">
        <v>852</v>
      </c>
      <c r="I26" s="761">
        <v>30000</v>
      </c>
      <c r="J26" s="761">
        <v>30000</v>
      </c>
      <c r="K26" s="767">
        <v>1725</v>
      </c>
      <c r="L26" s="614">
        <f>4100*10</f>
        <v>41000</v>
      </c>
      <c r="M26" s="601">
        <v>0</v>
      </c>
      <c r="N26" s="751">
        <f t="shared" ref="N26" si="6">SUM(L26:M26)</f>
        <v>41000</v>
      </c>
      <c r="O26" s="377">
        <f t="shared" ref="O26" si="7">IF(J26=0,"",N26/J26*100)</f>
        <v>136.66666666666666</v>
      </c>
    </row>
    <row r="27" spans="1:15" s="314" customFormat="1" ht="12.95" customHeight="1">
      <c r="B27" s="315"/>
      <c r="C27" s="316"/>
      <c r="D27" s="316"/>
      <c r="E27" s="316"/>
      <c r="F27" s="336">
        <v>613900</v>
      </c>
      <c r="G27" s="365" t="s">
        <v>908</v>
      </c>
      <c r="H27" s="675" t="s">
        <v>920</v>
      </c>
      <c r="I27" s="761">
        <v>0</v>
      </c>
      <c r="J27" s="761">
        <v>0</v>
      </c>
      <c r="K27" s="767">
        <v>0</v>
      </c>
      <c r="L27" s="614">
        <v>45000</v>
      </c>
      <c r="M27" s="601">
        <v>0</v>
      </c>
      <c r="N27" s="751">
        <f t="shared" ref="N27" si="8">SUM(L27:M27)</f>
        <v>45000</v>
      </c>
      <c r="O27" s="377" t="str">
        <f t="shared" ref="O27" si="9">IF(J27=0,"",N27/J27*100)</f>
        <v/>
      </c>
    </row>
    <row r="28" spans="1:15" ht="12.95" customHeight="1">
      <c r="B28" s="10"/>
      <c r="C28" s="11"/>
      <c r="D28" s="11"/>
      <c r="E28" s="316"/>
      <c r="F28" s="336">
        <v>613900</v>
      </c>
      <c r="G28" s="362"/>
      <c r="H28" s="210" t="s">
        <v>465</v>
      </c>
      <c r="I28" s="762">
        <v>0</v>
      </c>
      <c r="J28" s="762">
        <v>0</v>
      </c>
      <c r="K28" s="770">
        <v>0</v>
      </c>
      <c r="L28" s="615">
        <v>0</v>
      </c>
      <c r="M28" s="602">
        <v>0</v>
      </c>
      <c r="N28" s="751">
        <f t="shared" si="5"/>
        <v>0</v>
      </c>
      <c r="O28" s="377" t="str">
        <f t="shared" si="2"/>
        <v/>
      </c>
    </row>
    <row r="29" spans="1:15" s="1" customFormat="1" ht="12.95" customHeight="1">
      <c r="A29" s="311"/>
      <c r="B29" s="12"/>
      <c r="C29" s="8"/>
      <c r="D29" s="8"/>
      <c r="E29" s="666"/>
      <c r="F29" s="346"/>
      <c r="G29" s="373"/>
      <c r="H29" s="8"/>
      <c r="I29" s="759"/>
      <c r="J29" s="759"/>
      <c r="K29" s="768"/>
      <c r="L29" s="612"/>
      <c r="M29" s="599"/>
      <c r="N29" s="752"/>
      <c r="O29" s="377" t="str">
        <f t="shared" si="2"/>
        <v/>
      </c>
    </row>
    <row r="30" spans="1:15" s="1" customFormat="1" ht="12.95" customHeight="1">
      <c r="A30" s="311"/>
      <c r="B30" s="12"/>
      <c r="C30" s="8"/>
      <c r="D30" s="8"/>
      <c r="E30" s="8"/>
      <c r="F30" s="335">
        <v>821000</v>
      </c>
      <c r="G30" s="361"/>
      <c r="H30" s="8" t="s">
        <v>89</v>
      </c>
      <c r="I30" s="763">
        <f t="shared" ref="I30:N30" si="10">SUM(I31:I32)</f>
        <v>5000</v>
      </c>
      <c r="J30" s="763">
        <f t="shared" si="10"/>
        <v>5000</v>
      </c>
      <c r="K30" s="771">
        <f t="shared" si="10"/>
        <v>690</v>
      </c>
      <c r="L30" s="616">
        <f t="shared" si="10"/>
        <v>5000</v>
      </c>
      <c r="M30" s="603">
        <f t="shared" si="10"/>
        <v>0</v>
      </c>
      <c r="N30" s="753">
        <f t="shared" si="10"/>
        <v>5000</v>
      </c>
      <c r="O30" s="376">
        <f t="shared" si="2"/>
        <v>100</v>
      </c>
    </row>
    <row r="31" spans="1:15" ht="12.95" customHeight="1">
      <c r="B31" s="10"/>
      <c r="C31" s="11"/>
      <c r="D31" s="11"/>
      <c r="E31" s="316"/>
      <c r="F31" s="336">
        <v>821200</v>
      </c>
      <c r="G31" s="362"/>
      <c r="H31" s="11" t="s">
        <v>90</v>
      </c>
      <c r="I31" s="759">
        <v>0</v>
      </c>
      <c r="J31" s="759">
        <v>0</v>
      </c>
      <c r="K31" s="768">
        <v>0</v>
      </c>
      <c r="L31" s="612">
        <v>0</v>
      </c>
      <c r="M31" s="599">
        <v>0</v>
      </c>
      <c r="N31" s="751">
        <f t="shared" ref="N31:N32" si="11">SUM(L31:M31)</f>
        <v>0</v>
      </c>
      <c r="O31" s="377" t="str">
        <f t="shared" si="2"/>
        <v/>
      </c>
    </row>
    <row r="32" spans="1:15" ht="12.95" customHeight="1">
      <c r="B32" s="10"/>
      <c r="C32" s="11"/>
      <c r="D32" s="11"/>
      <c r="E32" s="316"/>
      <c r="F32" s="336">
        <v>821300</v>
      </c>
      <c r="G32" s="362"/>
      <c r="H32" s="11" t="s">
        <v>91</v>
      </c>
      <c r="I32" s="759">
        <v>5000</v>
      </c>
      <c r="J32" s="759">
        <v>5000</v>
      </c>
      <c r="K32" s="768">
        <v>690</v>
      </c>
      <c r="L32" s="612">
        <v>5000</v>
      </c>
      <c r="M32" s="599">
        <v>0</v>
      </c>
      <c r="N32" s="751">
        <f t="shared" si="11"/>
        <v>5000</v>
      </c>
      <c r="O32" s="377">
        <f t="shared" si="2"/>
        <v>100</v>
      </c>
    </row>
    <row r="33" spans="1:15" ht="12.95" customHeight="1">
      <c r="B33" s="10"/>
      <c r="C33" s="11"/>
      <c r="D33" s="11"/>
      <c r="E33" s="316"/>
      <c r="F33" s="336"/>
      <c r="G33" s="362"/>
      <c r="H33" s="11"/>
      <c r="I33" s="759"/>
      <c r="J33" s="759"/>
      <c r="K33" s="768"/>
      <c r="L33" s="612"/>
      <c r="M33" s="599"/>
      <c r="N33" s="752"/>
      <c r="O33" s="377" t="str">
        <f t="shared" si="2"/>
        <v/>
      </c>
    </row>
    <row r="34" spans="1:15" s="1" customFormat="1" ht="12.95" customHeight="1">
      <c r="A34" s="311"/>
      <c r="B34" s="12"/>
      <c r="C34" s="8"/>
      <c r="D34" s="8"/>
      <c r="E34" s="8"/>
      <c r="F34" s="335"/>
      <c r="G34" s="361"/>
      <c r="H34" s="8" t="s">
        <v>92</v>
      </c>
      <c r="I34" s="764" t="s">
        <v>795</v>
      </c>
      <c r="J34" s="764" t="s">
        <v>795</v>
      </c>
      <c r="K34" s="772">
        <v>4</v>
      </c>
      <c r="L34" s="653" t="s">
        <v>795</v>
      </c>
      <c r="M34" s="652"/>
      <c r="N34" s="754" t="s">
        <v>795</v>
      </c>
      <c r="O34" s="377"/>
    </row>
    <row r="35" spans="1:15" s="1" customFormat="1" ht="12.95" customHeight="1">
      <c r="A35" s="311"/>
      <c r="B35" s="12"/>
      <c r="C35" s="8"/>
      <c r="D35" s="8"/>
      <c r="E35" s="8"/>
      <c r="F35" s="335"/>
      <c r="G35" s="361"/>
      <c r="H35" s="8" t="s">
        <v>110</v>
      </c>
      <c r="I35" s="575">
        <f>I8+I13+I16+I30</f>
        <v>218540</v>
      </c>
      <c r="J35" s="318">
        <f>J8+J13+J16+J30</f>
        <v>218540</v>
      </c>
      <c r="K35" s="575">
        <f t="shared" ref="K35" si="12">K8+K13+K16+K30</f>
        <v>65216</v>
      </c>
      <c r="L35" s="616">
        <f>L8+L13+L16+L30</f>
        <v>250890</v>
      </c>
      <c r="M35" s="603">
        <f>M8+M13+M16+M30</f>
        <v>0</v>
      </c>
      <c r="N35" s="753">
        <f>N8+N13+N16+N30</f>
        <v>250890</v>
      </c>
      <c r="O35" s="376">
        <f t="shared" si="2"/>
        <v>114.80278209938683</v>
      </c>
    </row>
    <row r="36" spans="1:15" s="1" customFormat="1" ht="12.95" customHeight="1">
      <c r="A36" s="311"/>
      <c r="B36" s="12"/>
      <c r="C36" s="8"/>
      <c r="D36" s="8"/>
      <c r="E36" s="8"/>
      <c r="F36" s="335"/>
      <c r="G36" s="361"/>
      <c r="H36" s="8" t="s">
        <v>93</v>
      </c>
      <c r="I36" s="575"/>
      <c r="J36" s="318"/>
      <c r="K36" s="575"/>
      <c r="L36" s="616"/>
      <c r="M36" s="603"/>
      <c r="N36" s="753"/>
      <c r="O36" s="377" t="str">
        <f>IF(J36=0,"",N36/J36*100)</f>
        <v/>
      </c>
    </row>
    <row r="37" spans="1:15" s="1" customFormat="1" ht="12.95" customHeight="1">
      <c r="A37" s="311"/>
      <c r="B37" s="12"/>
      <c r="C37" s="8"/>
      <c r="D37" s="8"/>
      <c r="E37" s="8"/>
      <c r="F37" s="335"/>
      <c r="G37" s="361"/>
      <c r="H37" s="8" t="s">
        <v>94</v>
      </c>
      <c r="I37" s="30"/>
      <c r="J37" s="30"/>
      <c r="K37" s="586"/>
      <c r="L37" s="617"/>
      <c r="M37" s="604"/>
      <c r="N37" s="752"/>
      <c r="O37" s="377" t="str">
        <f t="shared" si="2"/>
        <v/>
      </c>
    </row>
    <row r="38" spans="1:15" ht="12.95" customHeight="1" thickBot="1">
      <c r="B38" s="16"/>
      <c r="C38" s="17"/>
      <c r="D38" s="17"/>
      <c r="E38" s="17"/>
      <c r="F38" s="337"/>
      <c r="G38" s="363"/>
      <c r="H38" s="17"/>
      <c r="I38" s="32"/>
      <c r="J38" s="32"/>
      <c r="K38" s="576"/>
      <c r="L38" s="618"/>
      <c r="M38" s="605"/>
      <c r="N38" s="755"/>
      <c r="O38" s="379"/>
    </row>
    <row r="39" spans="1:15" ht="12.95" customHeight="1">
      <c r="F39" s="338"/>
      <c r="G39" s="364"/>
      <c r="N39" s="425"/>
    </row>
    <row r="40" spans="1:15" ht="12.95" customHeight="1">
      <c r="F40" s="338"/>
      <c r="G40" s="364"/>
      <c r="N40" s="425"/>
    </row>
    <row r="41" spans="1:15" ht="12.95" customHeight="1">
      <c r="F41" s="338"/>
      <c r="G41" s="364"/>
      <c r="N41" s="425"/>
    </row>
    <row r="42" spans="1:15" ht="12.95" customHeight="1">
      <c r="F42" s="338"/>
      <c r="G42" s="364"/>
      <c r="N42" s="425"/>
    </row>
    <row r="43" spans="1:15" ht="12.95" customHeight="1">
      <c r="F43" s="338"/>
      <c r="G43" s="364"/>
      <c r="N43" s="425"/>
    </row>
    <row r="44" spans="1:15" ht="12.95" customHeight="1">
      <c r="F44" s="338"/>
      <c r="G44" s="364"/>
      <c r="N44" s="425"/>
    </row>
    <row r="45" spans="1:15" ht="12.95" customHeight="1">
      <c r="F45" s="338"/>
      <c r="G45" s="364"/>
      <c r="N45" s="425"/>
    </row>
    <row r="46" spans="1:15" ht="12.95" customHeight="1">
      <c r="F46" s="338"/>
      <c r="G46" s="364"/>
      <c r="N46" s="425"/>
    </row>
    <row r="47" spans="1:15" ht="12.95" customHeight="1">
      <c r="F47" s="338"/>
      <c r="G47" s="364"/>
      <c r="N47" s="425"/>
    </row>
    <row r="48" spans="1:15" ht="12.95" customHeight="1">
      <c r="F48" s="338"/>
      <c r="G48" s="364"/>
      <c r="N48" s="425"/>
    </row>
    <row r="49" spans="6:14" ht="12.95" customHeight="1">
      <c r="F49" s="338"/>
      <c r="G49" s="364"/>
      <c r="N49" s="425"/>
    </row>
    <row r="50" spans="6:14" ht="12.95" customHeight="1">
      <c r="F50" s="338"/>
      <c r="G50" s="364"/>
      <c r="N50" s="425"/>
    </row>
    <row r="51" spans="6:14" ht="12.95" customHeight="1">
      <c r="F51" s="338"/>
      <c r="G51" s="364"/>
      <c r="N51" s="425"/>
    </row>
    <row r="52" spans="6:14" ht="12.95" customHeight="1">
      <c r="F52" s="338"/>
      <c r="G52" s="364"/>
      <c r="N52" s="425"/>
    </row>
    <row r="53" spans="6:14" ht="12.95" customHeight="1">
      <c r="F53" s="338"/>
      <c r="G53" s="364"/>
      <c r="N53" s="425"/>
    </row>
    <row r="54" spans="6:14" ht="12.95" customHeight="1">
      <c r="F54" s="338"/>
      <c r="G54" s="364"/>
      <c r="N54" s="425"/>
    </row>
    <row r="55" spans="6:14" ht="12.95" customHeight="1">
      <c r="F55" s="338"/>
      <c r="G55" s="364"/>
      <c r="N55" s="425"/>
    </row>
    <row r="56" spans="6:14" ht="12.95" customHeight="1">
      <c r="F56" s="338"/>
      <c r="G56" s="364"/>
      <c r="N56" s="425"/>
    </row>
    <row r="57" spans="6:14" ht="12.95" customHeight="1">
      <c r="F57" s="338"/>
      <c r="G57" s="364"/>
      <c r="N57" s="425"/>
    </row>
    <row r="58" spans="6:14" ht="12.95" customHeight="1">
      <c r="F58" s="338"/>
      <c r="G58" s="364"/>
      <c r="N58" s="425"/>
    </row>
    <row r="59" spans="6:14" ht="12.95" customHeight="1">
      <c r="F59" s="338"/>
      <c r="G59" s="364"/>
      <c r="N59" s="425"/>
    </row>
    <row r="60" spans="6:14" ht="12.95" customHeight="1">
      <c r="F60" s="338"/>
      <c r="G60" s="364"/>
      <c r="N60" s="425"/>
    </row>
    <row r="61" spans="6:14" ht="12.95" customHeight="1">
      <c r="F61" s="338"/>
      <c r="G61" s="364"/>
      <c r="N61" s="425"/>
    </row>
    <row r="62" spans="6:14" ht="17.100000000000001" customHeight="1">
      <c r="F62" s="338"/>
      <c r="G62" s="364"/>
      <c r="N62" s="425"/>
    </row>
    <row r="63" spans="6:14" ht="14.25">
      <c r="F63" s="338"/>
      <c r="G63" s="364"/>
      <c r="N63" s="425"/>
    </row>
    <row r="64" spans="6:14" ht="14.25">
      <c r="F64" s="338"/>
      <c r="G64" s="364"/>
      <c r="N64" s="425"/>
    </row>
    <row r="65" spans="6:14" ht="14.25">
      <c r="F65" s="338"/>
      <c r="G65" s="364"/>
      <c r="N65" s="425"/>
    </row>
    <row r="66" spans="6:14" ht="14.25">
      <c r="F66" s="338"/>
      <c r="G66" s="364"/>
      <c r="N66" s="425"/>
    </row>
    <row r="67" spans="6:14" ht="14.25">
      <c r="F67" s="338"/>
      <c r="G67" s="364"/>
      <c r="N67" s="425"/>
    </row>
    <row r="68" spans="6:14" ht="14.25">
      <c r="F68" s="338"/>
      <c r="G68" s="364"/>
      <c r="N68" s="425"/>
    </row>
    <row r="69" spans="6:14" ht="14.25">
      <c r="F69" s="338"/>
      <c r="G69" s="364"/>
      <c r="N69" s="425"/>
    </row>
    <row r="70" spans="6:14" ht="14.25">
      <c r="F70" s="338"/>
      <c r="G70" s="364"/>
      <c r="N70" s="425"/>
    </row>
    <row r="71" spans="6:14" ht="14.25">
      <c r="F71" s="338"/>
      <c r="G71" s="364"/>
      <c r="N71" s="425"/>
    </row>
    <row r="72" spans="6:14" ht="14.25">
      <c r="F72" s="338"/>
      <c r="G72" s="364"/>
      <c r="N72" s="425"/>
    </row>
    <row r="73" spans="6:14" ht="14.25">
      <c r="F73" s="338"/>
      <c r="G73" s="364"/>
      <c r="N73" s="425"/>
    </row>
    <row r="74" spans="6:14" ht="14.25">
      <c r="F74" s="338"/>
      <c r="G74" s="364"/>
      <c r="N74" s="425"/>
    </row>
    <row r="75" spans="6:14" ht="14.25">
      <c r="F75" s="338"/>
      <c r="G75" s="364"/>
      <c r="N75" s="425"/>
    </row>
    <row r="76" spans="6:14" ht="14.25">
      <c r="F76" s="338"/>
      <c r="G76" s="338"/>
      <c r="N76" s="425"/>
    </row>
    <row r="77" spans="6:14" ht="14.25">
      <c r="F77" s="338"/>
      <c r="G77" s="338"/>
      <c r="N77" s="425"/>
    </row>
    <row r="78" spans="6:14" ht="14.25">
      <c r="F78" s="338"/>
      <c r="G78" s="338"/>
      <c r="N78" s="425"/>
    </row>
    <row r="79" spans="6:14" ht="14.25">
      <c r="F79" s="338"/>
      <c r="G79" s="338"/>
      <c r="N79" s="425"/>
    </row>
    <row r="80" spans="6:14" ht="14.25">
      <c r="F80" s="338"/>
      <c r="G80" s="338"/>
      <c r="N80" s="425"/>
    </row>
    <row r="81" spans="6:14" ht="14.25">
      <c r="F81" s="338"/>
      <c r="G81" s="338"/>
      <c r="N81" s="425"/>
    </row>
    <row r="82" spans="6:14" ht="14.25">
      <c r="F82" s="338"/>
      <c r="G82" s="338"/>
      <c r="N82" s="425"/>
    </row>
    <row r="83" spans="6:14" ht="14.25">
      <c r="F83" s="338"/>
      <c r="G83" s="338"/>
      <c r="N83" s="425"/>
    </row>
    <row r="84" spans="6:14" ht="14.25">
      <c r="F84" s="338"/>
      <c r="G84" s="338"/>
      <c r="N84" s="425"/>
    </row>
    <row r="85" spans="6:14" ht="14.25">
      <c r="F85" s="338"/>
      <c r="G85" s="338"/>
      <c r="N85" s="425"/>
    </row>
    <row r="86" spans="6:14" ht="14.25">
      <c r="F86" s="338"/>
      <c r="G86" s="338"/>
      <c r="N86" s="425"/>
    </row>
    <row r="87" spans="6:14" ht="14.25">
      <c r="F87" s="338"/>
      <c r="G87" s="338"/>
      <c r="N87" s="425"/>
    </row>
    <row r="88" spans="6:14" ht="14.25">
      <c r="F88" s="338"/>
      <c r="G88" s="338"/>
      <c r="N88" s="425"/>
    </row>
    <row r="89" spans="6:14" ht="14.25">
      <c r="F89" s="338"/>
      <c r="G89" s="338"/>
      <c r="N89" s="425"/>
    </row>
    <row r="90" spans="6:14" ht="14.25">
      <c r="F90" s="338"/>
      <c r="G90" s="338"/>
      <c r="N90" s="425"/>
    </row>
    <row r="91" spans="6:14" ht="14.25">
      <c r="F91" s="338"/>
      <c r="G91" s="338"/>
      <c r="N91" s="425"/>
    </row>
    <row r="92" spans="6:14" ht="14.25">
      <c r="F92" s="338"/>
      <c r="G92" s="338"/>
      <c r="N92" s="425"/>
    </row>
    <row r="93" spans="6:14">
      <c r="G93" s="338"/>
    </row>
    <row r="94" spans="6:14">
      <c r="G94" s="338"/>
    </row>
    <row r="95" spans="6:14">
      <c r="G95" s="338"/>
    </row>
    <row r="96" spans="6:14">
      <c r="G96" s="338"/>
    </row>
    <row r="97" spans="7:7">
      <c r="G97" s="338"/>
    </row>
    <row r="98" spans="7:7">
      <c r="G98" s="338"/>
    </row>
  </sheetData>
  <mergeCells count="14">
    <mergeCell ref="O4:O5"/>
    <mergeCell ref="H4:H5"/>
    <mergeCell ref="B2:I2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K4:K5"/>
    <mergeCell ref="E4:E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4"/>
  <dimension ref="A1:S96"/>
  <sheetViews>
    <sheetView topLeftCell="A4" zoomScaleNormal="100" workbookViewId="0">
      <selection activeCell="J45" sqref="J45"/>
    </sheetView>
  </sheetViews>
  <sheetFormatPr defaultRowHeight="12.75"/>
  <cols>
    <col min="1" max="1" width="9.140625" style="314"/>
    <col min="2" max="2" width="4.7109375" style="9" customWidth="1"/>
    <col min="3" max="3" width="5.140625" style="9" customWidth="1"/>
    <col min="4" max="4" width="5" style="9" customWidth="1"/>
    <col min="5" max="5" width="5" style="314" customWidth="1"/>
    <col min="6" max="6" width="8.7109375" style="18" customWidth="1"/>
    <col min="7" max="7" width="8.7109375" style="319" customWidth="1"/>
    <col min="8" max="8" width="50.7109375" style="9" customWidth="1"/>
    <col min="9" max="13" width="14.7109375" style="63" customWidth="1"/>
    <col min="14" max="14" width="15.7109375" style="63" customWidth="1"/>
    <col min="15" max="15" width="7.7109375" style="380" customWidth="1"/>
    <col min="16" max="16384" width="9.140625" style="9"/>
  </cols>
  <sheetData>
    <row r="1" spans="1:19" ht="13.5" thickBot="1"/>
    <row r="2" spans="1:19" s="408" customFormat="1" ht="20.100000000000001" customHeight="1" thickTop="1" thickBot="1">
      <c r="B2" s="887" t="s">
        <v>774</v>
      </c>
      <c r="C2" s="888"/>
      <c r="D2" s="888"/>
      <c r="E2" s="888"/>
      <c r="F2" s="888"/>
      <c r="G2" s="888"/>
      <c r="H2" s="888"/>
      <c r="I2" s="888"/>
      <c r="J2" s="921"/>
      <c r="K2" s="921"/>
      <c r="L2" s="921"/>
      <c r="M2" s="921"/>
      <c r="N2" s="921"/>
      <c r="O2" s="922"/>
    </row>
    <row r="3" spans="1:19" s="1" customFormat="1" ht="8.1" customHeight="1" thickTop="1" thickBot="1">
      <c r="A3" s="311"/>
      <c r="E3" s="311"/>
      <c r="F3" s="2"/>
      <c r="G3" s="312"/>
      <c r="H3" s="890"/>
      <c r="I3" s="890"/>
      <c r="J3" s="282"/>
      <c r="K3" s="282"/>
      <c r="L3" s="107"/>
      <c r="M3" s="107"/>
      <c r="N3" s="107"/>
      <c r="O3" s="374"/>
    </row>
    <row r="4" spans="1:19" s="1" customFormat="1" ht="39" customHeight="1">
      <c r="A4" s="311"/>
      <c r="B4" s="894" t="s">
        <v>77</v>
      </c>
      <c r="C4" s="909" t="s">
        <v>78</v>
      </c>
      <c r="D4" s="910" t="s">
        <v>107</v>
      </c>
      <c r="E4" s="916" t="s">
        <v>828</v>
      </c>
      <c r="F4" s="911" t="s">
        <v>517</v>
      </c>
      <c r="G4" s="899" t="s">
        <v>556</v>
      </c>
      <c r="H4" s="900" t="s">
        <v>79</v>
      </c>
      <c r="I4" s="912" t="s">
        <v>697</v>
      </c>
      <c r="J4" s="913" t="s">
        <v>862</v>
      </c>
      <c r="K4" s="917" t="s">
        <v>863</v>
      </c>
      <c r="L4" s="908" t="s">
        <v>865</v>
      </c>
      <c r="M4" s="892"/>
      <c r="N4" s="893"/>
      <c r="O4" s="906" t="s">
        <v>866</v>
      </c>
      <c r="Q4" s="81"/>
    </row>
    <row r="5" spans="1:19" s="311" customFormat="1" ht="27" customHeight="1">
      <c r="B5" s="895"/>
      <c r="C5" s="897"/>
      <c r="D5" s="897"/>
      <c r="E5" s="897"/>
      <c r="F5" s="901"/>
      <c r="G5" s="897"/>
      <c r="H5" s="901"/>
      <c r="I5" s="901"/>
      <c r="J5" s="901"/>
      <c r="K5" s="905"/>
      <c r="L5" s="587" t="s">
        <v>601</v>
      </c>
      <c r="M5" s="404" t="s">
        <v>602</v>
      </c>
      <c r="N5" s="720" t="s">
        <v>349</v>
      </c>
      <c r="O5" s="907"/>
    </row>
    <row r="6" spans="1:19" s="2" customFormat="1" ht="12.95" customHeight="1">
      <c r="A6" s="312"/>
      <c r="B6" s="525">
        <v>1</v>
      </c>
      <c r="C6" s="361">
        <v>2</v>
      </c>
      <c r="D6" s="361">
        <v>3</v>
      </c>
      <c r="E6" s="361">
        <v>4</v>
      </c>
      <c r="F6" s="361">
        <v>5</v>
      </c>
      <c r="G6" s="361">
        <v>6</v>
      </c>
      <c r="H6" s="361">
        <v>7</v>
      </c>
      <c r="I6" s="361">
        <v>8</v>
      </c>
      <c r="J6" s="361">
        <v>9</v>
      </c>
      <c r="K6" s="526">
        <v>10</v>
      </c>
      <c r="L6" s="525">
        <v>11</v>
      </c>
      <c r="M6" s="361">
        <v>12</v>
      </c>
      <c r="N6" s="721" t="s">
        <v>830</v>
      </c>
      <c r="O6" s="527">
        <v>14</v>
      </c>
    </row>
    <row r="7" spans="1:19" s="2" customFormat="1" ht="12.95" customHeight="1">
      <c r="A7" s="312"/>
      <c r="B7" s="6" t="s">
        <v>123</v>
      </c>
      <c r="C7" s="7" t="s">
        <v>124</v>
      </c>
      <c r="D7" s="7" t="s">
        <v>118</v>
      </c>
      <c r="E7" s="667" t="s">
        <v>834</v>
      </c>
      <c r="F7" s="5"/>
      <c r="G7" s="313"/>
      <c r="H7" s="5"/>
      <c r="I7" s="100"/>
      <c r="J7" s="100"/>
      <c r="K7" s="592"/>
      <c r="L7" s="619"/>
      <c r="M7" s="100"/>
      <c r="N7" s="773"/>
      <c r="O7" s="375"/>
    </row>
    <row r="8" spans="1:19" s="1" customFormat="1" ht="12.95" customHeight="1">
      <c r="A8" s="311"/>
      <c r="B8" s="12"/>
      <c r="C8" s="8"/>
      <c r="D8" s="8"/>
      <c r="E8" s="8"/>
      <c r="F8" s="335">
        <v>611000</v>
      </c>
      <c r="G8" s="361"/>
      <c r="H8" s="8" t="s">
        <v>146</v>
      </c>
      <c r="I8" s="774">
        <f t="shared" ref="I8:N8" si="0">SUM(I9:I12)</f>
        <v>1159550</v>
      </c>
      <c r="J8" s="774">
        <f t="shared" si="0"/>
        <v>1159550</v>
      </c>
      <c r="K8" s="780">
        <f t="shared" si="0"/>
        <v>272300</v>
      </c>
      <c r="L8" s="590">
        <f t="shared" si="0"/>
        <v>1167960</v>
      </c>
      <c r="M8" s="249">
        <f t="shared" si="0"/>
        <v>0</v>
      </c>
      <c r="N8" s="723">
        <f t="shared" si="0"/>
        <v>1167960</v>
      </c>
      <c r="O8" s="376">
        <f>IF(J8=0,"",N8/J8*100)</f>
        <v>100.72528135914796</v>
      </c>
    </row>
    <row r="9" spans="1:19" ht="12.95" customHeight="1">
      <c r="B9" s="10"/>
      <c r="C9" s="11"/>
      <c r="D9" s="11"/>
      <c r="E9" s="316"/>
      <c r="F9" s="336">
        <v>611100</v>
      </c>
      <c r="G9" s="362"/>
      <c r="H9" s="20" t="s">
        <v>174</v>
      </c>
      <c r="I9" s="775">
        <f>940570+12*950+10000+23520</f>
        <v>985490</v>
      </c>
      <c r="J9" s="775">
        <f>940570+12*950+10000+23520</f>
        <v>985490</v>
      </c>
      <c r="K9" s="781">
        <v>239360</v>
      </c>
      <c r="L9" s="620">
        <f>996750+1000+820</f>
        <v>998570</v>
      </c>
      <c r="M9" s="251">
        <v>0</v>
      </c>
      <c r="N9" s="724">
        <f>SUM(L9:M9)</f>
        <v>998570</v>
      </c>
      <c r="O9" s="377">
        <f>IF(J9=0,"",N9/J9*100)</f>
        <v>101.32725852114177</v>
      </c>
    </row>
    <row r="10" spans="1:19" ht="12.95" customHeight="1">
      <c r="B10" s="10"/>
      <c r="C10" s="11"/>
      <c r="D10" s="11"/>
      <c r="E10" s="316"/>
      <c r="F10" s="336">
        <v>611200</v>
      </c>
      <c r="G10" s="362"/>
      <c r="H10" s="11" t="s">
        <v>175</v>
      </c>
      <c r="I10" s="775">
        <f>162530+11*21*15+400+4660+3005</f>
        <v>174060</v>
      </c>
      <c r="J10" s="775">
        <f>162530+11*21*15+400+4660+3005</f>
        <v>174060</v>
      </c>
      <c r="K10" s="781">
        <v>32940</v>
      </c>
      <c r="L10" s="620">
        <f>163730+1000+4660</f>
        <v>169390</v>
      </c>
      <c r="M10" s="251">
        <v>0</v>
      </c>
      <c r="N10" s="724">
        <f t="shared" ref="N10:N11" si="1">SUM(L10:M10)</f>
        <v>169390</v>
      </c>
      <c r="O10" s="377">
        <f t="shared" ref="O10:O35" si="2">IF(J10=0,"",N10/J10*100)</f>
        <v>97.317017120533151</v>
      </c>
    </row>
    <row r="11" spans="1:19" ht="12.95" customHeight="1">
      <c r="B11" s="10"/>
      <c r="C11" s="11"/>
      <c r="D11" s="11"/>
      <c r="E11" s="316"/>
      <c r="F11" s="336">
        <v>611200</v>
      </c>
      <c r="G11" s="362"/>
      <c r="H11" s="210" t="s">
        <v>464</v>
      </c>
      <c r="I11" s="776">
        <v>0</v>
      </c>
      <c r="J11" s="776">
        <v>0</v>
      </c>
      <c r="K11" s="782">
        <v>0</v>
      </c>
      <c r="L11" s="591">
        <v>0</v>
      </c>
      <c r="M11" s="250">
        <v>0</v>
      </c>
      <c r="N11" s="724">
        <f t="shared" si="1"/>
        <v>0</v>
      </c>
      <c r="O11" s="377" t="str">
        <f t="shared" si="2"/>
        <v/>
      </c>
      <c r="Q11" s="62"/>
    </row>
    <row r="12" spans="1:19" ht="12.95" customHeight="1">
      <c r="B12" s="10"/>
      <c r="C12" s="11"/>
      <c r="D12" s="11"/>
      <c r="E12" s="316"/>
      <c r="F12" s="336"/>
      <c r="G12" s="362"/>
      <c r="H12" s="20"/>
      <c r="I12" s="775"/>
      <c r="J12" s="775"/>
      <c r="K12" s="781"/>
      <c r="L12" s="620"/>
      <c r="M12" s="251"/>
      <c r="N12" s="724"/>
      <c r="O12" s="377" t="str">
        <f t="shared" si="2"/>
        <v/>
      </c>
    </row>
    <row r="13" spans="1:19" s="1" customFormat="1" ht="12.95" customHeight="1">
      <c r="A13" s="311"/>
      <c r="B13" s="12"/>
      <c r="C13" s="8"/>
      <c r="D13" s="8"/>
      <c r="E13" s="8"/>
      <c r="F13" s="335">
        <v>612000</v>
      </c>
      <c r="G13" s="361"/>
      <c r="H13" s="8" t="s">
        <v>145</v>
      </c>
      <c r="I13" s="774">
        <f t="shared" ref="I13:N13" si="3">I14</f>
        <v>109020</v>
      </c>
      <c r="J13" s="774">
        <f t="shared" si="3"/>
        <v>109020</v>
      </c>
      <c r="K13" s="780">
        <f t="shared" si="3"/>
        <v>26070</v>
      </c>
      <c r="L13" s="590">
        <f t="shared" si="3"/>
        <v>106320</v>
      </c>
      <c r="M13" s="249">
        <f t="shared" si="3"/>
        <v>0</v>
      </c>
      <c r="N13" s="723">
        <f t="shared" si="3"/>
        <v>106320</v>
      </c>
      <c r="O13" s="376">
        <f t="shared" si="2"/>
        <v>97.52339020363236</v>
      </c>
    </row>
    <row r="14" spans="1:19" ht="12.95" customHeight="1">
      <c r="B14" s="10"/>
      <c r="C14" s="11"/>
      <c r="D14" s="11"/>
      <c r="E14" s="316"/>
      <c r="F14" s="336">
        <v>612100</v>
      </c>
      <c r="G14" s="362"/>
      <c r="H14" s="13" t="s">
        <v>82</v>
      </c>
      <c r="I14" s="775">
        <f>103700+12*110+1400+2600</f>
        <v>109020</v>
      </c>
      <c r="J14" s="775">
        <f>103700+12*110+1400+2600</f>
        <v>109020</v>
      </c>
      <c r="K14" s="781">
        <v>26070</v>
      </c>
      <c r="L14" s="620">
        <f>105620+700</f>
        <v>106320</v>
      </c>
      <c r="M14" s="251">
        <v>0</v>
      </c>
      <c r="N14" s="724">
        <f>SUM(L14:M14)</f>
        <v>106320</v>
      </c>
      <c r="O14" s="377">
        <f t="shared" si="2"/>
        <v>97.52339020363236</v>
      </c>
    </row>
    <row r="15" spans="1:19" ht="12.95" customHeight="1">
      <c r="B15" s="10"/>
      <c r="C15" s="11"/>
      <c r="D15" s="11"/>
      <c r="E15" s="316"/>
      <c r="F15" s="336"/>
      <c r="G15" s="362"/>
      <c r="H15" s="11"/>
      <c r="I15" s="777"/>
      <c r="J15" s="777"/>
      <c r="K15" s="779"/>
      <c r="L15" s="621"/>
      <c r="M15" s="321"/>
      <c r="N15" s="725"/>
      <c r="O15" s="377" t="str">
        <f t="shared" si="2"/>
        <v/>
      </c>
      <c r="S15" s="63"/>
    </row>
    <row r="16" spans="1:19" s="1" customFormat="1" ht="12.95" customHeight="1">
      <c r="A16" s="311"/>
      <c r="B16" s="12"/>
      <c r="C16" s="8"/>
      <c r="D16" s="8"/>
      <c r="E16" s="8"/>
      <c r="F16" s="335">
        <v>613000</v>
      </c>
      <c r="G16" s="361"/>
      <c r="H16" s="8" t="s">
        <v>147</v>
      </c>
      <c r="I16" s="778">
        <f t="shared" ref="I16:N16" si="4">SUM(I17:I26)</f>
        <v>270000</v>
      </c>
      <c r="J16" s="778">
        <f t="shared" si="4"/>
        <v>270000</v>
      </c>
      <c r="K16" s="783">
        <f t="shared" si="4"/>
        <v>45585</v>
      </c>
      <c r="L16" s="588">
        <f t="shared" si="4"/>
        <v>243500</v>
      </c>
      <c r="M16" s="323">
        <f t="shared" si="4"/>
        <v>0</v>
      </c>
      <c r="N16" s="726">
        <f t="shared" si="4"/>
        <v>243500</v>
      </c>
      <c r="O16" s="376">
        <f t="shared" si="2"/>
        <v>90.18518518518519</v>
      </c>
    </row>
    <row r="17" spans="1:16" ht="12.95" customHeight="1">
      <c r="B17" s="10"/>
      <c r="C17" s="11"/>
      <c r="D17" s="11"/>
      <c r="E17" s="316"/>
      <c r="F17" s="336">
        <v>613100</v>
      </c>
      <c r="G17" s="362"/>
      <c r="H17" s="11" t="s">
        <v>83</v>
      </c>
      <c r="I17" s="779">
        <v>5000</v>
      </c>
      <c r="J17" s="779">
        <v>5000</v>
      </c>
      <c r="K17" s="779">
        <v>75</v>
      </c>
      <c r="L17" s="571">
        <f>5000*80%</f>
        <v>4000</v>
      </c>
      <c r="M17" s="395">
        <v>0</v>
      </c>
      <c r="N17" s="724">
        <f t="shared" ref="N17:N26" si="5">SUM(L17:M17)</f>
        <v>4000</v>
      </c>
      <c r="O17" s="377">
        <f t="shared" si="2"/>
        <v>80</v>
      </c>
    </row>
    <row r="18" spans="1:16" ht="12.95" customHeight="1">
      <c r="B18" s="10"/>
      <c r="C18" s="11"/>
      <c r="D18" s="11"/>
      <c r="E18" s="316"/>
      <c r="F18" s="336">
        <v>613200</v>
      </c>
      <c r="G18" s="362"/>
      <c r="H18" s="11" t="s">
        <v>84</v>
      </c>
      <c r="I18" s="779">
        <v>16000</v>
      </c>
      <c r="J18" s="779">
        <v>16000</v>
      </c>
      <c r="K18" s="779">
        <v>3231</v>
      </c>
      <c r="L18" s="571">
        <v>14000</v>
      </c>
      <c r="M18" s="395">
        <v>0</v>
      </c>
      <c r="N18" s="724">
        <f t="shared" si="5"/>
        <v>14000</v>
      </c>
      <c r="O18" s="377">
        <f t="shared" si="2"/>
        <v>87.5</v>
      </c>
    </row>
    <row r="19" spans="1:16" ht="12.95" customHeight="1">
      <c r="B19" s="10"/>
      <c r="C19" s="11"/>
      <c r="D19" s="11"/>
      <c r="E19" s="316"/>
      <c r="F19" s="336">
        <v>613300</v>
      </c>
      <c r="G19" s="362"/>
      <c r="H19" s="20" t="s">
        <v>176</v>
      </c>
      <c r="I19" s="779">
        <v>98000</v>
      </c>
      <c r="J19" s="779">
        <v>98000</v>
      </c>
      <c r="K19" s="779">
        <v>13623</v>
      </c>
      <c r="L19" s="571">
        <v>83000</v>
      </c>
      <c r="M19" s="395">
        <v>0</v>
      </c>
      <c r="N19" s="724">
        <f t="shared" si="5"/>
        <v>83000</v>
      </c>
      <c r="O19" s="377">
        <f t="shared" si="2"/>
        <v>84.693877551020407</v>
      </c>
    </row>
    <row r="20" spans="1:16" ht="12.95" customHeight="1">
      <c r="B20" s="10"/>
      <c r="C20" s="11"/>
      <c r="D20" s="11"/>
      <c r="E20" s="316"/>
      <c r="F20" s="336">
        <v>613400</v>
      </c>
      <c r="G20" s="362"/>
      <c r="H20" s="11" t="s">
        <v>148</v>
      </c>
      <c r="I20" s="742">
        <v>35000</v>
      </c>
      <c r="J20" s="742">
        <v>35000</v>
      </c>
      <c r="K20" s="742">
        <v>5817</v>
      </c>
      <c r="L20" s="571">
        <v>31000</v>
      </c>
      <c r="M20" s="397">
        <v>0</v>
      </c>
      <c r="N20" s="724">
        <f t="shared" si="5"/>
        <v>31000</v>
      </c>
      <c r="O20" s="377">
        <f t="shared" si="2"/>
        <v>88.571428571428569</v>
      </c>
      <c r="P20" s="55"/>
    </row>
    <row r="21" spans="1:16" ht="12.95" customHeight="1">
      <c r="B21" s="10"/>
      <c r="C21" s="11"/>
      <c r="D21" s="11"/>
      <c r="E21" s="316"/>
      <c r="F21" s="336">
        <v>613500</v>
      </c>
      <c r="G21" s="362"/>
      <c r="H21" s="11" t="s">
        <v>85</v>
      </c>
      <c r="I21" s="779">
        <v>13000</v>
      </c>
      <c r="J21" s="779">
        <v>13000</v>
      </c>
      <c r="K21" s="779">
        <v>1715</v>
      </c>
      <c r="L21" s="571">
        <v>11000</v>
      </c>
      <c r="M21" s="395">
        <v>0</v>
      </c>
      <c r="N21" s="724">
        <f t="shared" si="5"/>
        <v>11000</v>
      </c>
      <c r="O21" s="377">
        <f t="shared" si="2"/>
        <v>84.615384615384613</v>
      </c>
    </row>
    <row r="22" spans="1:16" ht="12.95" customHeight="1">
      <c r="B22" s="10"/>
      <c r="C22" s="11"/>
      <c r="D22" s="11"/>
      <c r="E22" s="316"/>
      <c r="F22" s="336">
        <v>613600</v>
      </c>
      <c r="G22" s="362"/>
      <c r="H22" s="20" t="s">
        <v>177</v>
      </c>
      <c r="I22" s="742">
        <v>0</v>
      </c>
      <c r="J22" s="742">
        <v>0</v>
      </c>
      <c r="K22" s="742">
        <v>0</v>
      </c>
      <c r="L22" s="571">
        <v>0</v>
      </c>
      <c r="M22" s="397">
        <v>0</v>
      </c>
      <c r="N22" s="724">
        <f t="shared" si="5"/>
        <v>0</v>
      </c>
      <c r="O22" s="377" t="str">
        <f t="shared" si="2"/>
        <v/>
      </c>
    </row>
    <row r="23" spans="1:16" ht="12.95" customHeight="1">
      <c r="B23" s="10"/>
      <c r="C23" s="11"/>
      <c r="D23" s="11"/>
      <c r="E23" s="316"/>
      <c r="F23" s="336">
        <v>613700</v>
      </c>
      <c r="G23" s="362"/>
      <c r="H23" s="11" t="s">
        <v>86</v>
      </c>
      <c r="I23" s="742">
        <v>10000</v>
      </c>
      <c r="J23" s="742">
        <v>10000</v>
      </c>
      <c r="K23" s="742">
        <v>158</v>
      </c>
      <c r="L23" s="571">
        <v>8000</v>
      </c>
      <c r="M23" s="397">
        <v>0</v>
      </c>
      <c r="N23" s="724">
        <f t="shared" si="5"/>
        <v>8000</v>
      </c>
      <c r="O23" s="377">
        <f t="shared" si="2"/>
        <v>80</v>
      </c>
    </row>
    <row r="24" spans="1:16" ht="12.95" customHeight="1">
      <c r="B24" s="10"/>
      <c r="C24" s="11"/>
      <c r="D24" s="11"/>
      <c r="E24" s="316"/>
      <c r="F24" s="336">
        <v>613800</v>
      </c>
      <c r="G24" s="362"/>
      <c r="H24" s="11" t="s">
        <v>149</v>
      </c>
      <c r="I24" s="742">
        <v>3000</v>
      </c>
      <c r="J24" s="742">
        <v>3000</v>
      </c>
      <c r="K24" s="742">
        <v>112</v>
      </c>
      <c r="L24" s="571">
        <v>3000</v>
      </c>
      <c r="M24" s="397">
        <v>0</v>
      </c>
      <c r="N24" s="724">
        <f t="shared" si="5"/>
        <v>3000</v>
      </c>
      <c r="O24" s="377">
        <f t="shared" si="2"/>
        <v>100</v>
      </c>
    </row>
    <row r="25" spans="1:16" ht="12.95" customHeight="1">
      <c r="B25" s="10"/>
      <c r="C25" s="11"/>
      <c r="D25" s="11"/>
      <c r="E25" s="316"/>
      <c r="F25" s="336">
        <v>613900</v>
      </c>
      <c r="G25" s="362"/>
      <c r="H25" s="11" t="s">
        <v>150</v>
      </c>
      <c r="I25" s="742">
        <v>90000</v>
      </c>
      <c r="J25" s="742">
        <v>90000</v>
      </c>
      <c r="K25" s="742">
        <v>20854</v>
      </c>
      <c r="L25" s="571">
        <f>90000-500</f>
        <v>89500</v>
      </c>
      <c r="M25" s="397">
        <v>0</v>
      </c>
      <c r="N25" s="724">
        <f t="shared" si="5"/>
        <v>89500</v>
      </c>
      <c r="O25" s="377">
        <f t="shared" si="2"/>
        <v>99.444444444444443</v>
      </c>
      <c r="P25" s="77"/>
    </row>
    <row r="26" spans="1:16" ht="12.95" customHeight="1">
      <c r="B26" s="10"/>
      <c r="C26" s="11"/>
      <c r="D26" s="11"/>
      <c r="E26" s="316"/>
      <c r="F26" s="336">
        <v>613900</v>
      </c>
      <c r="G26" s="362"/>
      <c r="H26" s="210" t="s">
        <v>465</v>
      </c>
      <c r="I26" s="742">
        <v>0</v>
      </c>
      <c r="J26" s="742">
        <v>0</v>
      </c>
      <c r="K26" s="742">
        <v>0</v>
      </c>
      <c r="L26" s="571">
        <v>0</v>
      </c>
      <c r="M26" s="397">
        <v>0</v>
      </c>
      <c r="N26" s="724">
        <f t="shared" si="5"/>
        <v>0</v>
      </c>
      <c r="O26" s="377" t="str">
        <f t="shared" si="2"/>
        <v/>
      </c>
    </row>
    <row r="27" spans="1:16" s="1" customFormat="1" ht="12.95" customHeight="1">
      <c r="A27" s="311"/>
      <c r="B27" s="12"/>
      <c r="C27" s="8"/>
      <c r="D27" s="8"/>
      <c r="E27" s="666"/>
      <c r="F27" s="346"/>
      <c r="G27" s="373"/>
      <c r="H27" s="8"/>
      <c r="I27" s="631"/>
      <c r="J27" s="631"/>
      <c r="K27" s="742"/>
      <c r="L27" s="622"/>
      <c r="M27" s="326"/>
      <c r="N27" s="725"/>
      <c r="O27" s="377" t="str">
        <f t="shared" si="2"/>
        <v/>
      </c>
    </row>
    <row r="28" spans="1:16" ht="12.95" customHeight="1">
      <c r="B28" s="10"/>
      <c r="C28" s="11"/>
      <c r="D28" s="11"/>
      <c r="E28" s="316"/>
      <c r="F28" s="336"/>
      <c r="G28" s="362"/>
      <c r="H28" s="11"/>
      <c r="I28" s="632"/>
      <c r="J28" s="632"/>
      <c r="K28" s="744"/>
      <c r="L28" s="588"/>
      <c r="M28" s="325"/>
      <c r="N28" s="726"/>
      <c r="O28" s="377" t="str">
        <f t="shared" si="2"/>
        <v/>
      </c>
    </row>
    <row r="29" spans="1:16" s="1" customFormat="1" ht="12.95" customHeight="1">
      <c r="A29" s="311"/>
      <c r="B29" s="12"/>
      <c r="C29" s="8"/>
      <c r="D29" s="8"/>
      <c r="E29" s="8"/>
      <c r="F29" s="335">
        <v>821000</v>
      </c>
      <c r="G29" s="361"/>
      <c r="H29" s="8" t="s">
        <v>89</v>
      </c>
      <c r="I29" s="632">
        <f t="shared" ref="I29:N29" si="6">I30+I31</f>
        <v>20000</v>
      </c>
      <c r="J29" s="632">
        <f t="shared" si="6"/>
        <v>20000</v>
      </c>
      <c r="K29" s="744">
        <f t="shared" si="6"/>
        <v>0</v>
      </c>
      <c r="L29" s="588">
        <f t="shared" si="6"/>
        <v>5000</v>
      </c>
      <c r="M29" s="325">
        <f t="shared" si="6"/>
        <v>0</v>
      </c>
      <c r="N29" s="726">
        <f t="shared" si="6"/>
        <v>5000</v>
      </c>
      <c r="O29" s="376">
        <f t="shared" si="2"/>
        <v>25</v>
      </c>
    </row>
    <row r="30" spans="1:16" ht="12.95" customHeight="1">
      <c r="B30" s="10"/>
      <c r="C30" s="11"/>
      <c r="D30" s="11"/>
      <c r="E30" s="316"/>
      <c r="F30" s="336">
        <v>821200</v>
      </c>
      <c r="G30" s="362"/>
      <c r="H30" s="11" t="s">
        <v>90</v>
      </c>
      <c r="I30" s="631">
        <v>0</v>
      </c>
      <c r="J30" s="631">
        <v>0</v>
      </c>
      <c r="K30" s="742">
        <v>0</v>
      </c>
      <c r="L30" s="622">
        <v>0</v>
      </c>
      <c r="M30" s="326">
        <v>0</v>
      </c>
      <c r="N30" s="724">
        <f t="shared" ref="N30:N31" si="7">SUM(L30:M30)</f>
        <v>0</v>
      </c>
      <c r="O30" s="377" t="str">
        <f t="shared" si="2"/>
        <v/>
      </c>
    </row>
    <row r="31" spans="1:16" ht="12.95" customHeight="1">
      <c r="B31" s="10"/>
      <c r="C31" s="11"/>
      <c r="D31" s="11"/>
      <c r="E31" s="316"/>
      <c r="F31" s="336">
        <v>821300</v>
      </c>
      <c r="G31" s="362"/>
      <c r="H31" s="11" t="s">
        <v>91</v>
      </c>
      <c r="I31" s="631">
        <v>20000</v>
      </c>
      <c r="J31" s="631">
        <v>20000</v>
      </c>
      <c r="K31" s="742">
        <v>0</v>
      </c>
      <c r="L31" s="622">
        <v>5000</v>
      </c>
      <c r="M31" s="326">
        <v>0</v>
      </c>
      <c r="N31" s="724">
        <f t="shared" si="7"/>
        <v>5000</v>
      </c>
      <c r="O31" s="377">
        <f t="shared" si="2"/>
        <v>25</v>
      </c>
    </row>
    <row r="32" spans="1:16" ht="12.95" customHeight="1">
      <c r="B32" s="10"/>
      <c r="C32" s="11"/>
      <c r="D32" s="11"/>
      <c r="E32" s="316"/>
      <c r="F32" s="336"/>
      <c r="G32" s="362"/>
      <c r="H32" s="11"/>
      <c r="I32" s="777"/>
      <c r="J32" s="777"/>
      <c r="K32" s="779"/>
      <c r="L32" s="621"/>
      <c r="M32" s="321"/>
      <c r="N32" s="725"/>
      <c r="O32" s="377" t="str">
        <f t="shared" si="2"/>
        <v/>
      </c>
    </row>
    <row r="33" spans="1:15" s="1" customFormat="1" ht="12.95" customHeight="1">
      <c r="A33" s="311"/>
      <c r="B33" s="12"/>
      <c r="C33" s="8"/>
      <c r="D33" s="8"/>
      <c r="E33" s="8"/>
      <c r="F33" s="335"/>
      <c r="G33" s="361"/>
      <c r="H33" s="8" t="s">
        <v>92</v>
      </c>
      <c r="I33" s="743">
        <v>43</v>
      </c>
      <c r="J33" s="743">
        <v>43</v>
      </c>
      <c r="K33" s="746">
        <v>43</v>
      </c>
      <c r="L33" s="584">
        <v>43</v>
      </c>
      <c r="M33" s="327"/>
      <c r="N33" s="727">
        <v>43</v>
      </c>
      <c r="O33" s="377"/>
    </row>
    <row r="34" spans="1:15" s="1" customFormat="1" ht="12.95" customHeight="1">
      <c r="A34" s="311"/>
      <c r="B34" s="12"/>
      <c r="C34" s="8"/>
      <c r="D34" s="8"/>
      <c r="E34" s="8"/>
      <c r="F34" s="335"/>
      <c r="G34" s="361"/>
      <c r="H34" s="8" t="s">
        <v>110</v>
      </c>
      <c r="I34" s="575">
        <f>I8+I13+I16+I29</f>
        <v>1558570</v>
      </c>
      <c r="J34" s="318">
        <f>J8+J13+J16+J29</f>
        <v>1558570</v>
      </c>
      <c r="K34" s="575">
        <f t="shared" ref="K34" si="8">K8+K13+K16+K29</f>
        <v>343955</v>
      </c>
      <c r="L34" s="582">
        <f>L8+L13+L16+L29</f>
        <v>1522780</v>
      </c>
      <c r="M34" s="318">
        <f>M8+M13+M16+M29</f>
        <v>0</v>
      </c>
      <c r="N34" s="726">
        <f>N8+N13+N16+N29</f>
        <v>1522780</v>
      </c>
      <c r="O34" s="376">
        <f>IF(J34=0,"",N34/J34*100)</f>
        <v>97.703664256337547</v>
      </c>
    </row>
    <row r="35" spans="1:15" s="1" customFormat="1" ht="12.95" customHeight="1">
      <c r="A35" s="311"/>
      <c r="B35" s="12"/>
      <c r="C35" s="8"/>
      <c r="D35" s="8"/>
      <c r="E35" s="8"/>
      <c r="F35" s="335"/>
      <c r="G35" s="361"/>
      <c r="H35" s="8" t="s">
        <v>93</v>
      </c>
      <c r="I35" s="575">
        <f>I34</f>
        <v>1558570</v>
      </c>
      <c r="J35" s="318">
        <f>J34</f>
        <v>1558570</v>
      </c>
      <c r="K35" s="575">
        <f t="shared" ref="K35" si="9">K34</f>
        <v>343955</v>
      </c>
      <c r="L35" s="582">
        <f>L34</f>
        <v>1522780</v>
      </c>
      <c r="M35" s="318">
        <f>M34</f>
        <v>0</v>
      </c>
      <c r="N35" s="726">
        <f>N34</f>
        <v>1522780</v>
      </c>
      <c r="O35" s="376">
        <f t="shared" si="2"/>
        <v>97.703664256337547</v>
      </c>
    </row>
    <row r="36" spans="1:15" s="1" customFormat="1" ht="12.95" customHeight="1">
      <c r="A36" s="311"/>
      <c r="B36" s="12"/>
      <c r="C36" s="8"/>
      <c r="D36" s="8"/>
      <c r="E36" s="8"/>
      <c r="F36" s="335"/>
      <c r="G36" s="361"/>
      <c r="H36" s="8" t="s">
        <v>94</v>
      </c>
      <c r="I36" s="30"/>
      <c r="J36" s="30"/>
      <c r="K36" s="586"/>
      <c r="L36" s="580"/>
      <c r="M36" s="309"/>
      <c r="N36" s="725"/>
      <c r="O36" s="378"/>
    </row>
    <row r="37" spans="1:15" ht="12.95" customHeight="1" thickBot="1">
      <c r="B37" s="16"/>
      <c r="C37" s="17"/>
      <c r="D37" s="17"/>
      <c r="E37" s="17"/>
      <c r="F37" s="337"/>
      <c r="G37" s="363"/>
      <c r="H37" s="17"/>
      <c r="I37" s="32"/>
      <c r="J37" s="32"/>
      <c r="K37" s="576"/>
      <c r="L37" s="585"/>
      <c r="M37" s="32"/>
      <c r="N37" s="728"/>
      <c r="O37" s="379"/>
    </row>
    <row r="38" spans="1:15" ht="12.95" customHeight="1">
      <c r="F38" s="338"/>
      <c r="G38" s="364"/>
      <c r="N38" s="425"/>
    </row>
    <row r="39" spans="1:15" ht="12.95" customHeight="1">
      <c r="B39" s="55"/>
      <c r="F39" s="338"/>
      <c r="G39" s="364"/>
      <c r="N39" s="425"/>
    </row>
    <row r="40" spans="1:15" ht="12.95" customHeight="1">
      <c r="B40" s="55"/>
      <c r="F40" s="338"/>
      <c r="G40" s="364"/>
      <c r="N40" s="425"/>
    </row>
    <row r="41" spans="1:15" ht="12.95" customHeight="1">
      <c r="B41" s="55"/>
      <c r="F41" s="338"/>
      <c r="G41" s="364"/>
      <c r="N41" s="425"/>
    </row>
    <row r="42" spans="1:15" ht="12.95" customHeight="1">
      <c r="B42" s="55"/>
      <c r="F42" s="338"/>
      <c r="G42" s="364"/>
      <c r="N42" s="425"/>
    </row>
    <row r="43" spans="1:15" ht="12.95" customHeight="1">
      <c r="B43" s="55"/>
      <c r="F43" s="338"/>
      <c r="G43" s="364"/>
      <c r="N43" s="425"/>
    </row>
    <row r="44" spans="1:15" ht="12.95" customHeight="1">
      <c r="B44" s="55"/>
      <c r="F44" s="338"/>
      <c r="G44" s="364"/>
      <c r="N44" s="425"/>
    </row>
    <row r="45" spans="1:15" ht="12.95" customHeight="1">
      <c r="B45" s="55"/>
      <c r="F45" s="338"/>
      <c r="G45" s="364"/>
      <c r="N45" s="425"/>
    </row>
    <row r="46" spans="1:15" ht="12.95" customHeight="1">
      <c r="F46" s="338"/>
      <c r="G46" s="364"/>
      <c r="N46" s="425"/>
    </row>
    <row r="47" spans="1:15" ht="12.95" customHeight="1">
      <c r="F47" s="338"/>
      <c r="G47" s="364"/>
      <c r="N47" s="425"/>
    </row>
    <row r="48" spans="1:15" ht="12.95" customHeight="1">
      <c r="F48" s="338"/>
      <c r="G48" s="364"/>
      <c r="N48" s="425"/>
    </row>
    <row r="49" spans="6:14" ht="12.95" customHeight="1">
      <c r="F49" s="338"/>
      <c r="G49" s="364"/>
      <c r="N49" s="425"/>
    </row>
    <row r="50" spans="6:14" ht="12.95" customHeight="1">
      <c r="F50" s="338"/>
      <c r="G50" s="364"/>
      <c r="N50" s="425"/>
    </row>
    <row r="51" spans="6:14" ht="12.95" customHeight="1">
      <c r="F51" s="338"/>
      <c r="G51" s="364"/>
      <c r="N51" s="425"/>
    </row>
    <row r="52" spans="6:14" ht="12.95" customHeight="1">
      <c r="F52" s="338"/>
      <c r="G52" s="364"/>
      <c r="N52" s="425"/>
    </row>
    <row r="53" spans="6:14" ht="12.95" customHeight="1">
      <c r="F53" s="338"/>
      <c r="G53" s="364"/>
      <c r="N53" s="425"/>
    </row>
    <row r="54" spans="6:14" ht="12.95" customHeight="1">
      <c r="F54" s="338"/>
      <c r="G54" s="364"/>
      <c r="N54" s="425"/>
    </row>
    <row r="55" spans="6:14" ht="12.95" customHeight="1">
      <c r="F55" s="338"/>
      <c r="G55" s="364"/>
      <c r="N55" s="425"/>
    </row>
    <row r="56" spans="6:14" ht="12.95" customHeight="1">
      <c r="F56" s="338"/>
      <c r="G56" s="364"/>
      <c r="N56" s="425"/>
    </row>
    <row r="57" spans="6:14" ht="12.95" customHeight="1">
      <c r="F57" s="338"/>
      <c r="G57" s="364"/>
      <c r="N57" s="425"/>
    </row>
    <row r="58" spans="6:14" ht="12.95" customHeight="1">
      <c r="F58" s="338"/>
      <c r="G58" s="364"/>
      <c r="N58" s="425"/>
    </row>
    <row r="59" spans="6:14" ht="12.95" customHeight="1">
      <c r="F59" s="338"/>
      <c r="G59" s="364"/>
      <c r="N59" s="425"/>
    </row>
    <row r="60" spans="6:14" ht="17.100000000000001" customHeight="1">
      <c r="F60" s="338"/>
      <c r="G60" s="364"/>
      <c r="N60" s="425"/>
    </row>
    <row r="61" spans="6:14" ht="14.25">
      <c r="F61" s="338"/>
      <c r="G61" s="364"/>
      <c r="N61" s="425"/>
    </row>
    <row r="62" spans="6:14" ht="14.25">
      <c r="F62" s="338"/>
      <c r="G62" s="364"/>
      <c r="N62" s="425"/>
    </row>
    <row r="63" spans="6:14" ht="14.25">
      <c r="F63" s="338"/>
      <c r="G63" s="364"/>
      <c r="N63" s="425"/>
    </row>
    <row r="64" spans="6:14" ht="14.25">
      <c r="F64" s="338"/>
      <c r="G64" s="364"/>
      <c r="N64" s="425"/>
    </row>
    <row r="65" spans="6:14" ht="14.25">
      <c r="F65" s="338"/>
      <c r="G65" s="364"/>
      <c r="N65" s="425"/>
    </row>
    <row r="66" spans="6:14" ht="14.25">
      <c r="F66" s="338"/>
      <c r="G66" s="364"/>
      <c r="N66" s="425"/>
    </row>
    <row r="67" spans="6:14" ht="14.25">
      <c r="F67" s="338"/>
      <c r="G67" s="364"/>
      <c r="N67" s="425"/>
    </row>
    <row r="68" spans="6:14" ht="14.25">
      <c r="F68" s="338"/>
      <c r="G68" s="364"/>
      <c r="N68" s="425"/>
    </row>
    <row r="69" spans="6:14" ht="14.25">
      <c r="F69" s="338"/>
      <c r="G69" s="364"/>
      <c r="N69" s="425"/>
    </row>
    <row r="70" spans="6:14" ht="14.25">
      <c r="F70" s="338"/>
      <c r="G70" s="364"/>
      <c r="N70" s="425"/>
    </row>
    <row r="71" spans="6:14" ht="14.25">
      <c r="F71" s="338"/>
      <c r="G71" s="364"/>
      <c r="N71" s="425"/>
    </row>
    <row r="72" spans="6:14" ht="14.25">
      <c r="F72" s="338"/>
      <c r="G72" s="364"/>
      <c r="N72" s="425"/>
    </row>
    <row r="73" spans="6:14" ht="14.25">
      <c r="F73" s="338"/>
      <c r="G73" s="364"/>
      <c r="N73" s="425"/>
    </row>
    <row r="74" spans="6:14" ht="14.25">
      <c r="F74" s="338"/>
      <c r="G74" s="338"/>
      <c r="N74" s="425"/>
    </row>
    <row r="75" spans="6:14" ht="14.25">
      <c r="F75" s="338"/>
      <c r="G75" s="338"/>
      <c r="N75" s="425"/>
    </row>
    <row r="76" spans="6:14" ht="14.25">
      <c r="F76" s="338"/>
      <c r="G76" s="338"/>
      <c r="N76" s="425"/>
    </row>
    <row r="77" spans="6:14" ht="14.25">
      <c r="F77" s="338"/>
      <c r="G77" s="338"/>
      <c r="N77" s="425"/>
    </row>
    <row r="78" spans="6:14" ht="14.25">
      <c r="F78" s="338"/>
      <c r="G78" s="338"/>
      <c r="N78" s="425"/>
    </row>
    <row r="79" spans="6:14" ht="14.25">
      <c r="F79" s="338"/>
      <c r="G79" s="338"/>
      <c r="N79" s="425"/>
    </row>
    <row r="80" spans="6:14" ht="14.25">
      <c r="F80" s="338"/>
      <c r="G80" s="338"/>
      <c r="N80" s="425"/>
    </row>
    <row r="81" spans="6:14" ht="14.25">
      <c r="F81" s="338"/>
      <c r="G81" s="338"/>
      <c r="N81" s="425"/>
    </row>
    <row r="82" spans="6:14" ht="14.25">
      <c r="F82" s="338"/>
      <c r="G82" s="338"/>
      <c r="N82" s="425"/>
    </row>
    <row r="83" spans="6:14" ht="14.25">
      <c r="F83" s="338"/>
      <c r="G83" s="338"/>
      <c r="N83" s="425"/>
    </row>
    <row r="84" spans="6:14" ht="14.25">
      <c r="F84" s="338"/>
      <c r="G84" s="338"/>
      <c r="N84" s="425"/>
    </row>
    <row r="85" spans="6:14" ht="14.25">
      <c r="F85" s="338"/>
      <c r="G85" s="338"/>
      <c r="N85" s="425"/>
    </row>
    <row r="86" spans="6:14" ht="14.25">
      <c r="F86" s="338"/>
      <c r="G86" s="338"/>
      <c r="N86" s="425"/>
    </row>
    <row r="87" spans="6:14" ht="14.25">
      <c r="F87" s="338"/>
      <c r="G87" s="338"/>
      <c r="N87" s="425"/>
    </row>
    <row r="88" spans="6:14" ht="14.25">
      <c r="F88" s="338"/>
      <c r="G88" s="338"/>
      <c r="N88" s="425"/>
    </row>
    <row r="89" spans="6:14" ht="14.25">
      <c r="F89" s="338"/>
      <c r="G89" s="338"/>
      <c r="N89" s="425"/>
    </row>
    <row r="90" spans="6:14" ht="14.25">
      <c r="F90" s="338"/>
      <c r="G90" s="338"/>
      <c r="N90" s="425"/>
    </row>
    <row r="91" spans="6:14">
      <c r="G91" s="338"/>
    </row>
    <row r="92" spans="6:14">
      <c r="G92" s="338"/>
    </row>
    <row r="93" spans="6:14">
      <c r="G93" s="338"/>
    </row>
    <row r="94" spans="6:14">
      <c r="G94" s="338"/>
    </row>
    <row r="95" spans="6:14">
      <c r="G95" s="338"/>
    </row>
    <row r="96" spans="6:14">
      <c r="G96" s="338"/>
    </row>
  </sheetData>
  <mergeCells count="14">
    <mergeCell ref="B2:O2"/>
    <mergeCell ref="O4:O5"/>
    <mergeCell ref="H4:H5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K4:K5"/>
    <mergeCell ref="E4:E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7"/>
  <dimension ref="A1:Q96"/>
  <sheetViews>
    <sheetView zoomScaleNormal="100" workbookViewId="0">
      <selection activeCell="L8" activeCellId="3" sqref="L28 L16 L13 L8"/>
    </sheetView>
  </sheetViews>
  <sheetFormatPr defaultRowHeight="12.75"/>
  <cols>
    <col min="1" max="1" width="9.140625" style="314"/>
    <col min="2" max="2" width="4.7109375" style="9" customWidth="1"/>
    <col min="3" max="3" width="5.140625" style="9" customWidth="1"/>
    <col min="4" max="4" width="5" style="9" customWidth="1"/>
    <col min="5" max="5" width="5" style="314" customWidth="1"/>
    <col min="6" max="6" width="8.7109375" style="18" customWidth="1"/>
    <col min="7" max="7" width="8.7109375" style="319" customWidth="1"/>
    <col min="8" max="8" width="50.7109375" style="9" customWidth="1"/>
    <col min="9" max="13" width="14.7109375" style="63" customWidth="1"/>
    <col min="14" max="14" width="15.7109375" style="63" customWidth="1"/>
    <col min="15" max="15" width="7.7109375" style="380" customWidth="1"/>
    <col min="16" max="16384" width="9.140625" style="9"/>
  </cols>
  <sheetData>
    <row r="1" spans="1:17" ht="13.5" thickBot="1"/>
    <row r="2" spans="1:17" s="408" customFormat="1" ht="20.100000000000001" customHeight="1" thickTop="1" thickBot="1">
      <c r="B2" s="887" t="s">
        <v>754</v>
      </c>
      <c r="C2" s="888"/>
      <c r="D2" s="888"/>
      <c r="E2" s="888"/>
      <c r="F2" s="888"/>
      <c r="G2" s="888"/>
      <c r="H2" s="888"/>
      <c r="I2" s="888"/>
      <c r="J2" s="921"/>
      <c r="K2" s="921"/>
      <c r="L2" s="921"/>
      <c r="M2" s="921"/>
      <c r="N2" s="921"/>
      <c r="O2" s="922"/>
    </row>
    <row r="3" spans="1:17" s="1" customFormat="1" ht="8.1" customHeight="1" thickTop="1" thickBot="1">
      <c r="A3" s="311"/>
      <c r="E3" s="311"/>
      <c r="F3" s="2"/>
      <c r="G3" s="312"/>
      <c r="H3" s="890"/>
      <c r="I3" s="890"/>
      <c r="J3" s="282"/>
      <c r="K3" s="282"/>
      <c r="L3" s="107"/>
      <c r="M3" s="107"/>
      <c r="N3" s="107"/>
      <c r="O3" s="374"/>
    </row>
    <row r="4" spans="1:17" s="1" customFormat="1" ht="39" customHeight="1">
      <c r="A4" s="311"/>
      <c r="B4" s="894" t="s">
        <v>77</v>
      </c>
      <c r="C4" s="909" t="s">
        <v>78</v>
      </c>
      <c r="D4" s="910" t="s">
        <v>107</v>
      </c>
      <c r="E4" s="916" t="s">
        <v>828</v>
      </c>
      <c r="F4" s="911" t="s">
        <v>517</v>
      </c>
      <c r="G4" s="899" t="s">
        <v>556</v>
      </c>
      <c r="H4" s="900" t="s">
        <v>79</v>
      </c>
      <c r="I4" s="912" t="s">
        <v>697</v>
      </c>
      <c r="J4" s="913" t="s">
        <v>862</v>
      </c>
      <c r="K4" s="917" t="s">
        <v>863</v>
      </c>
      <c r="L4" s="908" t="s">
        <v>865</v>
      </c>
      <c r="M4" s="892"/>
      <c r="N4" s="924"/>
      <c r="O4" s="923" t="s">
        <v>866</v>
      </c>
      <c r="Q4" s="81"/>
    </row>
    <row r="5" spans="1:17" s="311" customFormat="1" ht="27" customHeight="1">
      <c r="B5" s="895"/>
      <c r="C5" s="897"/>
      <c r="D5" s="897"/>
      <c r="E5" s="897"/>
      <c r="F5" s="901"/>
      <c r="G5" s="897"/>
      <c r="H5" s="901"/>
      <c r="I5" s="901"/>
      <c r="J5" s="901"/>
      <c r="K5" s="905"/>
      <c r="L5" s="623" t="s">
        <v>601</v>
      </c>
      <c r="M5" s="624" t="s">
        <v>602</v>
      </c>
      <c r="N5" s="625" t="s">
        <v>349</v>
      </c>
      <c r="O5" s="915"/>
    </row>
    <row r="6" spans="1:17" s="2" customFormat="1" ht="12.95" customHeight="1">
      <c r="A6" s="312"/>
      <c r="B6" s="525">
        <v>1</v>
      </c>
      <c r="C6" s="361">
        <v>2</v>
      </c>
      <c r="D6" s="361">
        <v>3</v>
      </c>
      <c r="E6" s="361">
        <v>4</v>
      </c>
      <c r="F6" s="361">
        <v>5</v>
      </c>
      <c r="G6" s="361">
        <v>6</v>
      </c>
      <c r="H6" s="361">
        <v>7</v>
      </c>
      <c r="I6" s="361">
        <v>8</v>
      </c>
      <c r="J6" s="361">
        <v>9</v>
      </c>
      <c r="K6" s="526">
        <v>10</v>
      </c>
      <c r="L6" s="525">
        <v>11</v>
      </c>
      <c r="M6" s="361">
        <v>12</v>
      </c>
      <c r="N6" s="541" t="s">
        <v>830</v>
      </c>
      <c r="O6" s="527">
        <v>14</v>
      </c>
    </row>
    <row r="7" spans="1:17" s="2" customFormat="1" ht="12.95" customHeight="1">
      <c r="A7" s="312"/>
      <c r="B7" s="6" t="s">
        <v>123</v>
      </c>
      <c r="C7" s="7" t="s">
        <v>125</v>
      </c>
      <c r="D7" s="7" t="s">
        <v>81</v>
      </c>
      <c r="E7" s="667" t="s">
        <v>834</v>
      </c>
      <c r="F7" s="5"/>
      <c r="G7" s="313"/>
      <c r="H7" s="5"/>
      <c r="I7" s="100"/>
      <c r="J7" s="100"/>
      <c r="K7" s="592"/>
      <c r="L7" s="619"/>
      <c r="M7" s="100"/>
      <c r="N7" s="424"/>
      <c r="O7" s="375"/>
    </row>
    <row r="8" spans="1:17" s="1" customFormat="1" ht="12.95" customHeight="1">
      <c r="A8" s="311"/>
      <c r="B8" s="12"/>
      <c r="C8" s="8"/>
      <c r="D8" s="8"/>
      <c r="E8" s="8"/>
      <c r="F8" s="335">
        <v>611000</v>
      </c>
      <c r="G8" s="361"/>
      <c r="H8" s="8" t="s">
        <v>146</v>
      </c>
      <c r="I8" s="738">
        <f t="shared" ref="I8:N8" si="0">SUM(I9:I12)</f>
        <v>33910</v>
      </c>
      <c r="J8" s="738">
        <f t="shared" si="0"/>
        <v>33910</v>
      </c>
      <c r="K8" s="744">
        <f t="shared" si="0"/>
        <v>7989</v>
      </c>
      <c r="L8" s="578">
        <f t="shared" si="0"/>
        <v>32740</v>
      </c>
      <c r="M8" s="236">
        <f t="shared" si="0"/>
        <v>0</v>
      </c>
      <c r="N8" s="416">
        <f t="shared" si="0"/>
        <v>32740</v>
      </c>
      <c r="O8" s="376">
        <f>IF(J8=0,"",N8/J8*100)</f>
        <v>96.549690356826886</v>
      </c>
    </row>
    <row r="9" spans="1:17" ht="12.95" customHeight="1">
      <c r="B9" s="10"/>
      <c r="C9" s="11"/>
      <c r="D9" s="11"/>
      <c r="E9" s="316"/>
      <c r="F9" s="336">
        <v>611100</v>
      </c>
      <c r="G9" s="362"/>
      <c r="H9" s="20" t="s">
        <v>174</v>
      </c>
      <c r="I9" s="784">
        <f>29040+100+730</f>
        <v>29870</v>
      </c>
      <c r="J9" s="784">
        <f>29040+100+730</f>
        <v>29870</v>
      </c>
      <c r="K9" s="742">
        <v>7252</v>
      </c>
      <c r="L9" s="626">
        <f>29020+150</f>
        <v>29170</v>
      </c>
      <c r="M9" s="238">
        <v>0</v>
      </c>
      <c r="N9" s="417">
        <f>SUM(L9:M9)</f>
        <v>29170</v>
      </c>
      <c r="O9" s="377">
        <f>IF(J9=0,"",N9/J9*100)</f>
        <v>97.656511550050212</v>
      </c>
    </row>
    <row r="10" spans="1:17" ht="12.95" customHeight="1">
      <c r="B10" s="10"/>
      <c r="C10" s="11"/>
      <c r="D10" s="11"/>
      <c r="E10" s="316"/>
      <c r="F10" s="336">
        <v>611200</v>
      </c>
      <c r="G10" s="362"/>
      <c r="H10" s="11" t="s">
        <v>175</v>
      </c>
      <c r="I10" s="784">
        <f>3640+400</f>
        <v>4040</v>
      </c>
      <c r="J10" s="784">
        <f>3640+400</f>
        <v>4040</v>
      </c>
      <c r="K10" s="742">
        <v>737</v>
      </c>
      <c r="L10" s="626">
        <f>3470+100</f>
        <v>3570</v>
      </c>
      <c r="M10" s="238">
        <v>0</v>
      </c>
      <c r="N10" s="417">
        <f t="shared" ref="N10:N11" si="1">SUM(L10:M10)</f>
        <v>3570</v>
      </c>
      <c r="O10" s="377">
        <f t="shared" ref="O10:O35" si="2">IF(J10=0,"",N10/J10*100)</f>
        <v>88.366336633663366</v>
      </c>
    </row>
    <row r="11" spans="1:17" ht="12.95" customHeight="1">
      <c r="B11" s="10"/>
      <c r="C11" s="11"/>
      <c r="D11" s="11"/>
      <c r="E11" s="316"/>
      <c r="F11" s="336">
        <v>611200</v>
      </c>
      <c r="G11" s="362"/>
      <c r="H11" s="210" t="s">
        <v>464</v>
      </c>
      <c r="I11" s="739">
        <v>0</v>
      </c>
      <c r="J11" s="739">
        <v>0</v>
      </c>
      <c r="K11" s="741">
        <v>0</v>
      </c>
      <c r="L11" s="579">
        <v>0</v>
      </c>
      <c r="M11" s="235">
        <v>0</v>
      </c>
      <c r="N11" s="417">
        <f t="shared" si="1"/>
        <v>0</v>
      </c>
      <c r="O11" s="377" t="str">
        <f t="shared" si="2"/>
        <v/>
      </c>
      <c r="Q11" s="62"/>
    </row>
    <row r="12" spans="1:17" ht="12.95" customHeight="1">
      <c r="B12" s="10"/>
      <c r="C12" s="11"/>
      <c r="D12" s="11"/>
      <c r="E12" s="316"/>
      <c r="F12" s="336"/>
      <c r="G12" s="362"/>
      <c r="H12" s="20"/>
      <c r="I12" s="784"/>
      <c r="J12" s="784"/>
      <c r="K12" s="742"/>
      <c r="L12" s="626"/>
      <c r="M12" s="238"/>
      <c r="N12" s="417"/>
      <c r="O12" s="377" t="str">
        <f t="shared" si="2"/>
        <v/>
      </c>
    </row>
    <row r="13" spans="1:17" s="1" customFormat="1" ht="12.95" customHeight="1">
      <c r="A13" s="311"/>
      <c r="B13" s="12"/>
      <c r="C13" s="8"/>
      <c r="D13" s="8"/>
      <c r="E13" s="8"/>
      <c r="F13" s="335">
        <v>612000</v>
      </c>
      <c r="G13" s="361"/>
      <c r="H13" s="8" t="s">
        <v>145</v>
      </c>
      <c r="I13" s="738">
        <f t="shared" ref="I13:N13" si="3">I14</f>
        <v>3200</v>
      </c>
      <c r="J13" s="738">
        <f t="shared" si="3"/>
        <v>3200</v>
      </c>
      <c r="K13" s="744">
        <f t="shared" si="3"/>
        <v>764</v>
      </c>
      <c r="L13" s="578">
        <f t="shared" si="3"/>
        <v>3160</v>
      </c>
      <c r="M13" s="236">
        <f t="shared" si="3"/>
        <v>0</v>
      </c>
      <c r="N13" s="416">
        <f t="shared" si="3"/>
        <v>3160</v>
      </c>
      <c r="O13" s="376">
        <f t="shared" si="2"/>
        <v>98.75</v>
      </c>
    </row>
    <row r="14" spans="1:17" ht="12.95" customHeight="1">
      <c r="B14" s="10"/>
      <c r="C14" s="11"/>
      <c r="D14" s="11"/>
      <c r="E14" s="316"/>
      <c r="F14" s="336">
        <v>612100</v>
      </c>
      <c r="G14" s="362"/>
      <c r="H14" s="13" t="s">
        <v>82</v>
      </c>
      <c r="I14" s="784">
        <f>3070+50+80</f>
        <v>3200</v>
      </c>
      <c r="J14" s="784">
        <f>3070+50+80</f>
        <v>3200</v>
      </c>
      <c r="K14" s="742">
        <v>764</v>
      </c>
      <c r="L14" s="626">
        <f>3060+100</f>
        <v>3160</v>
      </c>
      <c r="M14" s="238">
        <v>0</v>
      </c>
      <c r="N14" s="417">
        <f>SUM(L14:M14)</f>
        <v>3160</v>
      </c>
      <c r="O14" s="377">
        <f t="shared" si="2"/>
        <v>98.75</v>
      </c>
    </row>
    <row r="15" spans="1:17" ht="12.95" customHeight="1">
      <c r="B15" s="10"/>
      <c r="C15" s="11"/>
      <c r="D15" s="11"/>
      <c r="E15" s="316"/>
      <c r="F15" s="336"/>
      <c r="G15" s="362"/>
      <c r="H15" s="11"/>
      <c r="I15" s="777"/>
      <c r="J15" s="777"/>
      <c r="K15" s="779"/>
      <c r="L15" s="622"/>
      <c r="M15" s="321"/>
      <c r="N15" s="418"/>
      <c r="O15" s="377" t="str">
        <f t="shared" si="2"/>
        <v/>
      </c>
    </row>
    <row r="16" spans="1:17" s="1" customFormat="1" ht="12.95" customHeight="1">
      <c r="A16" s="311"/>
      <c r="B16" s="12"/>
      <c r="C16" s="8"/>
      <c r="D16" s="8"/>
      <c r="E16" s="8"/>
      <c r="F16" s="335">
        <v>613000</v>
      </c>
      <c r="G16" s="361"/>
      <c r="H16" s="8" t="s">
        <v>147</v>
      </c>
      <c r="I16" s="778">
        <f t="shared" ref="I16:N16" si="4">SUM(I17:I26)</f>
        <v>2440</v>
      </c>
      <c r="J16" s="778">
        <f t="shared" si="4"/>
        <v>2440</v>
      </c>
      <c r="K16" s="783">
        <f t="shared" si="4"/>
        <v>368</v>
      </c>
      <c r="L16" s="588">
        <f t="shared" si="4"/>
        <v>2340</v>
      </c>
      <c r="M16" s="323">
        <f t="shared" si="4"/>
        <v>0</v>
      </c>
      <c r="N16" s="419">
        <f t="shared" si="4"/>
        <v>2340</v>
      </c>
      <c r="O16" s="377">
        <f t="shared" si="2"/>
        <v>95.901639344262293</v>
      </c>
    </row>
    <row r="17" spans="1:15" ht="12.95" customHeight="1">
      <c r="B17" s="10"/>
      <c r="C17" s="11"/>
      <c r="D17" s="11"/>
      <c r="E17" s="316"/>
      <c r="F17" s="336">
        <v>613100</v>
      </c>
      <c r="G17" s="362"/>
      <c r="H17" s="11" t="s">
        <v>83</v>
      </c>
      <c r="I17" s="779">
        <v>300</v>
      </c>
      <c r="J17" s="779">
        <v>300</v>
      </c>
      <c r="K17" s="779">
        <v>0</v>
      </c>
      <c r="L17" s="571">
        <f>300*80%</f>
        <v>240</v>
      </c>
      <c r="M17" s="395">
        <v>0</v>
      </c>
      <c r="N17" s="417">
        <f t="shared" ref="N17:N26" si="5">SUM(L17:M17)</f>
        <v>240</v>
      </c>
      <c r="O17" s="377">
        <f t="shared" si="2"/>
        <v>80</v>
      </c>
    </row>
    <row r="18" spans="1:15" ht="12.95" customHeight="1">
      <c r="B18" s="10"/>
      <c r="C18" s="11"/>
      <c r="D18" s="11"/>
      <c r="E18" s="316"/>
      <c r="F18" s="336">
        <v>613200</v>
      </c>
      <c r="G18" s="362"/>
      <c r="H18" s="11" t="s">
        <v>84</v>
      </c>
      <c r="I18" s="779">
        <v>0</v>
      </c>
      <c r="J18" s="779">
        <v>0</v>
      </c>
      <c r="K18" s="779">
        <v>0</v>
      </c>
      <c r="L18" s="571">
        <v>0</v>
      </c>
      <c r="M18" s="395">
        <v>0</v>
      </c>
      <c r="N18" s="417">
        <f t="shared" si="5"/>
        <v>0</v>
      </c>
      <c r="O18" s="377" t="str">
        <f t="shared" si="2"/>
        <v/>
      </c>
    </row>
    <row r="19" spans="1:15" ht="12.95" customHeight="1">
      <c r="B19" s="10"/>
      <c r="C19" s="11"/>
      <c r="D19" s="11"/>
      <c r="E19" s="316"/>
      <c r="F19" s="336">
        <v>613300</v>
      </c>
      <c r="G19" s="362"/>
      <c r="H19" s="20" t="s">
        <v>176</v>
      </c>
      <c r="I19" s="779">
        <v>1000</v>
      </c>
      <c r="J19" s="779">
        <v>1000</v>
      </c>
      <c r="K19" s="779">
        <v>105</v>
      </c>
      <c r="L19" s="571">
        <v>1000</v>
      </c>
      <c r="M19" s="395">
        <v>0</v>
      </c>
      <c r="N19" s="417">
        <f t="shared" si="5"/>
        <v>1000</v>
      </c>
      <c r="O19" s="377">
        <f t="shared" si="2"/>
        <v>100</v>
      </c>
    </row>
    <row r="20" spans="1:15" ht="12.95" customHeight="1">
      <c r="B20" s="10"/>
      <c r="C20" s="11"/>
      <c r="D20" s="11"/>
      <c r="E20" s="316"/>
      <c r="F20" s="336">
        <v>613400</v>
      </c>
      <c r="G20" s="362"/>
      <c r="H20" s="11" t="s">
        <v>148</v>
      </c>
      <c r="I20" s="779">
        <v>800</v>
      </c>
      <c r="J20" s="779">
        <v>800</v>
      </c>
      <c r="K20" s="779">
        <v>240</v>
      </c>
      <c r="L20" s="571">
        <v>800</v>
      </c>
      <c r="M20" s="395">
        <v>0</v>
      </c>
      <c r="N20" s="417">
        <f t="shared" si="5"/>
        <v>800</v>
      </c>
      <c r="O20" s="377">
        <f t="shared" si="2"/>
        <v>100</v>
      </c>
    </row>
    <row r="21" spans="1:15" ht="12.95" customHeight="1">
      <c r="B21" s="10"/>
      <c r="C21" s="11"/>
      <c r="D21" s="11"/>
      <c r="E21" s="316"/>
      <c r="F21" s="336">
        <v>613500</v>
      </c>
      <c r="G21" s="362"/>
      <c r="H21" s="11" t="s">
        <v>85</v>
      </c>
      <c r="I21" s="779">
        <v>0</v>
      </c>
      <c r="J21" s="779">
        <v>0</v>
      </c>
      <c r="K21" s="779">
        <v>0</v>
      </c>
      <c r="L21" s="571">
        <v>0</v>
      </c>
      <c r="M21" s="395">
        <v>0</v>
      </c>
      <c r="N21" s="417">
        <f t="shared" si="5"/>
        <v>0</v>
      </c>
      <c r="O21" s="377" t="str">
        <f t="shared" si="2"/>
        <v/>
      </c>
    </row>
    <row r="22" spans="1:15" ht="12.95" customHeight="1">
      <c r="B22" s="10"/>
      <c r="C22" s="11"/>
      <c r="D22" s="11"/>
      <c r="E22" s="316"/>
      <c r="F22" s="336">
        <v>613600</v>
      </c>
      <c r="G22" s="362"/>
      <c r="H22" s="20" t="s">
        <v>177</v>
      </c>
      <c r="I22" s="779">
        <v>0</v>
      </c>
      <c r="J22" s="779">
        <v>0</v>
      </c>
      <c r="K22" s="779">
        <v>0</v>
      </c>
      <c r="L22" s="571">
        <v>0</v>
      </c>
      <c r="M22" s="395">
        <v>0</v>
      </c>
      <c r="N22" s="417">
        <f t="shared" si="5"/>
        <v>0</v>
      </c>
      <c r="O22" s="377" t="str">
        <f t="shared" si="2"/>
        <v/>
      </c>
    </row>
    <row r="23" spans="1:15" ht="12.95" customHeight="1">
      <c r="B23" s="10"/>
      <c r="C23" s="11"/>
      <c r="D23" s="11"/>
      <c r="E23" s="316"/>
      <c r="F23" s="336">
        <v>613700</v>
      </c>
      <c r="G23" s="362"/>
      <c r="H23" s="11" t="s">
        <v>86</v>
      </c>
      <c r="I23" s="779">
        <v>0</v>
      </c>
      <c r="J23" s="779">
        <v>0</v>
      </c>
      <c r="K23" s="779">
        <v>0</v>
      </c>
      <c r="L23" s="571">
        <v>0</v>
      </c>
      <c r="M23" s="395">
        <v>0</v>
      </c>
      <c r="N23" s="417">
        <f t="shared" si="5"/>
        <v>0</v>
      </c>
      <c r="O23" s="377" t="str">
        <f t="shared" si="2"/>
        <v/>
      </c>
    </row>
    <row r="24" spans="1:15" ht="12.95" customHeight="1">
      <c r="B24" s="10"/>
      <c r="C24" s="11"/>
      <c r="D24" s="11"/>
      <c r="E24" s="316"/>
      <c r="F24" s="336">
        <v>613800</v>
      </c>
      <c r="G24" s="362"/>
      <c r="H24" s="11" t="s">
        <v>149</v>
      </c>
      <c r="I24" s="779">
        <v>0</v>
      </c>
      <c r="J24" s="779">
        <v>0</v>
      </c>
      <c r="K24" s="779">
        <v>0</v>
      </c>
      <c r="L24" s="571">
        <v>0</v>
      </c>
      <c r="M24" s="395">
        <v>0</v>
      </c>
      <c r="N24" s="417">
        <f t="shared" si="5"/>
        <v>0</v>
      </c>
      <c r="O24" s="377" t="str">
        <f t="shared" si="2"/>
        <v/>
      </c>
    </row>
    <row r="25" spans="1:15" ht="12.95" customHeight="1">
      <c r="B25" s="10"/>
      <c r="C25" s="11"/>
      <c r="D25" s="11"/>
      <c r="E25" s="316"/>
      <c r="F25" s="336">
        <v>613900</v>
      </c>
      <c r="G25" s="362"/>
      <c r="H25" s="11" t="s">
        <v>150</v>
      </c>
      <c r="I25" s="779">
        <v>340</v>
      </c>
      <c r="J25" s="779">
        <v>340</v>
      </c>
      <c r="K25" s="779">
        <v>23</v>
      </c>
      <c r="L25" s="571">
        <f>340-40</f>
        <v>300</v>
      </c>
      <c r="M25" s="395">
        <v>0</v>
      </c>
      <c r="N25" s="417">
        <f t="shared" si="5"/>
        <v>300</v>
      </c>
      <c r="O25" s="377">
        <f t="shared" si="2"/>
        <v>88.235294117647058</v>
      </c>
    </row>
    <row r="26" spans="1:15" ht="12.95" customHeight="1">
      <c r="B26" s="10"/>
      <c r="C26" s="11"/>
      <c r="D26" s="11"/>
      <c r="E26" s="316"/>
      <c r="F26" s="336">
        <v>613900</v>
      </c>
      <c r="G26" s="362"/>
      <c r="H26" s="210" t="s">
        <v>465</v>
      </c>
      <c r="I26" s="779">
        <v>0</v>
      </c>
      <c r="J26" s="779">
        <v>0</v>
      </c>
      <c r="K26" s="779">
        <v>0</v>
      </c>
      <c r="L26" s="570">
        <v>0</v>
      </c>
      <c r="M26" s="395">
        <v>0</v>
      </c>
      <c r="N26" s="417">
        <f t="shared" si="5"/>
        <v>0</v>
      </c>
      <c r="O26" s="377" t="str">
        <f t="shared" si="2"/>
        <v/>
      </c>
    </row>
    <row r="27" spans="1:15" s="1" customFormat="1" ht="12.95" customHeight="1">
      <c r="A27" s="311"/>
      <c r="B27" s="12"/>
      <c r="C27" s="8"/>
      <c r="D27" s="8"/>
      <c r="E27" s="666"/>
      <c r="F27" s="346"/>
      <c r="G27" s="373"/>
      <c r="H27" s="8"/>
      <c r="I27" s="779"/>
      <c r="J27" s="779"/>
      <c r="K27" s="779"/>
      <c r="L27" s="570"/>
      <c r="M27" s="395"/>
      <c r="N27" s="420"/>
      <c r="O27" s="377" t="str">
        <f t="shared" si="2"/>
        <v/>
      </c>
    </row>
    <row r="28" spans="1:15" s="1" customFormat="1" ht="12.95" customHeight="1">
      <c r="A28" s="311"/>
      <c r="B28" s="12"/>
      <c r="C28" s="8"/>
      <c r="D28" s="8"/>
      <c r="E28" s="8"/>
      <c r="F28" s="335">
        <v>821000</v>
      </c>
      <c r="G28" s="361"/>
      <c r="H28" s="8" t="s">
        <v>89</v>
      </c>
      <c r="I28" s="575">
        <f t="shared" ref="I28:K28" si="6">SUM(I29:I30)</f>
        <v>0</v>
      </c>
      <c r="J28" s="575">
        <f t="shared" si="6"/>
        <v>0</v>
      </c>
      <c r="K28" s="745">
        <f t="shared" si="6"/>
        <v>0</v>
      </c>
      <c r="L28" s="582">
        <f t="shared" ref="L28" si="7">SUM(L29:L30)</f>
        <v>0</v>
      </c>
      <c r="M28" s="318">
        <f t="shared" ref="M28" si="8">SUM(M29:M30)</f>
        <v>0</v>
      </c>
      <c r="N28" s="428">
        <f>SUM(N29:N30)</f>
        <v>0</v>
      </c>
      <c r="O28" s="376" t="str">
        <f t="shared" si="2"/>
        <v/>
      </c>
    </row>
    <row r="29" spans="1:15" ht="12.95" customHeight="1">
      <c r="B29" s="10"/>
      <c r="C29" s="11"/>
      <c r="D29" s="11"/>
      <c r="E29" s="316"/>
      <c r="F29" s="336">
        <v>821200</v>
      </c>
      <c r="G29" s="362"/>
      <c r="H29" s="11" t="s">
        <v>90</v>
      </c>
      <c r="I29" s="779">
        <v>0</v>
      </c>
      <c r="J29" s="779">
        <v>0</v>
      </c>
      <c r="K29" s="779">
        <v>0</v>
      </c>
      <c r="L29" s="570">
        <v>0</v>
      </c>
      <c r="M29" s="395">
        <v>0</v>
      </c>
      <c r="N29" s="417">
        <f t="shared" ref="N29:N30" si="9">SUM(L29:M29)</f>
        <v>0</v>
      </c>
      <c r="O29" s="377" t="str">
        <f t="shared" si="2"/>
        <v/>
      </c>
    </row>
    <row r="30" spans="1:15" ht="12.95" customHeight="1">
      <c r="B30" s="10"/>
      <c r="C30" s="11"/>
      <c r="D30" s="11"/>
      <c r="E30" s="316"/>
      <c r="F30" s="336">
        <v>821300</v>
      </c>
      <c r="G30" s="362"/>
      <c r="H30" s="11" t="s">
        <v>91</v>
      </c>
      <c r="I30" s="742">
        <v>0</v>
      </c>
      <c r="J30" s="742">
        <v>0</v>
      </c>
      <c r="K30" s="742">
        <v>0</v>
      </c>
      <c r="L30" s="571">
        <v>0</v>
      </c>
      <c r="M30" s="397">
        <v>0</v>
      </c>
      <c r="N30" s="417">
        <f t="shared" si="9"/>
        <v>0</v>
      </c>
      <c r="O30" s="377" t="str">
        <f t="shared" si="2"/>
        <v/>
      </c>
    </row>
    <row r="31" spans="1:15" ht="12.95" customHeight="1">
      <c r="B31" s="10"/>
      <c r="C31" s="11"/>
      <c r="D31" s="11"/>
      <c r="E31" s="316"/>
      <c r="F31" s="336"/>
      <c r="G31" s="362"/>
      <c r="H31" s="11"/>
      <c r="I31" s="777"/>
      <c r="J31" s="777"/>
      <c r="K31" s="779"/>
      <c r="L31" s="621"/>
      <c r="M31" s="321"/>
      <c r="N31" s="418"/>
      <c r="O31" s="377" t="str">
        <f t="shared" si="2"/>
        <v/>
      </c>
    </row>
    <row r="32" spans="1:15" s="1" customFormat="1" ht="12.95" customHeight="1">
      <c r="A32" s="311"/>
      <c r="B32" s="12"/>
      <c r="C32" s="8"/>
      <c r="D32" s="8"/>
      <c r="E32" s="8"/>
      <c r="F32" s="335"/>
      <c r="G32" s="361"/>
      <c r="H32" s="8" t="s">
        <v>92</v>
      </c>
      <c r="I32" s="632">
        <v>1</v>
      </c>
      <c r="J32" s="632">
        <v>1</v>
      </c>
      <c r="K32" s="744">
        <v>1</v>
      </c>
      <c r="L32" s="588">
        <v>1</v>
      </c>
      <c r="M32" s="325"/>
      <c r="N32" s="419">
        <v>1</v>
      </c>
      <c r="O32" s="377"/>
    </row>
    <row r="33" spans="1:15" s="1" customFormat="1" ht="12.95" customHeight="1">
      <c r="A33" s="311"/>
      <c r="B33" s="12"/>
      <c r="C33" s="8"/>
      <c r="D33" s="8"/>
      <c r="E33" s="8"/>
      <c r="F33" s="335"/>
      <c r="G33" s="361"/>
      <c r="H33" s="8" t="s">
        <v>110</v>
      </c>
      <c r="I33" s="575">
        <f>I8+I13+I16+I28</f>
        <v>39550</v>
      </c>
      <c r="J33" s="318">
        <f>J8+J13+J16+J28</f>
        <v>39550</v>
      </c>
      <c r="K33" s="575">
        <f t="shared" ref="K33" si="10">K8+K13+K16+K28</f>
        <v>9121</v>
      </c>
      <c r="L33" s="582">
        <f>L8+L13+L16+L28</f>
        <v>38240</v>
      </c>
      <c r="M33" s="318">
        <f>M8+M13+M16+M28</f>
        <v>0</v>
      </c>
      <c r="N33" s="419">
        <f>N8+N13+N16+N28</f>
        <v>38240</v>
      </c>
      <c r="O33" s="376">
        <f t="shared" si="2"/>
        <v>96.687737041719345</v>
      </c>
    </row>
    <row r="34" spans="1:15" s="1" customFormat="1" ht="12.95" customHeight="1">
      <c r="A34" s="311"/>
      <c r="B34" s="12"/>
      <c r="C34" s="8"/>
      <c r="D34" s="8"/>
      <c r="E34" s="8"/>
      <c r="F34" s="335"/>
      <c r="G34" s="361"/>
      <c r="H34" s="8" t="s">
        <v>93</v>
      </c>
      <c r="I34" s="575"/>
      <c r="J34" s="318"/>
      <c r="K34" s="575"/>
      <c r="L34" s="582"/>
      <c r="M34" s="318"/>
      <c r="N34" s="419"/>
      <c r="O34" s="376"/>
    </row>
    <row r="35" spans="1:15" s="1" customFormat="1" ht="12.95" customHeight="1">
      <c r="A35" s="311"/>
      <c r="B35" s="12"/>
      <c r="C35" s="8"/>
      <c r="D35" s="8"/>
      <c r="E35" s="8"/>
      <c r="F35" s="335"/>
      <c r="G35" s="361"/>
      <c r="H35" s="8" t="s">
        <v>94</v>
      </c>
      <c r="I35" s="30"/>
      <c r="J35" s="30"/>
      <c r="K35" s="586"/>
      <c r="L35" s="580"/>
      <c r="M35" s="309"/>
      <c r="N35" s="418"/>
      <c r="O35" s="377" t="str">
        <f t="shared" si="2"/>
        <v/>
      </c>
    </row>
    <row r="36" spans="1:15" ht="12.95" customHeight="1" thickBot="1">
      <c r="B36" s="16"/>
      <c r="C36" s="17"/>
      <c r="D36" s="17"/>
      <c r="E36" s="17"/>
      <c r="F36" s="337"/>
      <c r="G36" s="363"/>
      <c r="H36" s="17"/>
      <c r="I36" s="32"/>
      <c r="J36" s="32"/>
      <c r="K36" s="576"/>
      <c r="L36" s="585"/>
      <c r="M36" s="32"/>
      <c r="N36" s="422"/>
      <c r="O36" s="379"/>
    </row>
    <row r="37" spans="1:15" ht="12.95" customHeight="1">
      <c r="F37" s="338"/>
      <c r="G37" s="364"/>
      <c r="N37" s="425"/>
    </row>
    <row r="38" spans="1:15" ht="12.95" customHeight="1">
      <c r="B38" s="55"/>
      <c r="F38" s="338"/>
      <c r="G38" s="364"/>
      <c r="N38" s="425"/>
    </row>
    <row r="39" spans="1:15" ht="12.95" customHeight="1">
      <c r="B39" s="55"/>
      <c r="F39" s="338"/>
      <c r="G39" s="364"/>
      <c r="N39" s="425"/>
    </row>
    <row r="40" spans="1:15" ht="12.95" customHeight="1">
      <c r="F40" s="338"/>
      <c r="G40" s="364"/>
      <c r="N40" s="425"/>
    </row>
    <row r="41" spans="1:15" ht="12.95" customHeight="1">
      <c r="F41" s="338"/>
      <c r="G41" s="364"/>
      <c r="N41" s="425"/>
    </row>
    <row r="42" spans="1:15" ht="12.95" customHeight="1">
      <c r="F42" s="338"/>
      <c r="G42" s="364"/>
      <c r="N42" s="425"/>
    </row>
    <row r="43" spans="1:15" ht="12.95" customHeight="1">
      <c r="F43" s="338"/>
      <c r="G43" s="364"/>
      <c r="N43" s="425"/>
    </row>
    <row r="44" spans="1:15" ht="12.95" customHeight="1">
      <c r="F44" s="338"/>
      <c r="G44" s="364"/>
      <c r="N44" s="425"/>
    </row>
    <row r="45" spans="1:15" ht="12.95" customHeight="1">
      <c r="F45" s="338"/>
      <c r="G45" s="364"/>
      <c r="N45" s="425"/>
    </row>
    <row r="46" spans="1:15" ht="12.95" customHeight="1">
      <c r="F46" s="338"/>
      <c r="G46" s="364"/>
      <c r="N46" s="425"/>
    </row>
    <row r="47" spans="1:15" ht="12.95" customHeight="1">
      <c r="F47" s="338"/>
      <c r="G47" s="364"/>
      <c r="N47" s="425"/>
    </row>
    <row r="48" spans="1:15" ht="12.95" customHeight="1">
      <c r="F48" s="338"/>
      <c r="G48" s="364"/>
      <c r="N48" s="425"/>
    </row>
    <row r="49" spans="6:14" ht="12.95" customHeight="1">
      <c r="F49" s="338"/>
      <c r="G49" s="364"/>
      <c r="N49" s="425"/>
    </row>
    <row r="50" spans="6:14" ht="12.95" customHeight="1">
      <c r="F50" s="338"/>
      <c r="G50" s="364"/>
      <c r="N50" s="425"/>
    </row>
    <row r="51" spans="6:14" ht="12.95" customHeight="1">
      <c r="F51" s="338"/>
      <c r="G51" s="364"/>
      <c r="N51" s="425"/>
    </row>
    <row r="52" spans="6:14" ht="12.95" customHeight="1">
      <c r="F52" s="338"/>
      <c r="G52" s="364"/>
      <c r="N52" s="425"/>
    </row>
    <row r="53" spans="6:14" ht="12.95" customHeight="1">
      <c r="F53" s="338"/>
      <c r="G53" s="364"/>
      <c r="N53" s="425"/>
    </row>
    <row r="54" spans="6:14" ht="12.95" customHeight="1">
      <c r="F54" s="338"/>
      <c r="G54" s="364"/>
      <c r="N54" s="425"/>
    </row>
    <row r="55" spans="6:14" ht="12.95" customHeight="1">
      <c r="F55" s="338"/>
      <c r="G55" s="364"/>
      <c r="N55" s="425"/>
    </row>
    <row r="56" spans="6:14" ht="12.95" customHeight="1">
      <c r="F56" s="338"/>
      <c r="G56" s="364"/>
      <c r="N56" s="425"/>
    </row>
    <row r="57" spans="6:14" ht="12.95" customHeight="1">
      <c r="F57" s="338"/>
      <c r="G57" s="364"/>
      <c r="N57" s="425"/>
    </row>
    <row r="58" spans="6:14" ht="12.95" customHeight="1">
      <c r="F58" s="338"/>
      <c r="G58" s="364"/>
      <c r="N58" s="425"/>
    </row>
    <row r="59" spans="6:14" ht="12.95" customHeight="1">
      <c r="F59" s="338"/>
      <c r="G59" s="364"/>
      <c r="N59" s="425"/>
    </row>
    <row r="60" spans="6:14" ht="17.100000000000001" customHeight="1">
      <c r="F60" s="338"/>
      <c r="G60" s="364"/>
      <c r="N60" s="425"/>
    </row>
    <row r="61" spans="6:14" ht="14.25">
      <c r="F61" s="338"/>
      <c r="G61" s="364"/>
      <c r="N61" s="425"/>
    </row>
    <row r="62" spans="6:14" ht="14.25">
      <c r="F62" s="338"/>
      <c r="G62" s="364"/>
      <c r="N62" s="425"/>
    </row>
    <row r="63" spans="6:14" ht="14.25">
      <c r="F63" s="338"/>
      <c r="G63" s="364"/>
      <c r="N63" s="425"/>
    </row>
    <row r="64" spans="6:14" ht="14.25">
      <c r="F64" s="338"/>
      <c r="G64" s="364"/>
      <c r="N64" s="425"/>
    </row>
    <row r="65" spans="6:14" ht="14.25">
      <c r="F65" s="338"/>
      <c r="G65" s="364"/>
      <c r="N65" s="425"/>
    </row>
    <row r="66" spans="6:14" ht="14.25">
      <c r="F66" s="338"/>
      <c r="G66" s="364"/>
      <c r="N66" s="425"/>
    </row>
    <row r="67" spans="6:14" ht="14.25">
      <c r="F67" s="338"/>
      <c r="G67" s="364"/>
      <c r="N67" s="425"/>
    </row>
    <row r="68" spans="6:14" ht="14.25">
      <c r="F68" s="338"/>
      <c r="G68" s="364"/>
      <c r="N68" s="425"/>
    </row>
    <row r="69" spans="6:14" ht="14.25">
      <c r="F69" s="338"/>
      <c r="G69" s="364"/>
      <c r="N69" s="425"/>
    </row>
    <row r="70" spans="6:14" ht="14.25">
      <c r="F70" s="338"/>
      <c r="G70" s="364"/>
      <c r="N70" s="425"/>
    </row>
    <row r="71" spans="6:14" ht="14.25">
      <c r="F71" s="338"/>
      <c r="G71" s="364"/>
      <c r="N71" s="425"/>
    </row>
    <row r="72" spans="6:14" ht="14.25">
      <c r="F72" s="338"/>
      <c r="G72" s="364"/>
      <c r="N72" s="425"/>
    </row>
    <row r="73" spans="6:14" ht="14.25">
      <c r="F73" s="338"/>
      <c r="G73" s="364"/>
      <c r="N73" s="425"/>
    </row>
    <row r="74" spans="6:14" ht="14.25">
      <c r="F74" s="338"/>
      <c r="G74" s="338"/>
      <c r="N74" s="425"/>
    </row>
    <row r="75" spans="6:14" ht="14.25">
      <c r="F75" s="338"/>
      <c r="G75" s="338"/>
      <c r="N75" s="425"/>
    </row>
    <row r="76" spans="6:14" ht="14.25">
      <c r="F76" s="338"/>
      <c r="G76" s="338"/>
      <c r="N76" s="425"/>
    </row>
    <row r="77" spans="6:14" ht="14.25">
      <c r="F77" s="338"/>
      <c r="G77" s="338"/>
      <c r="N77" s="425"/>
    </row>
    <row r="78" spans="6:14" ht="14.25">
      <c r="F78" s="338"/>
      <c r="G78" s="338"/>
      <c r="N78" s="425"/>
    </row>
    <row r="79" spans="6:14" ht="14.25">
      <c r="F79" s="338"/>
      <c r="G79" s="338"/>
      <c r="N79" s="425"/>
    </row>
    <row r="80" spans="6:14" ht="14.25">
      <c r="F80" s="338"/>
      <c r="G80" s="338"/>
      <c r="N80" s="425"/>
    </row>
    <row r="81" spans="6:14" ht="14.25">
      <c r="F81" s="338"/>
      <c r="G81" s="338"/>
      <c r="N81" s="425"/>
    </row>
    <row r="82" spans="6:14" ht="14.25">
      <c r="F82" s="338"/>
      <c r="G82" s="338"/>
      <c r="N82" s="425"/>
    </row>
    <row r="83" spans="6:14" ht="14.25">
      <c r="F83" s="338"/>
      <c r="G83" s="338"/>
      <c r="N83" s="425"/>
    </row>
    <row r="84" spans="6:14" ht="14.25">
      <c r="F84" s="338"/>
      <c r="G84" s="338"/>
      <c r="N84" s="425"/>
    </row>
    <row r="85" spans="6:14" ht="14.25">
      <c r="F85" s="338"/>
      <c r="G85" s="338"/>
      <c r="N85" s="425"/>
    </row>
    <row r="86" spans="6:14" ht="14.25">
      <c r="F86" s="338"/>
      <c r="G86" s="338"/>
      <c r="N86" s="425"/>
    </row>
    <row r="87" spans="6:14" ht="14.25">
      <c r="F87" s="338"/>
      <c r="G87" s="338"/>
      <c r="N87" s="425"/>
    </row>
    <row r="88" spans="6:14" ht="14.25">
      <c r="F88" s="338"/>
      <c r="G88" s="338"/>
      <c r="N88" s="425"/>
    </row>
    <row r="89" spans="6:14" ht="14.25">
      <c r="F89" s="338"/>
      <c r="G89" s="338"/>
      <c r="N89" s="425"/>
    </row>
    <row r="90" spans="6:14" ht="14.25">
      <c r="F90" s="338"/>
      <c r="G90" s="338"/>
      <c r="N90" s="425"/>
    </row>
    <row r="91" spans="6:14">
      <c r="G91" s="338"/>
    </row>
    <row r="92" spans="6:14">
      <c r="G92" s="338"/>
    </row>
    <row r="93" spans="6:14">
      <c r="G93" s="338"/>
    </row>
    <row r="94" spans="6:14">
      <c r="G94" s="338"/>
    </row>
    <row r="95" spans="6:14">
      <c r="G95" s="338"/>
    </row>
    <row r="96" spans="6:14">
      <c r="G96" s="338"/>
    </row>
  </sheetData>
  <mergeCells count="14">
    <mergeCell ref="B2:O2"/>
    <mergeCell ref="O4:O5"/>
    <mergeCell ref="H4:H5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K4:K5"/>
    <mergeCell ref="E4:E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43"/>
  <dimension ref="A1:Q96"/>
  <sheetViews>
    <sheetView topLeftCell="A4" zoomScaleNormal="100" workbookViewId="0">
      <selection activeCell="K46" sqref="K46"/>
    </sheetView>
  </sheetViews>
  <sheetFormatPr defaultRowHeight="12.75"/>
  <cols>
    <col min="1" max="1" width="9.140625" style="314"/>
    <col min="2" max="2" width="4.7109375" style="9" customWidth="1"/>
    <col min="3" max="3" width="5.140625" style="9" customWidth="1"/>
    <col min="4" max="4" width="5" style="9" customWidth="1"/>
    <col min="5" max="5" width="5" style="314" customWidth="1"/>
    <col min="6" max="6" width="8.7109375" style="18" customWidth="1"/>
    <col min="7" max="7" width="8.7109375" style="319" customWidth="1"/>
    <col min="8" max="8" width="50.7109375" style="9" customWidth="1"/>
    <col min="9" max="13" width="14.7109375" style="63" customWidth="1"/>
    <col min="14" max="14" width="15.7109375" style="63" customWidth="1"/>
    <col min="15" max="15" width="7.7109375" style="380" customWidth="1"/>
    <col min="16" max="16384" width="9.140625" style="9"/>
  </cols>
  <sheetData>
    <row r="1" spans="1:17" ht="13.5" thickBot="1"/>
    <row r="2" spans="1:17" s="113" customFormat="1" ht="20.100000000000001" customHeight="1" thickTop="1" thickBot="1">
      <c r="A2" s="408"/>
      <c r="B2" s="887" t="s">
        <v>755</v>
      </c>
      <c r="C2" s="888"/>
      <c r="D2" s="888"/>
      <c r="E2" s="888"/>
      <c r="F2" s="888"/>
      <c r="G2" s="888"/>
      <c r="H2" s="888"/>
      <c r="I2" s="888"/>
      <c r="J2" s="921"/>
      <c r="K2" s="921"/>
      <c r="L2" s="921"/>
      <c r="M2" s="921"/>
      <c r="N2" s="921"/>
      <c r="O2" s="922"/>
      <c r="Q2" s="408"/>
    </row>
    <row r="3" spans="1:17" s="1" customFormat="1" ht="8.1" customHeight="1" thickTop="1" thickBot="1">
      <c r="A3" s="311"/>
      <c r="E3" s="311"/>
      <c r="F3" s="2"/>
      <c r="G3" s="312"/>
      <c r="H3" s="890"/>
      <c r="I3" s="890"/>
      <c r="J3" s="282"/>
      <c r="K3" s="282"/>
      <c r="L3" s="107"/>
      <c r="M3" s="107"/>
      <c r="N3" s="107"/>
      <c r="O3" s="374"/>
    </row>
    <row r="4" spans="1:17" s="1" customFormat="1" ht="39" customHeight="1">
      <c r="A4" s="311"/>
      <c r="B4" s="894" t="s">
        <v>77</v>
      </c>
      <c r="C4" s="909" t="s">
        <v>78</v>
      </c>
      <c r="D4" s="910" t="s">
        <v>107</v>
      </c>
      <c r="E4" s="916" t="s">
        <v>828</v>
      </c>
      <c r="F4" s="911" t="s">
        <v>517</v>
      </c>
      <c r="G4" s="899" t="s">
        <v>556</v>
      </c>
      <c r="H4" s="900" t="s">
        <v>79</v>
      </c>
      <c r="I4" s="912" t="s">
        <v>697</v>
      </c>
      <c r="J4" s="913" t="s">
        <v>862</v>
      </c>
      <c r="K4" s="917" t="s">
        <v>863</v>
      </c>
      <c r="L4" s="908" t="s">
        <v>865</v>
      </c>
      <c r="M4" s="892"/>
      <c r="N4" s="893"/>
      <c r="O4" s="906" t="s">
        <v>866</v>
      </c>
      <c r="Q4" s="81"/>
    </row>
    <row r="5" spans="1:17" s="311" customFormat="1" ht="27" customHeight="1">
      <c r="B5" s="895"/>
      <c r="C5" s="897"/>
      <c r="D5" s="897"/>
      <c r="E5" s="897"/>
      <c r="F5" s="901"/>
      <c r="G5" s="897"/>
      <c r="H5" s="901"/>
      <c r="I5" s="901"/>
      <c r="J5" s="901"/>
      <c r="K5" s="905"/>
      <c r="L5" s="587" t="s">
        <v>601</v>
      </c>
      <c r="M5" s="404" t="s">
        <v>602</v>
      </c>
      <c r="N5" s="720" t="s">
        <v>349</v>
      </c>
      <c r="O5" s="907"/>
    </row>
    <row r="6" spans="1:17" s="2" customFormat="1" ht="12.95" customHeight="1">
      <c r="A6" s="312"/>
      <c r="B6" s="525">
        <v>1</v>
      </c>
      <c r="C6" s="361">
        <v>2</v>
      </c>
      <c r="D6" s="361">
        <v>3</v>
      </c>
      <c r="E6" s="361">
        <v>4</v>
      </c>
      <c r="F6" s="361">
        <v>5</v>
      </c>
      <c r="G6" s="361">
        <v>6</v>
      </c>
      <c r="H6" s="361">
        <v>7</v>
      </c>
      <c r="I6" s="361">
        <v>8</v>
      </c>
      <c r="J6" s="361">
        <v>9</v>
      </c>
      <c r="K6" s="526">
        <v>10</v>
      </c>
      <c r="L6" s="525">
        <v>11</v>
      </c>
      <c r="M6" s="361">
        <v>12</v>
      </c>
      <c r="N6" s="721" t="s">
        <v>830</v>
      </c>
      <c r="O6" s="527">
        <v>14</v>
      </c>
    </row>
    <row r="7" spans="1:17" s="2" customFormat="1" ht="12.95" customHeight="1">
      <c r="A7" s="312"/>
      <c r="B7" s="6" t="s">
        <v>123</v>
      </c>
      <c r="C7" s="7" t="s">
        <v>125</v>
      </c>
      <c r="D7" s="7" t="s">
        <v>113</v>
      </c>
      <c r="E7" s="667" t="s">
        <v>834</v>
      </c>
      <c r="F7" s="5"/>
      <c r="G7" s="313"/>
      <c r="H7" s="5"/>
      <c r="I7" s="592"/>
      <c r="J7" s="100"/>
      <c r="K7" s="592"/>
      <c r="L7" s="619"/>
      <c r="M7" s="100"/>
      <c r="N7" s="773"/>
      <c r="O7" s="375"/>
    </row>
    <row r="8" spans="1:17" s="1" customFormat="1" ht="12.95" customHeight="1">
      <c r="A8" s="311"/>
      <c r="B8" s="12"/>
      <c r="C8" s="8"/>
      <c r="D8" s="8"/>
      <c r="E8" s="8"/>
      <c r="F8" s="335">
        <v>611000</v>
      </c>
      <c r="G8" s="361"/>
      <c r="H8" s="8" t="s">
        <v>146</v>
      </c>
      <c r="I8" s="738">
        <f t="shared" ref="I8:N8" si="0">SUM(I9:I12)</f>
        <v>43520</v>
      </c>
      <c r="J8" s="738">
        <f t="shared" si="0"/>
        <v>43520</v>
      </c>
      <c r="K8" s="744">
        <f t="shared" si="0"/>
        <v>9288</v>
      </c>
      <c r="L8" s="578">
        <f t="shared" si="0"/>
        <v>39380</v>
      </c>
      <c r="M8" s="236">
        <f t="shared" si="0"/>
        <v>0</v>
      </c>
      <c r="N8" s="723">
        <f t="shared" si="0"/>
        <v>39380</v>
      </c>
      <c r="O8" s="376">
        <f>IF(J8=0,"",N8/J8*100)</f>
        <v>90.487132352941174</v>
      </c>
    </row>
    <row r="9" spans="1:17" ht="12.95" customHeight="1">
      <c r="B9" s="10"/>
      <c r="C9" s="11"/>
      <c r="D9" s="11"/>
      <c r="E9" s="316"/>
      <c r="F9" s="336">
        <v>611100</v>
      </c>
      <c r="G9" s="362"/>
      <c r="H9" s="20" t="s">
        <v>174</v>
      </c>
      <c r="I9" s="784">
        <f>31320+4000+300+790</f>
        <v>36410</v>
      </c>
      <c r="J9" s="784">
        <f>31320+4000+300+790</f>
        <v>36410</v>
      </c>
      <c r="K9" s="742">
        <v>7822</v>
      </c>
      <c r="L9" s="626">
        <f>31310+200</f>
        <v>31510</v>
      </c>
      <c r="M9" s="238">
        <v>0</v>
      </c>
      <c r="N9" s="724">
        <f>SUM(L9:M9)</f>
        <v>31510</v>
      </c>
      <c r="O9" s="377">
        <f>IF(J9=0,"",N9/J9*100)</f>
        <v>86.542158747596815</v>
      </c>
    </row>
    <row r="10" spans="1:17" ht="12.95" customHeight="1">
      <c r="B10" s="10"/>
      <c r="C10" s="11"/>
      <c r="D10" s="11"/>
      <c r="E10" s="316"/>
      <c r="F10" s="336">
        <v>611200</v>
      </c>
      <c r="G10" s="362"/>
      <c r="H10" s="11" t="s">
        <v>175</v>
      </c>
      <c r="I10" s="784">
        <f>6810+300</f>
        <v>7110</v>
      </c>
      <c r="J10" s="784">
        <f>6810+300</f>
        <v>7110</v>
      </c>
      <c r="K10" s="742">
        <v>1466</v>
      </c>
      <c r="L10" s="626">
        <f>7670+200</f>
        <v>7870</v>
      </c>
      <c r="M10" s="238">
        <v>0</v>
      </c>
      <c r="N10" s="724">
        <f t="shared" ref="N10:N11" si="1">SUM(L10:M10)</f>
        <v>7870</v>
      </c>
      <c r="O10" s="377">
        <f t="shared" ref="O10:O33" si="2">IF(J10=0,"",N10/J10*100)</f>
        <v>110.68917018284108</v>
      </c>
    </row>
    <row r="11" spans="1:17" ht="12.95" customHeight="1">
      <c r="B11" s="10"/>
      <c r="C11" s="11"/>
      <c r="D11" s="11"/>
      <c r="E11" s="316"/>
      <c r="F11" s="336">
        <v>611200</v>
      </c>
      <c r="G11" s="362"/>
      <c r="H11" s="386" t="s">
        <v>464</v>
      </c>
      <c r="I11" s="739">
        <v>0</v>
      </c>
      <c r="J11" s="739">
        <v>0</v>
      </c>
      <c r="K11" s="741">
        <v>0</v>
      </c>
      <c r="L11" s="579">
        <v>0</v>
      </c>
      <c r="M11" s="235">
        <v>0</v>
      </c>
      <c r="N11" s="724">
        <f t="shared" si="1"/>
        <v>0</v>
      </c>
      <c r="O11" s="377" t="str">
        <f t="shared" si="2"/>
        <v/>
      </c>
      <c r="Q11" s="62"/>
    </row>
    <row r="12" spans="1:17" ht="12.95" customHeight="1">
      <c r="B12" s="10"/>
      <c r="C12" s="11"/>
      <c r="D12" s="11"/>
      <c r="E12" s="316"/>
      <c r="F12" s="336"/>
      <c r="G12" s="362"/>
      <c r="H12" s="20"/>
      <c r="I12" s="784"/>
      <c r="J12" s="784"/>
      <c r="K12" s="742"/>
      <c r="L12" s="626"/>
      <c r="M12" s="238"/>
      <c r="N12" s="724"/>
      <c r="O12" s="377" t="str">
        <f t="shared" si="2"/>
        <v/>
      </c>
    </row>
    <row r="13" spans="1:17" s="1" customFormat="1" ht="12.95" customHeight="1">
      <c r="A13" s="311"/>
      <c r="B13" s="12"/>
      <c r="C13" s="8"/>
      <c r="D13" s="8"/>
      <c r="E13" s="8"/>
      <c r="F13" s="335">
        <v>612000</v>
      </c>
      <c r="G13" s="361"/>
      <c r="H13" s="8" t="s">
        <v>145</v>
      </c>
      <c r="I13" s="738">
        <f t="shared" ref="I13:N13" si="3">I14</f>
        <v>4020</v>
      </c>
      <c r="J13" s="738">
        <f t="shared" si="3"/>
        <v>4020</v>
      </c>
      <c r="K13" s="744">
        <f t="shared" si="3"/>
        <v>827</v>
      </c>
      <c r="L13" s="578">
        <f t="shared" si="3"/>
        <v>3410</v>
      </c>
      <c r="M13" s="236">
        <f t="shared" si="3"/>
        <v>0</v>
      </c>
      <c r="N13" s="723">
        <f t="shared" si="3"/>
        <v>3410</v>
      </c>
      <c r="O13" s="376">
        <f t="shared" si="2"/>
        <v>84.825870646766163</v>
      </c>
    </row>
    <row r="14" spans="1:17" ht="12.95" customHeight="1">
      <c r="B14" s="10"/>
      <c r="C14" s="11"/>
      <c r="D14" s="11"/>
      <c r="E14" s="316"/>
      <c r="F14" s="336">
        <v>612100</v>
      </c>
      <c r="G14" s="362"/>
      <c r="H14" s="13" t="s">
        <v>82</v>
      </c>
      <c r="I14" s="784">
        <f>3330+500+100+90</f>
        <v>4020</v>
      </c>
      <c r="J14" s="784">
        <f>3330+500+100+90</f>
        <v>4020</v>
      </c>
      <c r="K14" s="742">
        <v>827</v>
      </c>
      <c r="L14" s="626">
        <f>3310+100</f>
        <v>3410</v>
      </c>
      <c r="M14" s="238">
        <v>0</v>
      </c>
      <c r="N14" s="724">
        <f>SUM(L14:M14)</f>
        <v>3410</v>
      </c>
      <c r="O14" s="377">
        <f t="shared" si="2"/>
        <v>84.825870646766163</v>
      </c>
    </row>
    <row r="15" spans="1:17" ht="12.95" customHeight="1">
      <c r="B15" s="10"/>
      <c r="C15" s="11"/>
      <c r="D15" s="11"/>
      <c r="E15" s="316"/>
      <c r="F15" s="336"/>
      <c r="G15" s="362"/>
      <c r="H15" s="11"/>
      <c r="I15" s="777"/>
      <c r="J15" s="777"/>
      <c r="K15" s="779"/>
      <c r="L15" s="621"/>
      <c r="M15" s="321"/>
      <c r="N15" s="725"/>
      <c r="O15" s="377" t="str">
        <f t="shared" si="2"/>
        <v/>
      </c>
    </row>
    <row r="16" spans="1:17" s="1" customFormat="1" ht="12.95" customHeight="1">
      <c r="A16" s="311"/>
      <c r="B16" s="12"/>
      <c r="C16" s="8"/>
      <c r="D16" s="8"/>
      <c r="E16" s="8"/>
      <c r="F16" s="335">
        <v>613000</v>
      </c>
      <c r="G16" s="361"/>
      <c r="H16" s="8" t="s">
        <v>147</v>
      </c>
      <c r="I16" s="778">
        <f t="shared" ref="I16:N16" si="4">SUM(I17:I26)</f>
        <v>3150</v>
      </c>
      <c r="J16" s="778">
        <f t="shared" si="4"/>
        <v>3150</v>
      </c>
      <c r="K16" s="783">
        <f t="shared" si="4"/>
        <v>137</v>
      </c>
      <c r="L16" s="581">
        <f t="shared" si="4"/>
        <v>2760</v>
      </c>
      <c r="M16" s="323">
        <f t="shared" si="4"/>
        <v>0</v>
      </c>
      <c r="N16" s="726">
        <f t="shared" si="4"/>
        <v>2760</v>
      </c>
      <c r="O16" s="376">
        <f t="shared" si="2"/>
        <v>87.61904761904762</v>
      </c>
    </row>
    <row r="17" spans="1:15" ht="12.95" customHeight="1">
      <c r="B17" s="10"/>
      <c r="C17" s="11"/>
      <c r="D17" s="11"/>
      <c r="E17" s="316"/>
      <c r="F17" s="336">
        <v>613100</v>
      </c>
      <c r="G17" s="362"/>
      <c r="H17" s="11" t="s">
        <v>83</v>
      </c>
      <c r="I17" s="779">
        <v>850</v>
      </c>
      <c r="J17" s="779">
        <v>850</v>
      </c>
      <c r="K17" s="779">
        <v>13</v>
      </c>
      <c r="L17" s="571">
        <v>500</v>
      </c>
      <c r="M17" s="395">
        <v>0</v>
      </c>
      <c r="N17" s="724">
        <f t="shared" ref="N17:N26" si="5">SUM(L17:M17)</f>
        <v>500</v>
      </c>
      <c r="O17" s="377">
        <f t="shared" si="2"/>
        <v>58.82352941176471</v>
      </c>
    </row>
    <row r="18" spans="1:15" ht="12.95" customHeight="1">
      <c r="B18" s="10"/>
      <c r="C18" s="11"/>
      <c r="D18" s="11"/>
      <c r="E18" s="316"/>
      <c r="F18" s="336">
        <v>613200</v>
      </c>
      <c r="G18" s="362"/>
      <c r="H18" s="11" t="s">
        <v>84</v>
      </c>
      <c r="I18" s="779">
        <v>0</v>
      </c>
      <c r="J18" s="779">
        <v>0</v>
      </c>
      <c r="K18" s="779">
        <v>0</v>
      </c>
      <c r="L18" s="571">
        <v>0</v>
      </c>
      <c r="M18" s="395">
        <v>0</v>
      </c>
      <c r="N18" s="724">
        <f t="shared" si="5"/>
        <v>0</v>
      </c>
      <c r="O18" s="377" t="str">
        <f t="shared" si="2"/>
        <v/>
      </c>
    </row>
    <row r="19" spans="1:15" ht="12.95" customHeight="1">
      <c r="B19" s="10"/>
      <c r="C19" s="11"/>
      <c r="D19" s="11"/>
      <c r="E19" s="316"/>
      <c r="F19" s="336">
        <v>613300</v>
      </c>
      <c r="G19" s="362"/>
      <c r="H19" s="20" t="s">
        <v>176</v>
      </c>
      <c r="I19" s="779">
        <v>800</v>
      </c>
      <c r="J19" s="779">
        <v>800</v>
      </c>
      <c r="K19" s="779">
        <v>99</v>
      </c>
      <c r="L19" s="571">
        <v>800</v>
      </c>
      <c r="M19" s="395">
        <v>0</v>
      </c>
      <c r="N19" s="724">
        <f t="shared" si="5"/>
        <v>800</v>
      </c>
      <c r="O19" s="377">
        <f t="shared" si="2"/>
        <v>100</v>
      </c>
    </row>
    <row r="20" spans="1:15" ht="12.95" customHeight="1">
      <c r="B20" s="10"/>
      <c r="C20" s="11"/>
      <c r="D20" s="11"/>
      <c r="E20" s="316"/>
      <c r="F20" s="336">
        <v>613400</v>
      </c>
      <c r="G20" s="362"/>
      <c r="H20" s="11" t="s">
        <v>148</v>
      </c>
      <c r="I20" s="779">
        <v>500</v>
      </c>
      <c r="J20" s="779">
        <v>500</v>
      </c>
      <c r="K20" s="779">
        <v>0</v>
      </c>
      <c r="L20" s="571">
        <v>500</v>
      </c>
      <c r="M20" s="395">
        <v>0</v>
      </c>
      <c r="N20" s="724">
        <f t="shared" si="5"/>
        <v>500</v>
      </c>
      <c r="O20" s="377">
        <f t="shared" si="2"/>
        <v>100</v>
      </c>
    </row>
    <row r="21" spans="1:15" ht="12.95" customHeight="1">
      <c r="B21" s="10"/>
      <c r="C21" s="11"/>
      <c r="D21" s="11"/>
      <c r="E21" s="316"/>
      <c r="F21" s="336">
        <v>613500</v>
      </c>
      <c r="G21" s="362"/>
      <c r="H21" s="11" t="s">
        <v>85</v>
      </c>
      <c r="I21" s="779">
        <v>0</v>
      </c>
      <c r="J21" s="779">
        <v>0</v>
      </c>
      <c r="K21" s="779">
        <v>0</v>
      </c>
      <c r="L21" s="571">
        <v>0</v>
      </c>
      <c r="M21" s="395">
        <v>0</v>
      </c>
      <c r="N21" s="724">
        <f t="shared" si="5"/>
        <v>0</v>
      </c>
      <c r="O21" s="377" t="str">
        <f t="shared" si="2"/>
        <v/>
      </c>
    </row>
    <row r="22" spans="1:15" ht="12.95" customHeight="1">
      <c r="B22" s="10"/>
      <c r="C22" s="11"/>
      <c r="D22" s="11"/>
      <c r="E22" s="316"/>
      <c r="F22" s="336">
        <v>613600</v>
      </c>
      <c r="G22" s="362"/>
      <c r="H22" s="20" t="s">
        <v>177</v>
      </c>
      <c r="I22" s="779">
        <v>0</v>
      </c>
      <c r="J22" s="779">
        <v>0</v>
      </c>
      <c r="K22" s="779">
        <v>0</v>
      </c>
      <c r="L22" s="571">
        <v>0</v>
      </c>
      <c r="M22" s="395">
        <v>0</v>
      </c>
      <c r="N22" s="724">
        <f t="shared" si="5"/>
        <v>0</v>
      </c>
      <c r="O22" s="377" t="str">
        <f t="shared" si="2"/>
        <v/>
      </c>
    </row>
    <row r="23" spans="1:15" ht="12.95" customHeight="1">
      <c r="B23" s="10"/>
      <c r="C23" s="11"/>
      <c r="D23" s="11"/>
      <c r="E23" s="316"/>
      <c r="F23" s="336">
        <v>613700</v>
      </c>
      <c r="G23" s="362"/>
      <c r="H23" s="11" t="s">
        <v>86</v>
      </c>
      <c r="I23" s="779">
        <v>500</v>
      </c>
      <c r="J23" s="779">
        <v>500</v>
      </c>
      <c r="K23" s="779">
        <v>0</v>
      </c>
      <c r="L23" s="571">
        <v>500</v>
      </c>
      <c r="M23" s="395">
        <v>0</v>
      </c>
      <c r="N23" s="724">
        <f t="shared" si="5"/>
        <v>500</v>
      </c>
      <c r="O23" s="377">
        <f t="shared" si="2"/>
        <v>100</v>
      </c>
    </row>
    <row r="24" spans="1:15" ht="12.95" customHeight="1">
      <c r="B24" s="10"/>
      <c r="C24" s="11"/>
      <c r="D24" s="11"/>
      <c r="E24" s="316"/>
      <c r="F24" s="336">
        <v>613800</v>
      </c>
      <c r="G24" s="362"/>
      <c r="H24" s="11" t="s">
        <v>149</v>
      </c>
      <c r="I24" s="779">
        <v>0</v>
      </c>
      <c r="J24" s="779">
        <v>0</v>
      </c>
      <c r="K24" s="779">
        <v>0</v>
      </c>
      <c r="L24" s="571">
        <v>0</v>
      </c>
      <c r="M24" s="395">
        <v>0</v>
      </c>
      <c r="N24" s="724">
        <f t="shared" si="5"/>
        <v>0</v>
      </c>
      <c r="O24" s="377" t="str">
        <f t="shared" si="2"/>
        <v/>
      </c>
    </row>
    <row r="25" spans="1:15" ht="12.95" customHeight="1">
      <c r="B25" s="10"/>
      <c r="C25" s="11"/>
      <c r="D25" s="11"/>
      <c r="E25" s="316"/>
      <c r="F25" s="336">
        <v>613900</v>
      </c>
      <c r="G25" s="362"/>
      <c r="H25" s="11" t="s">
        <v>150</v>
      </c>
      <c r="I25" s="742">
        <v>500</v>
      </c>
      <c r="J25" s="742">
        <v>500</v>
      </c>
      <c r="K25" s="742">
        <v>25</v>
      </c>
      <c r="L25" s="571">
        <f>500-40</f>
        <v>460</v>
      </c>
      <c r="M25" s="397">
        <v>0</v>
      </c>
      <c r="N25" s="724">
        <f t="shared" si="5"/>
        <v>460</v>
      </c>
      <c r="O25" s="377">
        <f t="shared" si="2"/>
        <v>92</v>
      </c>
    </row>
    <row r="26" spans="1:15" ht="12.95" customHeight="1">
      <c r="B26" s="10"/>
      <c r="C26" s="11"/>
      <c r="D26" s="11"/>
      <c r="E26" s="316"/>
      <c r="F26" s="336">
        <v>613900</v>
      </c>
      <c r="G26" s="362"/>
      <c r="H26" s="20" t="s">
        <v>527</v>
      </c>
      <c r="I26" s="779">
        <v>0</v>
      </c>
      <c r="J26" s="779">
        <v>0</v>
      </c>
      <c r="K26" s="779">
        <v>0</v>
      </c>
      <c r="L26" s="570">
        <v>0</v>
      </c>
      <c r="M26" s="395">
        <v>0</v>
      </c>
      <c r="N26" s="724">
        <f t="shared" si="5"/>
        <v>0</v>
      </c>
      <c r="O26" s="377" t="str">
        <f t="shared" si="2"/>
        <v/>
      </c>
    </row>
    <row r="27" spans="1:15" s="1" customFormat="1" ht="12.95" customHeight="1">
      <c r="A27" s="311"/>
      <c r="B27" s="12"/>
      <c r="C27" s="8"/>
      <c r="D27" s="8"/>
      <c r="E27" s="666"/>
      <c r="F27" s="346"/>
      <c r="G27" s="373"/>
      <c r="H27" s="8"/>
      <c r="I27" s="777"/>
      <c r="J27" s="777"/>
      <c r="K27" s="779"/>
      <c r="L27" s="621"/>
      <c r="M27" s="321"/>
      <c r="N27" s="725"/>
      <c r="O27" s="377" t="str">
        <f t="shared" si="2"/>
        <v/>
      </c>
    </row>
    <row r="28" spans="1:15" s="1" customFormat="1" ht="12.95" customHeight="1">
      <c r="A28" s="311"/>
      <c r="B28" s="12"/>
      <c r="C28" s="8"/>
      <c r="D28" s="8"/>
      <c r="E28" s="8"/>
      <c r="F28" s="335">
        <v>821000</v>
      </c>
      <c r="G28" s="361"/>
      <c r="H28" s="8" t="s">
        <v>89</v>
      </c>
      <c r="I28" s="575">
        <f t="shared" ref="I28:N28" si="6">SUM(I29:I30)</f>
        <v>1000</v>
      </c>
      <c r="J28" s="575">
        <f t="shared" si="6"/>
        <v>1000</v>
      </c>
      <c r="K28" s="745">
        <f t="shared" si="6"/>
        <v>0</v>
      </c>
      <c r="L28" s="582">
        <f t="shared" si="6"/>
        <v>500</v>
      </c>
      <c r="M28" s="318">
        <f t="shared" si="6"/>
        <v>0</v>
      </c>
      <c r="N28" s="726">
        <f t="shared" si="6"/>
        <v>500</v>
      </c>
      <c r="O28" s="376">
        <f t="shared" si="2"/>
        <v>50</v>
      </c>
    </row>
    <row r="29" spans="1:15" ht="12.95" customHeight="1">
      <c r="B29" s="10"/>
      <c r="C29" s="11"/>
      <c r="D29" s="11"/>
      <c r="E29" s="316"/>
      <c r="F29" s="336">
        <v>821200</v>
      </c>
      <c r="G29" s="362"/>
      <c r="H29" s="11" t="s">
        <v>90</v>
      </c>
      <c r="I29" s="777">
        <v>0</v>
      </c>
      <c r="J29" s="777">
        <v>0</v>
      </c>
      <c r="K29" s="779">
        <v>0</v>
      </c>
      <c r="L29" s="621">
        <v>0</v>
      </c>
      <c r="M29" s="321">
        <v>0</v>
      </c>
      <c r="N29" s="724">
        <f t="shared" ref="N29:N30" si="7">SUM(L29:M29)</f>
        <v>0</v>
      </c>
      <c r="O29" s="377" t="str">
        <f t="shared" si="2"/>
        <v/>
      </c>
    </row>
    <row r="30" spans="1:15" ht="12.95" customHeight="1">
      <c r="B30" s="10"/>
      <c r="C30" s="11"/>
      <c r="D30" s="11"/>
      <c r="E30" s="316"/>
      <c r="F30" s="336">
        <v>821300</v>
      </c>
      <c r="G30" s="362"/>
      <c r="H30" s="11" t="s">
        <v>91</v>
      </c>
      <c r="I30" s="777">
        <v>1000</v>
      </c>
      <c r="J30" s="777">
        <v>1000</v>
      </c>
      <c r="K30" s="779">
        <v>0</v>
      </c>
      <c r="L30" s="621">
        <v>500</v>
      </c>
      <c r="M30" s="321">
        <v>0</v>
      </c>
      <c r="N30" s="724">
        <f t="shared" si="7"/>
        <v>500</v>
      </c>
      <c r="O30" s="377">
        <f t="shared" si="2"/>
        <v>50</v>
      </c>
    </row>
    <row r="31" spans="1:15" ht="12.95" customHeight="1">
      <c r="B31" s="10"/>
      <c r="C31" s="11"/>
      <c r="D31" s="11"/>
      <c r="E31" s="316"/>
      <c r="F31" s="336"/>
      <c r="G31" s="362"/>
      <c r="H31" s="11"/>
      <c r="I31" s="777"/>
      <c r="J31" s="777"/>
      <c r="K31" s="779"/>
      <c r="L31" s="621"/>
      <c r="M31" s="321"/>
      <c r="N31" s="725"/>
      <c r="O31" s="377" t="str">
        <f t="shared" si="2"/>
        <v/>
      </c>
    </row>
    <row r="32" spans="1:15" s="1" customFormat="1" ht="12.95" customHeight="1">
      <c r="A32" s="311"/>
      <c r="B32" s="12"/>
      <c r="C32" s="8"/>
      <c r="D32" s="8"/>
      <c r="E32" s="8"/>
      <c r="F32" s="335"/>
      <c r="G32" s="361"/>
      <c r="H32" s="8" t="s">
        <v>92</v>
      </c>
      <c r="I32" s="632">
        <v>2</v>
      </c>
      <c r="J32" s="632">
        <v>2</v>
      </c>
      <c r="K32" s="744">
        <v>2</v>
      </c>
      <c r="L32" s="588">
        <v>2</v>
      </c>
      <c r="M32" s="325"/>
      <c r="N32" s="726">
        <v>2</v>
      </c>
      <c r="O32" s="377"/>
    </row>
    <row r="33" spans="1:15" s="1" customFormat="1" ht="12.95" customHeight="1">
      <c r="A33" s="311"/>
      <c r="B33" s="12"/>
      <c r="C33" s="8"/>
      <c r="D33" s="8"/>
      <c r="E33" s="8"/>
      <c r="F33" s="335"/>
      <c r="G33" s="361"/>
      <c r="H33" s="8" t="s">
        <v>110</v>
      </c>
      <c r="I33" s="575">
        <f>I8+I13+I16+I28</f>
        <v>51690</v>
      </c>
      <c r="J33" s="318">
        <f>J8+J13+J16+J28</f>
        <v>51690</v>
      </c>
      <c r="K33" s="575">
        <f t="shared" ref="K33" si="8">K8+K13+K16+K28</f>
        <v>10252</v>
      </c>
      <c r="L33" s="582">
        <f>L8+L13+L16+L28</f>
        <v>46050</v>
      </c>
      <c r="M33" s="318">
        <f>M8+M13+M16+M28</f>
        <v>0</v>
      </c>
      <c r="N33" s="726">
        <f>N8+N13+N16+N28</f>
        <v>46050</v>
      </c>
      <c r="O33" s="376">
        <f t="shared" si="2"/>
        <v>89.088798607080676</v>
      </c>
    </row>
    <row r="34" spans="1:15" s="1" customFormat="1" ht="12.95" customHeight="1">
      <c r="A34" s="311"/>
      <c r="B34" s="12"/>
      <c r="C34" s="8"/>
      <c r="D34" s="8"/>
      <c r="E34" s="8"/>
      <c r="F34" s="335"/>
      <c r="G34" s="361"/>
      <c r="H34" s="8" t="s">
        <v>93</v>
      </c>
      <c r="I34" s="575">
        <f>I33+'12'!I33</f>
        <v>91240</v>
      </c>
      <c r="J34" s="318">
        <f>J33+'12'!J33</f>
        <v>91240</v>
      </c>
      <c r="K34" s="575">
        <f>K33+'12'!K33</f>
        <v>19373</v>
      </c>
      <c r="L34" s="582">
        <f>L33+'12'!L33</f>
        <v>84290</v>
      </c>
      <c r="M34" s="318">
        <f>M33+'12'!M33</f>
        <v>0</v>
      </c>
      <c r="N34" s="726">
        <f>N33+'12'!N33</f>
        <v>84290</v>
      </c>
      <c r="O34" s="376">
        <f>IF(J34=0,"",N34/J34*100)</f>
        <v>92.38272687417799</v>
      </c>
    </row>
    <row r="35" spans="1:15" s="1" customFormat="1" ht="12.95" customHeight="1">
      <c r="A35" s="311"/>
      <c r="B35" s="12"/>
      <c r="C35" s="8"/>
      <c r="D35" s="8"/>
      <c r="E35" s="8"/>
      <c r="F35" s="335"/>
      <c r="G35" s="361"/>
      <c r="H35" s="8" t="s">
        <v>94</v>
      </c>
      <c r="I35" s="15"/>
      <c r="J35" s="15"/>
      <c r="K35" s="575"/>
      <c r="L35" s="582"/>
      <c r="M35" s="318"/>
      <c r="N35" s="726"/>
      <c r="O35" s="376"/>
    </row>
    <row r="36" spans="1:15" ht="12.95" customHeight="1" thickBot="1">
      <c r="B36" s="16"/>
      <c r="C36" s="17"/>
      <c r="D36" s="17"/>
      <c r="E36" s="17"/>
      <c r="F36" s="337"/>
      <c r="G36" s="363"/>
      <c r="H36" s="17"/>
      <c r="I36" s="32"/>
      <c r="J36" s="32"/>
      <c r="K36" s="576"/>
      <c r="L36" s="585"/>
      <c r="M36" s="32"/>
      <c r="N36" s="728"/>
      <c r="O36" s="379"/>
    </row>
    <row r="37" spans="1:15" ht="12.95" customHeight="1">
      <c r="F37" s="338"/>
      <c r="G37" s="364"/>
      <c r="N37" s="425"/>
    </row>
    <row r="38" spans="1:15" ht="12.95" customHeight="1">
      <c r="B38" s="55"/>
      <c r="F38" s="338"/>
      <c r="G38" s="364"/>
      <c r="N38" s="425"/>
    </row>
    <row r="39" spans="1:15" ht="12.95" customHeight="1">
      <c r="F39" s="338"/>
      <c r="G39" s="364"/>
      <c r="N39" s="425"/>
    </row>
    <row r="40" spans="1:15" ht="12.95" customHeight="1">
      <c r="F40" s="338"/>
      <c r="G40" s="364"/>
      <c r="N40" s="425"/>
    </row>
    <row r="41" spans="1:15" ht="12.95" customHeight="1">
      <c r="F41" s="338"/>
      <c r="G41" s="364"/>
      <c r="N41" s="425"/>
    </row>
    <row r="42" spans="1:15" ht="12.95" customHeight="1">
      <c r="F42" s="338"/>
      <c r="G42" s="364"/>
      <c r="N42" s="425"/>
    </row>
    <row r="43" spans="1:15" ht="12.95" customHeight="1">
      <c r="F43" s="338"/>
      <c r="G43" s="364"/>
      <c r="N43" s="425"/>
    </row>
    <row r="44" spans="1:15" ht="12.95" customHeight="1">
      <c r="F44" s="338"/>
      <c r="G44" s="364"/>
      <c r="N44" s="425"/>
    </row>
    <row r="45" spans="1:15" ht="12.95" customHeight="1">
      <c r="F45" s="338"/>
      <c r="G45" s="364"/>
      <c r="N45" s="425"/>
    </row>
    <row r="46" spans="1:15" ht="12.95" customHeight="1">
      <c r="F46" s="338"/>
      <c r="G46" s="364"/>
      <c r="N46" s="425"/>
    </row>
    <row r="47" spans="1:15" ht="12.95" customHeight="1">
      <c r="F47" s="338"/>
      <c r="G47" s="364"/>
      <c r="N47" s="425"/>
    </row>
    <row r="48" spans="1:15" ht="12.95" customHeight="1">
      <c r="F48" s="338"/>
      <c r="G48" s="364"/>
      <c r="N48" s="425"/>
    </row>
    <row r="49" spans="6:14" ht="12.95" customHeight="1">
      <c r="F49" s="338"/>
      <c r="G49" s="364"/>
      <c r="N49" s="425"/>
    </row>
    <row r="50" spans="6:14" ht="12.95" customHeight="1">
      <c r="F50" s="338"/>
      <c r="G50" s="364"/>
      <c r="N50" s="425"/>
    </row>
    <row r="51" spans="6:14" ht="12.95" customHeight="1">
      <c r="F51" s="338"/>
      <c r="G51" s="364"/>
      <c r="N51" s="425"/>
    </row>
    <row r="52" spans="6:14" ht="12.95" customHeight="1">
      <c r="F52" s="338"/>
      <c r="G52" s="364"/>
      <c r="N52" s="425"/>
    </row>
    <row r="53" spans="6:14" ht="12.95" customHeight="1">
      <c r="F53" s="338"/>
      <c r="G53" s="364"/>
      <c r="N53" s="425"/>
    </row>
    <row r="54" spans="6:14" ht="12.95" customHeight="1">
      <c r="F54" s="338"/>
      <c r="G54" s="364"/>
      <c r="N54" s="425"/>
    </row>
    <row r="55" spans="6:14" ht="12.95" customHeight="1">
      <c r="F55" s="338"/>
      <c r="G55" s="364"/>
      <c r="N55" s="425"/>
    </row>
    <row r="56" spans="6:14" ht="12.95" customHeight="1">
      <c r="F56" s="338"/>
      <c r="G56" s="364"/>
      <c r="N56" s="425"/>
    </row>
    <row r="57" spans="6:14" ht="12.95" customHeight="1">
      <c r="F57" s="338"/>
      <c r="G57" s="364"/>
      <c r="N57" s="425"/>
    </row>
    <row r="58" spans="6:14" ht="12.95" customHeight="1">
      <c r="F58" s="338"/>
      <c r="G58" s="364"/>
      <c r="N58" s="425"/>
    </row>
    <row r="59" spans="6:14" ht="12.95" customHeight="1">
      <c r="F59" s="338"/>
      <c r="G59" s="364"/>
      <c r="N59" s="425"/>
    </row>
    <row r="60" spans="6:14" ht="17.100000000000001" customHeight="1">
      <c r="F60" s="338"/>
      <c r="G60" s="364"/>
      <c r="N60" s="425"/>
    </row>
    <row r="61" spans="6:14" ht="14.25">
      <c r="F61" s="338"/>
      <c r="G61" s="364"/>
      <c r="N61" s="425"/>
    </row>
    <row r="62" spans="6:14" ht="14.25">
      <c r="F62" s="338"/>
      <c r="G62" s="364"/>
      <c r="N62" s="425"/>
    </row>
    <row r="63" spans="6:14" ht="14.25">
      <c r="F63" s="338"/>
      <c r="G63" s="364"/>
      <c r="N63" s="425"/>
    </row>
    <row r="64" spans="6:14" ht="14.25">
      <c r="F64" s="338"/>
      <c r="G64" s="364"/>
      <c r="N64" s="425"/>
    </row>
    <row r="65" spans="6:14" ht="14.25">
      <c r="F65" s="338"/>
      <c r="G65" s="364"/>
      <c r="N65" s="425"/>
    </row>
    <row r="66" spans="6:14" ht="14.25">
      <c r="F66" s="338"/>
      <c r="G66" s="364"/>
      <c r="N66" s="425"/>
    </row>
    <row r="67" spans="6:14" ht="14.25">
      <c r="F67" s="338"/>
      <c r="G67" s="364"/>
      <c r="N67" s="425"/>
    </row>
    <row r="68" spans="6:14" ht="14.25">
      <c r="F68" s="338"/>
      <c r="G68" s="364"/>
      <c r="N68" s="425"/>
    </row>
    <row r="69" spans="6:14" ht="14.25">
      <c r="F69" s="338"/>
      <c r="G69" s="364"/>
      <c r="N69" s="425"/>
    </row>
    <row r="70" spans="6:14" ht="14.25">
      <c r="F70" s="338"/>
      <c r="G70" s="364"/>
      <c r="N70" s="425"/>
    </row>
    <row r="71" spans="6:14" ht="14.25">
      <c r="F71" s="338"/>
      <c r="G71" s="364"/>
      <c r="N71" s="425"/>
    </row>
    <row r="72" spans="6:14" ht="14.25">
      <c r="F72" s="338"/>
      <c r="G72" s="364"/>
      <c r="N72" s="425"/>
    </row>
    <row r="73" spans="6:14" ht="14.25">
      <c r="F73" s="338"/>
      <c r="G73" s="364"/>
      <c r="N73" s="425"/>
    </row>
    <row r="74" spans="6:14" ht="14.25">
      <c r="F74" s="338"/>
      <c r="G74" s="338"/>
      <c r="N74" s="425"/>
    </row>
    <row r="75" spans="6:14" ht="14.25">
      <c r="F75" s="338"/>
      <c r="G75" s="338"/>
      <c r="N75" s="425"/>
    </row>
    <row r="76" spans="6:14" ht="14.25">
      <c r="F76" s="338"/>
      <c r="G76" s="338"/>
      <c r="N76" s="425"/>
    </row>
    <row r="77" spans="6:14" ht="14.25">
      <c r="F77" s="338"/>
      <c r="G77" s="338"/>
      <c r="N77" s="425"/>
    </row>
    <row r="78" spans="6:14" ht="14.25">
      <c r="F78" s="338"/>
      <c r="G78" s="338"/>
      <c r="N78" s="425"/>
    </row>
    <row r="79" spans="6:14" ht="14.25">
      <c r="F79" s="338"/>
      <c r="G79" s="338"/>
      <c r="N79" s="425"/>
    </row>
    <row r="80" spans="6:14" ht="14.25">
      <c r="F80" s="338"/>
      <c r="G80" s="338"/>
      <c r="N80" s="425"/>
    </row>
    <row r="81" spans="6:14" ht="14.25">
      <c r="F81" s="338"/>
      <c r="G81" s="338"/>
      <c r="N81" s="425"/>
    </row>
    <row r="82" spans="6:14" ht="14.25">
      <c r="F82" s="338"/>
      <c r="G82" s="338"/>
      <c r="N82" s="425"/>
    </row>
    <row r="83" spans="6:14" ht="14.25">
      <c r="F83" s="338"/>
      <c r="G83" s="338"/>
      <c r="N83" s="425"/>
    </row>
    <row r="84" spans="6:14" ht="14.25">
      <c r="F84" s="338"/>
      <c r="G84" s="338"/>
      <c r="N84" s="425"/>
    </row>
    <row r="85" spans="6:14" ht="14.25">
      <c r="F85" s="338"/>
      <c r="G85" s="338"/>
      <c r="N85" s="425"/>
    </row>
    <row r="86" spans="6:14" ht="14.25">
      <c r="F86" s="338"/>
      <c r="G86" s="338"/>
      <c r="N86" s="425"/>
    </row>
    <row r="87" spans="6:14" ht="14.25">
      <c r="F87" s="338"/>
      <c r="G87" s="338"/>
      <c r="N87" s="425"/>
    </row>
    <row r="88" spans="6:14" ht="14.25">
      <c r="F88" s="338"/>
      <c r="G88" s="338"/>
      <c r="N88" s="425"/>
    </row>
    <row r="89" spans="6:14" ht="14.25">
      <c r="F89" s="338"/>
      <c r="G89" s="338"/>
      <c r="N89" s="425"/>
    </row>
    <row r="90" spans="6:14" ht="14.25">
      <c r="F90" s="338"/>
      <c r="G90" s="338"/>
      <c r="N90" s="425"/>
    </row>
    <row r="91" spans="6:14">
      <c r="G91" s="338"/>
    </row>
    <row r="92" spans="6:14">
      <c r="G92" s="338"/>
    </row>
    <row r="93" spans="6:14">
      <c r="G93" s="338"/>
    </row>
    <row r="94" spans="6:14">
      <c r="G94" s="338"/>
    </row>
    <row r="95" spans="6:14">
      <c r="G95" s="338"/>
    </row>
    <row r="96" spans="6:14">
      <c r="G96" s="338"/>
    </row>
  </sheetData>
  <mergeCells count="14">
    <mergeCell ref="B2:O2"/>
    <mergeCell ref="O4:O5"/>
    <mergeCell ref="H4:H5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K4:K5"/>
    <mergeCell ref="E4:E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U34"/>
  <sheetViews>
    <sheetView zoomScaleNormal="100" workbookViewId="0">
      <selection activeCell="Q24" sqref="Q24"/>
    </sheetView>
  </sheetViews>
  <sheetFormatPr defaultRowHeight="12.75"/>
  <cols>
    <col min="1" max="1" width="3.28515625" style="39" customWidth="1"/>
    <col min="7" max="7" width="10.7109375" customWidth="1"/>
    <col min="8" max="8" width="0.140625" hidden="1" customWidth="1"/>
    <col min="9" max="9" width="2.7109375" hidden="1" customWidth="1"/>
    <col min="10" max="10" width="8.28515625" style="39" customWidth="1"/>
    <col min="11" max="11" width="2.42578125" customWidth="1"/>
    <col min="12" max="12" width="4.140625" customWidth="1"/>
    <col min="19" max="19" width="3.85546875" customWidth="1"/>
    <col min="20" max="20" width="2.5703125" customWidth="1"/>
    <col min="21" max="21" width="8.5703125" customWidth="1"/>
  </cols>
  <sheetData>
    <row r="1" spans="1:21" ht="15.75">
      <c r="A1" s="851" t="s">
        <v>199</v>
      </c>
      <c r="B1" s="851"/>
      <c r="C1" s="851"/>
      <c r="D1" s="851"/>
      <c r="E1" s="851"/>
      <c r="F1" s="851"/>
      <c r="G1" s="851"/>
      <c r="H1" s="851"/>
      <c r="I1" s="851"/>
    </row>
    <row r="3" spans="1:21" s="45" customFormat="1">
      <c r="A3" s="543" t="s">
        <v>215</v>
      </c>
      <c r="B3" s="848" t="s">
        <v>217</v>
      </c>
      <c r="C3" s="849"/>
      <c r="D3" s="849"/>
      <c r="E3" s="849"/>
      <c r="F3" s="849"/>
      <c r="G3" s="849"/>
      <c r="H3" s="849"/>
      <c r="I3" s="850"/>
      <c r="J3" s="543" t="s">
        <v>210</v>
      </c>
      <c r="L3" s="543" t="s">
        <v>215</v>
      </c>
      <c r="M3" s="848" t="s">
        <v>217</v>
      </c>
      <c r="N3" s="849"/>
      <c r="O3" s="849"/>
      <c r="P3" s="849"/>
      <c r="Q3" s="849"/>
      <c r="R3" s="849"/>
      <c r="S3" s="849"/>
      <c r="T3" s="850"/>
      <c r="U3" s="543" t="s">
        <v>210</v>
      </c>
    </row>
    <row r="4" spans="1:21" s="36" customFormat="1" ht="17.100000000000001" customHeight="1">
      <c r="A4" s="530" t="s">
        <v>200</v>
      </c>
      <c r="B4" s="855" t="s">
        <v>201</v>
      </c>
      <c r="C4" s="856"/>
      <c r="D4" s="856"/>
      <c r="E4" s="856"/>
      <c r="F4" s="856"/>
      <c r="G4" s="856"/>
      <c r="H4" s="856"/>
      <c r="I4" s="857"/>
      <c r="J4" s="530">
        <v>3</v>
      </c>
      <c r="K4" s="531"/>
      <c r="L4" s="654" t="s">
        <v>662</v>
      </c>
      <c r="M4" s="852" t="s">
        <v>824</v>
      </c>
      <c r="N4" s="853"/>
      <c r="O4" s="853"/>
      <c r="P4" s="853"/>
      <c r="Q4" s="853"/>
      <c r="R4" s="853"/>
      <c r="S4" s="853"/>
      <c r="T4" s="854"/>
      <c r="U4" s="655">
        <v>43</v>
      </c>
    </row>
    <row r="5" spans="1:21" s="36" customFormat="1" ht="17.100000000000001" customHeight="1">
      <c r="A5" s="532" t="s">
        <v>202</v>
      </c>
      <c r="B5" s="840" t="s">
        <v>203</v>
      </c>
      <c r="C5" s="841"/>
      <c r="D5" s="841"/>
      <c r="E5" s="841"/>
      <c r="F5" s="841"/>
      <c r="G5" s="841"/>
      <c r="H5" s="841"/>
      <c r="I5" s="842"/>
      <c r="J5" s="532">
        <v>4</v>
      </c>
      <c r="K5" s="531"/>
      <c r="L5" s="532" t="s">
        <v>663</v>
      </c>
      <c r="M5" s="840" t="s">
        <v>825</v>
      </c>
      <c r="N5" s="841"/>
      <c r="O5" s="841"/>
      <c r="P5" s="841"/>
      <c r="Q5" s="841"/>
      <c r="R5" s="841"/>
      <c r="S5" s="841"/>
      <c r="T5" s="842"/>
      <c r="U5" s="532">
        <v>44</v>
      </c>
    </row>
    <row r="6" spans="1:21" s="36" customFormat="1" ht="17.100000000000001" customHeight="1">
      <c r="A6" s="532" t="s">
        <v>204</v>
      </c>
      <c r="B6" s="840" t="s">
        <v>374</v>
      </c>
      <c r="C6" s="841"/>
      <c r="D6" s="841"/>
      <c r="E6" s="841"/>
      <c r="F6" s="841"/>
      <c r="G6" s="841"/>
      <c r="H6" s="841"/>
      <c r="I6" s="842"/>
      <c r="J6" s="532">
        <v>13</v>
      </c>
      <c r="K6" s="531"/>
      <c r="L6" s="532" t="s">
        <v>664</v>
      </c>
      <c r="M6" s="657" t="s">
        <v>826</v>
      </c>
      <c r="N6" s="641"/>
      <c r="O6" s="641"/>
      <c r="P6" s="641"/>
      <c r="Q6" s="641"/>
      <c r="R6" s="641"/>
      <c r="S6" s="641"/>
      <c r="T6" s="642"/>
      <c r="U6" s="532">
        <v>45</v>
      </c>
    </row>
    <row r="7" spans="1:21" s="36" customFormat="1" ht="17.100000000000001" customHeight="1">
      <c r="A7" s="532" t="s">
        <v>205</v>
      </c>
      <c r="B7" s="840" t="s">
        <v>206</v>
      </c>
      <c r="C7" s="841"/>
      <c r="D7" s="841"/>
      <c r="E7" s="841"/>
      <c r="F7" s="841"/>
      <c r="G7" s="841"/>
      <c r="H7" s="841"/>
      <c r="I7" s="842"/>
      <c r="J7" s="532">
        <v>16</v>
      </c>
      <c r="K7" s="531"/>
      <c r="L7" s="532" t="s">
        <v>665</v>
      </c>
      <c r="M7" s="657" t="s">
        <v>827</v>
      </c>
      <c r="N7" s="641"/>
      <c r="O7" s="641"/>
      <c r="P7" s="641"/>
      <c r="Q7" s="641"/>
      <c r="R7" s="641"/>
      <c r="S7" s="641"/>
      <c r="T7" s="642"/>
      <c r="U7" s="532">
        <v>46</v>
      </c>
    </row>
    <row r="8" spans="1:21" s="36" customFormat="1" ht="17.100000000000001" customHeight="1">
      <c r="A8" s="532" t="s">
        <v>216</v>
      </c>
      <c r="B8" s="840" t="s">
        <v>207</v>
      </c>
      <c r="C8" s="841"/>
      <c r="D8" s="841"/>
      <c r="E8" s="841"/>
      <c r="F8" s="841"/>
      <c r="G8" s="841"/>
      <c r="H8" s="841"/>
      <c r="I8" s="842"/>
      <c r="J8" s="532">
        <v>17</v>
      </c>
      <c r="K8" s="531"/>
      <c r="L8" s="532" t="s">
        <v>666</v>
      </c>
      <c r="M8" s="643" t="s">
        <v>752</v>
      </c>
      <c r="N8" s="641"/>
      <c r="O8" s="641"/>
      <c r="P8" s="641"/>
      <c r="Q8" s="641"/>
      <c r="R8" s="641"/>
      <c r="S8" s="641"/>
      <c r="T8" s="642"/>
      <c r="U8" s="532">
        <v>47</v>
      </c>
    </row>
    <row r="9" spans="1:21" s="36" customFormat="1" ht="17.100000000000001" customHeight="1">
      <c r="A9" s="532" t="s">
        <v>635</v>
      </c>
      <c r="B9" s="840" t="s">
        <v>208</v>
      </c>
      <c r="C9" s="841"/>
      <c r="D9" s="841"/>
      <c r="E9" s="841"/>
      <c r="F9" s="841"/>
      <c r="G9" s="841"/>
      <c r="H9" s="841"/>
      <c r="I9" s="842"/>
      <c r="J9" s="532">
        <v>18</v>
      </c>
      <c r="K9" s="531"/>
      <c r="L9" s="532" t="s">
        <v>667</v>
      </c>
      <c r="M9" s="643" t="s">
        <v>766</v>
      </c>
      <c r="N9" s="641"/>
      <c r="O9" s="641"/>
      <c r="P9" s="641"/>
      <c r="Q9" s="641"/>
      <c r="R9" s="641"/>
      <c r="S9" s="641"/>
      <c r="T9" s="642"/>
      <c r="U9" s="532">
        <v>48</v>
      </c>
    </row>
    <row r="10" spans="1:21" s="36" customFormat="1" ht="17.100000000000001" customHeight="1">
      <c r="A10" s="532" t="s">
        <v>638</v>
      </c>
      <c r="B10" s="840" t="s">
        <v>792</v>
      </c>
      <c r="C10" s="841"/>
      <c r="D10" s="841"/>
      <c r="E10" s="841"/>
      <c r="F10" s="841"/>
      <c r="G10" s="841"/>
      <c r="H10" s="841"/>
      <c r="I10" s="842"/>
      <c r="J10" s="532">
        <v>19</v>
      </c>
      <c r="K10" s="531"/>
      <c r="L10" s="532" t="s">
        <v>668</v>
      </c>
      <c r="M10" s="643" t="s">
        <v>764</v>
      </c>
      <c r="N10" s="641"/>
      <c r="O10" s="641"/>
      <c r="P10" s="641"/>
      <c r="Q10" s="641"/>
      <c r="R10" s="641"/>
      <c r="S10" s="641"/>
      <c r="T10" s="642"/>
      <c r="U10" s="532">
        <v>49</v>
      </c>
    </row>
    <row r="11" spans="1:21" s="36" customFormat="1" ht="17.100000000000001" customHeight="1">
      <c r="A11" s="532" t="s">
        <v>639</v>
      </c>
      <c r="B11" s="647" t="s">
        <v>743</v>
      </c>
      <c r="C11" s="648"/>
      <c r="D11" s="648"/>
      <c r="E11" s="648"/>
      <c r="F11" s="648"/>
      <c r="G11" s="648"/>
      <c r="H11" s="648"/>
      <c r="I11" s="649"/>
      <c r="J11" s="532">
        <v>20</v>
      </c>
      <c r="K11" s="531"/>
      <c r="L11" s="532" t="s">
        <v>669</v>
      </c>
      <c r="M11" s="643" t="s">
        <v>211</v>
      </c>
      <c r="N11" s="641"/>
      <c r="O11" s="641"/>
      <c r="P11" s="641"/>
      <c r="Q11" s="641"/>
      <c r="R11" s="641"/>
      <c r="S11" s="641"/>
      <c r="T11" s="642"/>
      <c r="U11" s="532">
        <v>50</v>
      </c>
    </row>
    <row r="12" spans="1:21" s="36" customFormat="1" ht="17.100000000000001" customHeight="1">
      <c r="A12" s="532" t="s">
        <v>640</v>
      </c>
      <c r="B12" s="647" t="s">
        <v>741</v>
      </c>
      <c r="C12" s="648"/>
      <c r="D12" s="648"/>
      <c r="E12" s="648"/>
      <c r="F12" s="648"/>
      <c r="G12" s="648"/>
      <c r="H12" s="648"/>
      <c r="I12" s="649"/>
      <c r="J12" s="532">
        <v>21</v>
      </c>
      <c r="K12" s="531"/>
      <c r="L12" s="532" t="s">
        <v>670</v>
      </c>
      <c r="M12" s="643" t="s">
        <v>212</v>
      </c>
      <c r="N12" s="641"/>
      <c r="O12" s="641"/>
      <c r="P12" s="641"/>
      <c r="Q12" s="641"/>
      <c r="R12" s="641"/>
      <c r="S12" s="641"/>
      <c r="T12" s="642"/>
      <c r="U12" s="532">
        <v>51</v>
      </c>
    </row>
    <row r="13" spans="1:21" s="36" customFormat="1" ht="17.100000000000001" customHeight="1">
      <c r="A13" s="532" t="s">
        <v>641</v>
      </c>
      <c r="B13" s="647" t="s">
        <v>526</v>
      </c>
      <c r="C13" s="648"/>
      <c r="D13" s="648"/>
      <c r="E13" s="648"/>
      <c r="F13" s="648"/>
      <c r="G13" s="648"/>
      <c r="H13" s="648"/>
      <c r="I13" s="649"/>
      <c r="J13" s="532">
        <v>22</v>
      </c>
      <c r="K13" s="531"/>
      <c r="L13" s="532" t="s">
        <v>671</v>
      </c>
      <c r="M13" s="643" t="s">
        <v>772</v>
      </c>
      <c r="N13" s="641"/>
      <c r="O13" s="641"/>
      <c r="P13" s="641"/>
      <c r="Q13" s="641"/>
      <c r="R13" s="641"/>
      <c r="S13" s="641"/>
      <c r="T13" s="642"/>
      <c r="U13" s="532">
        <v>52</v>
      </c>
    </row>
    <row r="14" spans="1:21" s="36" customFormat="1" ht="17.100000000000001" customHeight="1">
      <c r="A14" s="532" t="s">
        <v>642</v>
      </c>
      <c r="B14" s="840" t="s">
        <v>738</v>
      </c>
      <c r="C14" s="841"/>
      <c r="D14" s="841"/>
      <c r="E14" s="841"/>
      <c r="F14" s="841"/>
      <c r="G14" s="841"/>
      <c r="H14" s="841"/>
      <c r="I14" s="842"/>
      <c r="J14" s="532">
        <v>23</v>
      </c>
      <c r="K14" s="531"/>
      <c r="L14" s="532" t="s">
        <v>672</v>
      </c>
      <c r="M14" s="643" t="s">
        <v>213</v>
      </c>
      <c r="N14" s="641"/>
      <c r="O14" s="641"/>
      <c r="P14" s="641"/>
      <c r="Q14" s="641"/>
      <c r="R14" s="641"/>
      <c r="S14" s="641"/>
      <c r="T14" s="642"/>
      <c r="U14" s="532">
        <v>53</v>
      </c>
    </row>
    <row r="15" spans="1:21" s="36" customFormat="1" ht="17.100000000000001" customHeight="1">
      <c r="A15" s="532" t="s">
        <v>643</v>
      </c>
      <c r="B15" s="840" t="s">
        <v>739</v>
      </c>
      <c r="C15" s="841"/>
      <c r="D15" s="841"/>
      <c r="E15" s="841"/>
      <c r="F15" s="841"/>
      <c r="G15" s="841"/>
      <c r="H15" s="841"/>
      <c r="I15" s="842"/>
      <c r="J15" s="532">
        <v>24</v>
      </c>
      <c r="K15" s="531"/>
      <c r="L15" s="532" t="s">
        <v>673</v>
      </c>
      <c r="M15" s="840" t="s">
        <v>891</v>
      </c>
      <c r="N15" s="846"/>
      <c r="O15" s="846"/>
      <c r="P15" s="846"/>
      <c r="Q15" s="846"/>
      <c r="R15" s="846"/>
      <c r="S15" s="846"/>
      <c r="T15" s="847"/>
      <c r="U15" s="532">
        <v>54</v>
      </c>
    </row>
    <row r="16" spans="1:21" s="36" customFormat="1" ht="17.100000000000001" customHeight="1">
      <c r="A16" s="532" t="s">
        <v>644</v>
      </c>
      <c r="B16" s="643" t="s">
        <v>209</v>
      </c>
      <c r="C16" s="641"/>
      <c r="D16" s="641"/>
      <c r="E16" s="641"/>
      <c r="F16" s="641"/>
      <c r="G16" s="641"/>
      <c r="H16" s="641"/>
      <c r="I16" s="642"/>
      <c r="J16" s="532">
        <v>25</v>
      </c>
      <c r="K16" s="531"/>
      <c r="L16" s="532" t="s">
        <v>674</v>
      </c>
      <c r="M16" s="685" t="s">
        <v>890</v>
      </c>
      <c r="N16" s="641"/>
      <c r="O16" s="641"/>
      <c r="P16" s="641"/>
      <c r="Q16" s="641"/>
      <c r="R16" s="641"/>
      <c r="S16" s="641"/>
      <c r="T16" s="642"/>
      <c r="U16" s="532">
        <v>55</v>
      </c>
    </row>
    <row r="17" spans="1:21" s="36" customFormat="1" ht="17.100000000000001" customHeight="1">
      <c r="A17" s="532" t="s">
        <v>645</v>
      </c>
      <c r="B17" s="643" t="s">
        <v>745</v>
      </c>
      <c r="C17" s="641"/>
      <c r="D17" s="641"/>
      <c r="E17" s="641"/>
      <c r="F17" s="641"/>
      <c r="G17" s="641"/>
      <c r="H17" s="641"/>
      <c r="I17" s="642"/>
      <c r="J17" s="532">
        <v>26</v>
      </c>
      <c r="K17" s="531"/>
      <c r="L17" s="532" t="s">
        <v>675</v>
      </c>
      <c r="M17" s="643" t="s">
        <v>693</v>
      </c>
      <c r="N17" s="641"/>
      <c r="O17" s="641"/>
      <c r="P17" s="641"/>
      <c r="Q17" s="641"/>
      <c r="R17" s="641"/>
      <c r="S17" s="641"/>
      <c r="T17" s="642"/>
      <c r="U17" s="532">
        <v>58</v>
      </c>
    </row>
    <row r="18" spans="1:21" s="36" customFormat="1" ht="17.100000000000001" customHeight="1">
      <c r="A18" s="532" t="s">
        <v>646</v>
      </c>
      <c r="B18" s="643" t="s">
        <v>780</v>
      </c>
      <c r="C18" s="641"/>
      <c r="D18" s="641"/>
      <c r="E18" s="641"/>
      <c r="F18" s="641"/>
      <c r="G18" s="641"/>
      <c r="H18" s="641"/>
      <c r="I18" s="642"/>
      <c r="J18" s="532">
        <v>27</v>
      </c>
      <c r="K18" s="531"/>
      <c r="L18" s="533" t="s">
        <v>793</v>
      </c>
      <c r="M18" s="843" t="s">
        <v>214</v>
      </c>
      <c r="N18" s="844"/>
      <c r="O18" s="844"/>
      <c r="P18" s="844"/>
      <c r="Q18" s="844"/>
      <c r="R18" s="844"/>
      <c r="S18" s="844"/>
      <c r="T18" s="845"/>
      <c r="U18" s="533">
        <v>59</v>
      </c>
    </row>
    <row r="19" spans="1:21" s="36" customFormat="1" ht="17.100000000000001" customHeight="1">
      <c r="A19" s="532" t="s">
        <v>647</v>
      </c>
      <c r="B19" s="643" t="s">
        <v>768</v>
      </c>
      <c r="C19" s="641"/>
      <c r="D19" s="641"/>
      <c r="E19" s="641"/>
      <c r="F19" s="641"/>
      <c r="G19" s="641"/>
      <c r="H19" s="641"/>
      <c r="I19" s="642"/>
      <c r="J19" s="532">
        <v>28</v>
      </c>
      <c r="K19" s="531"/>
      <c r="L19" s="531"/>
      <c r="M19" s="531"/>
      <c r="N19" s="531"/>
      <c r="O19" s="531"/>
      <c r="P19" s="531"/>
      <c r="Q19" s="531"/>
      <c r="R19" s="531"/>
      <c r="S19" s="531"/>
      <c r="T19" s="531"/>
      <c r="U19" s="531"/>
    </row>
    <row r="20" spans="1:21" s="36" customFormat="1" ht="17.100000000000001" customHeight="1">
      <c r="A20" s="532" t="s">
        <v>648</v>
      </c>
      <c r="B20" s="643" t="s">
        <v>767</v>
      </c>
      <c r="C20" s="641"/>
      <c r="D20" s="641"/>
      <c r="E20" s="641"/>
      <c r="F20" s="641"/>
      <c r="G20" s="641"/>
      <c r="H20" s="641"/>
      <c r="I20" s="642"/>
      <c r="J20" s="532">
        <v>29</v>
      </c>
      <c r="K20" s="531"/>
      <c r="L20" s="531"/>
      <c r="M20" s="531"/>
      <c r="N20" s="531"/>
      <c r="O20" s="531"/>
      <c r="P20" s="531"/>
      <c r="Q20" s="531"/>
      <c r="R20" s="531"/>
      <c r="S20" s="531"/>
      <c r="T20" s="531"/>
      <c r="U20" s="531"/>
    </row>
    <row r="21" spans="1:21" s="36" customFormat="1" ht="17.100000000000001" customHeight="1">
      <c r="A21" s="532" t="s">
        <v>649</v>
      </c>
      <c r="B21" s="643" t="s">
        <v>781</v>
      </c>
      <c r="C21" s="641"/>
      <c r="D21" s="641"/>
      <c r="E21" s="641"/>
      <c r="F21" s="641"/>
      <c r="G21" s="641"/>
      <c r="H21" s="641"/>
      <c r="I21" s="642"/>
      <c r="J21" s="532">
        <v>30</v>
      </c>
      <c r="K21" s="531"/>
      <c r="L21" s="531"/>
      <c r="M21" s="658"/>
      <c r="N21" s="658"/>
      <c r="O21" s="658"/>
      <c r="P21" s="531"/>
      <c r="Q21" s="531"/>
      <c r="R21" s="531"/>
      <c r="S21" s="531"/>
      <c r="T21" s="531"/>
      <c r="U21" s="531"/>
    </row>
    <row r="22" spans="1:21" s="36" customFormat="1" ht="17.100000000000001" customHeight="1">
      <c r="A22" s="532" t="s">
        <v>650</v>
      </c>
      <c r="B22" s="643" t="s">
        <v>782</v>
      </c>
      <c r="C22" s="641"/>
      <c r="D22" s="641"/>
      <c r="E22" s="641"/>
      <c r="F22" s="641"/>
      <c r="G22" s="641"/>
      <c r="H22" s="641"/>
      <c r="I22" s="642"/>
      <c r="J22" s="532">
        <v>31</v>
      </c>
      <c r="K22" s="531"/>
      <c r="L22" s="531"/>
      <c r="M22" s="659"/>
      <c r="N22" s="658"/>
      <c r="O22" s="658"/>
      <c r="P22" s="531"/>
      <c r="Q22" s="531"/>
      <c r="R22" s="531"/>
      <c r="S22" s="531"/>
      <c r="T22" s="531"/>
      <c r="U22" s="531"/>
    </row>
    <row r="23" spans="1:21" s="36" customFormat="1" ht="17.100000000000001" customHeight="1">
      <c r="A23" s="532" t="s">
        <v>651</v>
      </c>
      <c r="B23" s="643" t="s">
        <v>747</v>
      </c>
      <c r="C23" s="641"/>
      <c r="D23" s="641"/>
      <c r="E23" s="641"/>
      <c r="F23" s="641"/>
      <c r="G23" s="641"/>
      <c r="H23" s="641"/>
      <c r="I23" s="642"/>
      <c r="J23" s="532">
        <v>32</v>
      </c>
      <c r="K23" s="531"/>
      <c r="L23" s="531"/>
      <c r="M23" s="658"/>
      <c r="N23" s="658"/>
      <c r="O23" s="658"/>
      <c r="P23" s="531"/>
      <c r="Q23" s="531"/>
      <c r="R23" s="531"/>
      <c r="S23" s="531"/>
      <c r="T23" s="531"/>
      <c r="U23" s="531"/>
    </row>
    <row r="24" spans="1:21" s="36" customFormat="1" ht="17.100000000000001" customHeight="1">
      <c r="A24" s="532" t="s">
        <v>652</v>
      </c>
      <c r="B24" s="643" t="s">
        <v>748</v>
      </c>
      <c r="C24" s="641"/>
      <c r="D24" s="641"/>
      <c r="E24" s="641"/>
      <c r="F24" s="641"/>
      <c r="G24" s="641"/>
      <c r="H24" s="641"/>
      <c r="I24" s="642"/>
      <c r="J24" s="532">
        <v>33</v>
      </c>
      <c r="K24" s="531"/>
      <c r="L24" s="531"/>
      <c r="M24" s="658"/>
      <c r="N24" s="658"/>
      <c r="O24" s="658"/>
      <c r="P24" s="531"/>
      <c r="Q24" s="531"/>
      <c r="R24" s="531"/>
      <c r="S24" s="531"/>
      <c r="T24" s="531"/>
      <c r="U24" s="531"/>
    </row>
    <row r="25" spans="1:21" s="36" customFormat="1" ht="17.100000000000001" customHeight="1">
      <c r="A25" s="532" t="s">
        <v>653</v>
      </c>
      <c r="B25" s="643" t="s">
        <v>749</v>
      </c>
      <c r="C25" s="641"/>
      <c r="D25" s="641"/>
      <c r="E25" s="641"/>
      <c r="F25" s="641"/>
      <c r="G25" s="641"/>
      <c r="H25" s="641"/>
      <c r="I25" s="642"/>
      <c r="J25" s="532">
        <v>34</v>
      </c>
      <c r="K25" s="531"/>
      <c r="L25" s="531"/>
      <c r="M25" s="531"/>
      <c r="N25" s="531"/>
      <c r="O25" s="531"/>
      <c r="P25" s="531"/>
      <c r="Q25" s="531"/>
      <c r="R25" s="531"/>
      <c r="S25" s="531"/>
      <c r="T25" s="531"/>
      <c r="U25" s="531"/>
    </row>
    <row r="26" spans="1:21" s="36" customFormat="1" ht="17.100000000000001" customHeight="1">
      <c r="A26" s="532" t="s">
        <v>654</v>
      </c>
      <c r="B26" s="643" t="s">
        <v>783</v>
      </c>
      <c r="C26" s="641"/>
      <c r="D26" s="641"/>
      <c r="E26" s="641"/>
      <c r="F26" s="641"/>
      <c r="G26" s="641"/>
      <c r="H26" s="641"/>
      <c r="I26" s="642"/>
      <c r="J26" s="532">
        <v>35</v>
      </c>
      <c r="K26" s="531"/>
      <c r="L26" s="531"/>
      <c r="M26" s="531"/>
      <c r="N26" s="531"/>
      <c r="O26" s="531"/>
      <c r="P26" s="531"/>
      <c r="Q26" s="531"/>
      <c r="R26" s="531"/>
      <c r="S26" s="531"/>
      <c r="T26" s="531"/>
      <c r="U26" s="531"/>
    </row>
    <row r="27" spans="1:21" s="36" customFormat="1" ht="17.100000000000001" customHeight="1">
      <c r="A27" s="532" t="s">
        <v>655</v>
      </c>
      <c r="B27" s="643" t="s">
        <v>751</v>
      </c>
      <c r="C27" s="641"/>
      <c r="D27" s="641"/>
      <c r="E27" s="641"/>
      <c r="F27" s="641"/>
      <c r="G27" s="641"/>
      <c r="H27" s="641"/>
      <c r="I27" s="642"/>
      <c r="J27" s="532">
        <v>36</v>
      </c>
      <c r="K27" s="531"/>
      <c r="L27" s="531"/>
      <c r="M27" s="531"/>
      <c r="N27" s="531"/>
      <c r="O27" s="531"/>
      <c r="P27" s="531"/>
      <c r="Q27" s="531"/>
      <c r="R27" s="531"/>
      <c r="S27" s="531"/>
      <c r="T27" s="531"/>
      <c r="U27" s="531"/>
    </row>
    <row r="28" spans="1:21" s="36" customFormat="1" ht="17.100000000000001" customHeight="1">
      <c r="A28" s="532" t="s">
        <v>656</v>
      </c>
      <c r="B28" s="657" t="s">
        <v>819</v>
      </c>
      <c r="C28" s="641"/>
      <c r="D28" s="641"/>
      <c r="E28" s="641"/>
      <c r="F28" s="641"/>
      <c r="G28" s="641"/>
      <c r="H28" s="641"/>
      <c r="I28" s="642"/>
      <c r="J28" s="532">
        <v>37</v>
      </c>
      <c r="K28" s="531"/>
      <c r="L28" s="531"/>
      <c r="M28" s="531"/>
      <c r="N28" s="531"/>
      <c r="O28" s="531"/>
      <c r="P28" s="531"/>
      <c r="Q28" s="531"/>
      <c r="R28" s="531"/>
      <c r="S28" s="531"/>
      <c r="T28" s="531"/>
      <c r="U28" s="531"/>
    </row>
    <row r="29" spans="1:21" s="36" customFormat="1" ht="17.100000000000001" customHeight="1">
      <c r="A29" s="532" t="s">
        <v>657</v>
      </c>
      <c r="B29" s="657" t="s">
        <v>820</v>
      </c>
      <c r="C29" s="641"/>
      <c r="D29" s="641"/>
      <c r="E29" s="641"/>
      <c r="F29" s="641"/>
      <c r="G29" s="641"/>
      <c r="H29" s="641"/>
      <c r="I29" s="642"/>
      <c r="J29" s="532">
        <v>38</v>
      </c>
      <c r="K29" s="531"/>
      <c r="L29" s="531"/>
      <c r="M29" s="531"/>
      <c r="N29" s="531"/>
      <c r="O29" s="531"/>
      <c r="P29" s="531"/>
      <c r="Q29" s="531"/>
      <c r="R29" s="531"/>
      <c r="S29" s="531"/>
      <c r="T29" s="531"/>
      <c r="U29" s="531"/>
    </row>
    <row r="30" spans="1:21" ht="17.100000000000001" customHeight="1">
      <c r="A30" s="532" t="s">
        <v>658</v>
      </c>
      <c r="B30" s="657" t="s">
        <v>821</v>
      </c>
      <c r="C30" s="641"/>
      <c r="D30" s="641"/>
      <c r="E30" s="641"/>
      <c r="F30" s="641"/>
      <c r="G30" s="641"/>
      <c r="H30" s="641"/>
      <c r="I30" s="642"/>
      <c r="J30" s="532">
        <v>39</v>
      </c>
      <c r="K30" s="531"/>
      <c r="L30" s="531"/>
      <c r="M30" s="531"/>
      <c r="N30" s="531"/>
      <c r="O30" s="531"/>
      <c r="P30" s="531"/>
      <c r="Q30" s="531"/>
      <c r="R30" s="531"/>
      <c r="S30" s="531"/>
      <c r="T30" s="531"/>
      <c r="U30" s="531"/>
    </row>
    <row r="31" spans="1:21" ht="17.100000000000001" customHeight="1">
      <c r="A31" s="532" t="s">
        <v>659</v>
      </c>
      <c r="B31" s="643" t="s">
        <v>784</v>
      </c>
      <c r="C31" s="641"/>
      <c r="D31" s="641"/>
      <c r="E31" s="641"/>
      <c r="F31" s="641"/>
      <c r="G31" s="641"/>
      <c r="H31" s="641"/>
      <c r="I31" s="642"/>
      <c r="J31" s="532">
        <v>40</v>
      </c>
      <c r="K31" s="531"/>
      <c r="L31" s="531"/>
      <c r="M31" s="531"/>
      <c r="N31" s="531"/>
      <c r="O31" s="531"/>
      <c r="P31" s="531"/>
      <c r="Q31" s="531"/>
      <c r="R31" s="531"/>
      <c r="S31" s="531"/>
      <c r="T31" s="531"/>
      <c r="U31" s="531"/>
    </row>
    <row r="32" spans="1:21" ht="17.100000000000001" customHeight="1">
      <c r="A32" s="532" t="s">
        <v>660</v>
      </c>
      <c r="B32" s="657" t="s">
        <v>822</v>
      </c>
      <c r="C32" s="641"/>
      <c r="D32" s="641"/>
      <c r="E32" s="641"/>
      <c r="F32" s="641"/>
      <c r="G32" s="641"/>
      <c r="H32" s="641"/>
      <c r="I32" s="642"/>
      <c r="J32" s="532">
        <v>41</v>
      </c>
      <c r="K32" s="531"/>
      <c r="L32" s="531"/>
      <c r="M32" s="531"/>
      <c r="N32" s="531"/>
      <c r="O32" s="531"/>
      <c r="P32" s="531"/>
      <c r="Q32" s="531"/>
      <c r="R32" s="531"/>
      <c r="S32" s="531"/>
      <c r="T32" s="531"/>
      <c r="U32" s="531"/>
    </row>
    <row r="33" spans="1:21" ht="17.100000000000001" customHeight="1">
      <c r="A33" s="533" t="s">
        <v>661</v>
      </c>
      <c r="B33" s="680" t="s">
        <v>823</v>
      </c>
      <c r="C33" s="681"/>
      <c r="D33" s="681"/>
      <c r="E33" s="681"/>
      <c r="F33" s="681"/>
      <c r="G33" s="681"/>
      <c r="H33" s="681"/>
      <c r="I33" s="682"/>
      <c r="J33" s="533">
        <v>42</v>
      </c>
      <c r="K33" s="531"/>
      <c r="L33" s="531"/>
      <c r="M33" s="531"/>
      <c r="N33" s="531"/>
      <c r="O33" s="531"/>
      <c r="P33" s="531"/>
      <c r="Q33" s="531"/>
      <c r="R33" s="531"/>
      <c r="S33" s="531"/>
      <c r="T33" s="531"/>
      <c r="U33" s="531"/>
    </row>
    <row r="34" spans="1:21" ht="17.100000000000001" customHeight="1"/>
  </sheetData>
  <mergeCells count="16">
    <mergeCell ref="B14:I14"/>
    <mergeCell ref="M18:T18"/>
    <mergeCell ref="M15:T15"/>
    <mergeCell ref="M3:T3"/>
    <mergeCell ref="A1:I1"/>
    <mergeCell ref="B5:I5"/>
    <mergeCell ref="B3:I3"/>
    <mergeCell ref="M5:T5"/>
    <mergeCell ref="M4:T4"/>
    <mergeCell ref="B8:I8"/>
    <mergeCell ref="B7:I7"/>
    <mergeCell ref="B6:I6"/>
    <mergeCell ref="B10:I10"/>
    <mergeCell ref="B4:I4"/>
    <mergeCell ref="B9:I9"/>
    <mergeCell ref="B15:I15"/>
  </mergeCells>
  <phoneticPr fontId="0" type="noConversion"/>
  <pageMargins left="0.72" right="0.21" top="0.62992125984251968" bottom="0.47244094488188981" header="0.51181102362204722" footer="0.43307086614173229"/>
  <pageSetup paperSize="9" scale="95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45"/>
  <dimension ref="A1:Q96"/>
  <sheetViews>
    <sheetView zoomScaleNormal="100" workbookViewId="0">
      <selection activeCell="L13" sqref="L13"/>
    </sheetView>
  </sheetViews>
  <sheetFormatPr defaultRowHeight="12.75"/>
  <cols>
    <col min="1" max="1" width="9.140625" style="314"/>
    <col min="2" max="2" width="4.7109375" style="9" customWidth="1"/>
    <col min="3" max="3" width="5.140625" style="9" customWidth="1"/>
    <col min="4" max="4" width="5" style="9" customWidth="1"/>
    <col min="5" max="5" width="5" style="314" customWidth="1"/>
    <col min="6" max="6" width="8.7109375" style="18" customWidth="1"/>
    <col min="7" max="7" width="8.7109375" style="319" customWidth="1"/>
    <col min="8" max="8" width="50.7109375" style="9" customWidth="1"/>
    <col min="9" max="13" width="14.7109375" style="63" customWidth="1"/>
    <col min="14" max="14" width="15.7109375" style="63" customWidth="1"/>
    <col min="15" max="15" width="7.7109375" style="380" customWidth="1"/>
    <col min="16" max="16384" width="9.140625" style="9"/>
  </cols>
  <sheetData>
    <row r="1" spans="1:17" ht="13.5" thickBot="1"/>
    <row r="2" spans="1:17" s="113" customFormat="1" ht="20.100000000000001" customHeight="1" thickTop="1" thickBot="1">
      <c r="A2" s="408"/>
      <c r="B2" s="887" t="s">
        <v>775</v>
      </c>
      <c r="C2" s="888"/>
      <c r="D2" s="888"/>
      <c r="E2" s="888"/>
      <c r="F2" s="888"/>
      <c r="G2" s="888"/>
      <c r="H2" s="888"/>
      <c r="I2" s="888"/>
      <c r="J2" s="921"/>
      <c r="K2" s="921"/>
      <c r="L2" s="921"/>
      <c r="M2" s="921"/>
      <c r="N2" s="921"/>
      <c r="O2" s="922"/>
      <c r="Q2" s="408"/>
    </row>
    <row r="3" spans="1:17" s="1" customFormat="1" ht="8.1" customHeight="1" thickTop="1" thickBot="1">
      <c r="A3" s="311"/>
      <c r="E3" s="311"/>
      <c r="F3" s="2"/>
      <c r="G3" s="312"/>
      <c r="H3" s="890"/>
      <c r="I3" s="890"/>
      <c r="J3" s="282"/>
      <c r="K3" s="282"/>
      <c r="L3" s="107"/>
      <c r="M3" s="107"/>
      <c r="N3" s="107"/>
      <c r="O3" s="374"/>
    </row>
    <row r="4" spans="1:17" s="1" customFormat="1" ht="39" customHeight="1">
      <c r="A4" s="311"/>
      <c r="B4" s="894" t="s">
        <v>77</v>
      </c>
      <c r="C4" s="909" t="s">
        <v>78</v>
      </c>
      <c r="D4" s="910" t="s">
        <v>107</v>
      </c>
      <c r="E4" s="916" t="s">
        <v>828</v>
      </c>
      <c r="F4" s="911" t="s">
        <v>517</v>
      </c>
      <c r="G4" s="899" t="s">
        <v>556</v>
      </c>
      <c r="H4" s="900" t="s">
        <v>79</v>
      </c>
      <c r="I4" s="912" t="s">
        <v>697</v>
      </c>
      <c r="J4" s="913" t="s">
        <v>862</v>
      </c>
      <c r="K4" s="917" t="s">
        <v>863</v>
      </c>
      <c r="L4" s="908" t="s">
        <v>865</v>
      </c>
      <c r="M4" s="892"/>
      <c r="N4" s="893"/>
      <c r="O4" s="906" t="s">
        <v>866</v>
      </c>
      <c r="Q4" s="81"/>
    </row>
    <row r="5" spans="1:17" s="311" customFormat="1" ht="27" customHeight="1">
      <c r="B5" s="895"/>
      <c r="C5" s="897"/>
      <c r="D5" s="897"/>
      <c r="E5" s="897"/>
      <c r="F5" s="901"/>
      <c r="G5" s="897"/>
      <c r="H5" s="901"/>
      <c r="I5" s="901"/>
      <c r="J5" s="901"/>
      <c r="K5" s="905"/>
      <c r="L5" s="587" t="s">
        <v>601</v>
      </c>
      <c r="M5" s="404" t="s">
        <v>602</v>
      </c>
      <c r="N5" s="720" t="s">
        <v>349</v>
      </c>
      <c r="O5" s="907"/>
    </row>
    <row r="6" spans="1:17" s="2" customFormat="1" ht="12.95" customHeight="1">
      <c r="A6" s="312"/>
      <c r="B6" s="525">
        <v>1</v>
      </c>
      <c r="C6" s="361">
        <v>2</v>
      </c>
      <c r="D6" s="361">
        <v>3</v>
      </c>
      <c r="E6" s="361">
        <v>4</v>
      </c>
      <c r="F6" s="361">
        <v>5</v>
      </c>
      <c r="G6" s="361">
        <v>6</v>
      </c>
      <c r="H6" s="361">
        <v>7</v>
      </c>
      <c r="I6" s="361">
        <v>8</v>
      </c>
      <c r="J6" s="361">
        <v>9</v>
      </c>
      <c r="K6" s="526">
        <v>10</v>
      </c>
      <c r="L6" s="525">
        <v>11</v>
      </c>
      <c r="M6" s="361">
        <v>12</v>
      </c>
      <c r="N6" s="721" t="s">
        <v>830</v>
      </c>
      <c r="O6" s="527">
        <v>14</v>
      </c>
    </row>
    <row r="7" spans="1:17" s="2" customFormat="1" ht="12.95" customHeight="1">
      <c r="A7" s="312"/>
      <c r="B7" s="6" t="s">
        <v>123</v>
      </c>
      <c r="C7" s="7" t="s">
        <v>168</v>
      </c>
      <c r="D7" s="7" t="s">
        <v>81</v>
      </c>
      <c r="E7" s="667" t="s">
        <v>834</v>
      </c>
      <c r="F7" s="5"/>
      <c r="G7" s="313"/>
      <c r="H7" s="5"/>
      <c r="I7" s="100"/>
      <c r="J7" s="100"/>
      <c r="K7" s="592"/>
      <c r="L7" s="619"/>
      <c r="M7" s="100"/>
      <c r="N7" s="773"/>
      <c r="O7" s="375"/>
    </row>
    <row r="8" spans="1:17" s="1" customFormat="1" ht="12.95" customHeight="1">
      <c r="A8" s="311"/>
      <c r="B8" s="12"/>
      <c r="C8" s="8"/>
      <c r="D8" s="8"/>
      <c r="E8" s="8"/>
      <c r="F8" s="335">
        <v>611000</v>
      </c>
      <c r="G8" s="361"/>
      <c r="H8" s="8" t="s">
        <v>146</v>
      </c>
      <c r="I8" s="738">
        <f t="shared" ref="I8:N8" si="0">SUM(I9:I12)</f>
        <v>78270</v>
      </c>
      <c r="J8" s="738">
        <f t="shared" si="0"/>
        <v>78270</v>
      </c>
      <c r="K8" s="744">
        <f t="shared" si="0"/>
        <v>18621</v>
      </c>
      <c r="L8" s="578">
        <f t="shared" si="0"/>
        <v>76280</v>
      </c>
      <c r="M8" s="236">
        <f t="shared" si="0"/>
        <v>0</v>
      </c>
      <c r="N8" s="723">
        <f t="shared" si="0"/>
        <v>76280</v>
      </c>
      <c r="O8" s="376">
        <f>IF(J8=0,"",N8/J8*100)</f>
        <v>97.457518845023642</v>
      </c>
    </row>
    <row r="9" spans="1:17" ht="12.95" customHeight="1">
      <c r="B9" s="10"/>
      <c r="C9" s="11"/>
      <c r="D9" s="11"/>
      <c r="E9" s="316"/>
      <c r="F9" s="336">
        <v>611100</v>
      </c>
      <c r="G9" s="362"/>
      <c r="H9" s="20" t="s">
        <v>174</v>
      </c>
      <c r="I9" s="784">
        <f>67060+400+1680</f>
        <v>69140</v>
      </c>
      <c r="J9" s="784">
        <f>67060+400+1680</f>
        <v>69140</v>
      </c>
      <c r="K9" s="742">
        <v>16772</v>
      </c>
      <c r="L9" s="626">
        <f>67030+400</f>
        <v>67430</v>
      </c>
      <c r="M9" s="238">
        <v>0</v>
      </c>
      <c r="N9" s="724">
        <f>SUM(L9:M9)</f>
        <v>67430</v>
      </c>
      <c r="O9" s="377">
        <f>IF(J9=0,"",N9/J9*100)</f>
        <v>97.526757304020833</v>
      </c>
    </row>
    <row r="10" spans="1:17" ht="12.95" customHeight="1">
      <c r="B10" s="10"/>
      <c r="C10" s="11"/>
      <c r="D10" s="11"/>
      <c r="E10" s="316"/>
      <c r="F10" s="336">
        <v>611200</v>
      </c>
      <c r="G10" s="362"/>
      <c r="H10" s="11" t="s">
        <v>175</v>
      </c>
      <c r="I10" s="784">
        <f>8830+300</f>
        <v>9130</v>
      </c>
      <c r="J10" s="784">
        <f>8830+300</f>
        <v>9130</v>
      </c>
      <c r="K10" s="742">
        <v>1849</v>
      </c>
      <c r="L10" s="626">
        <f>8650+200</f>
        <v>8850</v>
      </c>
      <c r="M10" s="238">
        <v>0</v>
      </c>
      <c r="N10" s="724">
        <f t="shared" ref="N10:N11" si="1">SUM(L10:M10)</f>
        <v>8850</v>
      </c>
      <c r="O10" s="377">
        <f t="shared" ref="O10:O35" si="2">IF(J10=0,"",N10/J10*100)</f>
        <v>96.933187294633086</v>
      </c>
    </row>
    <row r="11" spans="1:17" ht="12.95" customHeight="1">
      <c r="B11" s="10"/>
      <c r="C11" s="11"/>
      <c r="D11" s="11"/>
      <c r="E11" s="316"/>
      <c r="F11" s="336">
        <v>611200</v>
      </c>
      <c r="G11" s="362"/>
      <c r="H11" s="210" t="s">
        <v>464</v>
      </c>
      <c r="I11" s="739">
        <v>0</v>
      </c>
      <c r="J11" s="739">
        <v>0</v>
      </c>
      <c r="K11" s="741">
        <v>0</v>
      </c>
      <c r="L11" s="579">
        <v>0</v>
      </c>
      <c r="M11" s="235">
        <v>0</v>
      </c>
      <c r="N11" s="724">
        <f t="shared" si="1"/>
        <v>0</v>
      </c>
      <c r="O11" s="377" t="str">
        <f t="shared" si="2"/>
        <v/>
      </c>
      <c r="Q11" s="62"/>
    </row>
    <row r="12" spans="1:17" ht="12.95" customHeight="1">
      <c r="B12" s="10"/>
      <c r="C12" s="11"/>
      <c r="D12" s="11"/>
      <c r="E12" s="316"/>
      <c r="F12" s="336"/>
      <c r="G12" s="362"/>
      <c r="H12" s="20"/>
      <c r="I12" s="784"/>
      <c r="J12" s="784"/>
      <c r="K12" s="742"/>
      <c r="L12" s="626"/>
      <c r="M12" s="238"/>
      <c r="N12" s="724"/>
      <c r="O12" s="377" t="str">
        <f t="shared" si="2"/>
        <v/>
      </c>
    </row>
    <row r="13" spans="1:17" s="1" customFormat="1" ht="12.95" customHeight="1">
      <c r="A13" s="311"/>
      <c r="B13" s="12"/>
      <c r="C13" s="8"/>
      <c r="D13" s="8"/>
      <c r="E13" s="8"/>
      <c r="F13" s="335">
        <v>612000</v>
      </c>
      <c r="G13" s="361"/>
      <c r="H13" s="8" t="s">
        <v>145</v>
      </c>
      <c r="I13" s="738">
        <f t="shared" ref="I13:N13" si="3">I14</f>
        <v>7430</v>
      </c>
      <c r="J13" s="738">
        <f t="shared" si="3"/>
        <v>7430</v>
      </c>
      <c r="K13" s="744">
        <f t="shared" si="3"/>
        <v>1770</v>
      </c>
      <c r="L13" s="578">
        <f t="shared" si="3"/>
        <v>7160</v>
      </c>
      <c r="M13" s="236">
        <f t="shared" si="3"/>
        <v>0</v>
      </c>
      <c r="N13" s="723">
        <f t="shared" si="3"/>
        <v>7160</v>
      </c>
      <c r="O13" s="376">
        <f t="shared" si="2"/>
        <v>96.366083445491242</v>
      </c>
    </row>
    <row r="14" spans="1:17" ht="12.95" customHeight="1">
      <c r="B14" s="10"/>
      <c r="C14" s="11"/>
      <c r="D14" s="11"/>
      <c r="E14" s="316"/>
      <c r="F14" s="336">
        <v>612100</v>
      </c>
      <c r="G14" s="362"/>
      <c r="H14" s="13" t="s">
        <v>82</v>
      </c>
      <c r="I14" s="784">
        <f>7100+150+180</f>
        <v>7430</v>
      </c>
      <c r="J14" s="784">
        <f>7100+150+180</f>
        <v>7430</v>
      </c>
      <c r="K14" s="742">
        <v>1770</v>
      </c>
      <c r="L14" s="626">
        <f>7060+100</f>
        <v>7160</v>
      </c>
      <c r="M14" s="238">
        <v>0</v>
      </c>
      <c r="N14" s="724">
        <f>SUM(L14:M14)</f>
        <v>7160</v>
      </c>
      <c r="O14" s="377">
        <f t="shared" si="2"/>
        <v>96.366083445491242</v>
      </c>
    </row>
    <row r="15" spans="1:17" ht="12.95" customHeight="1">
      <c r="B15" s="10"/>
      <c r="C15" s="11"/>
      <c r="D15" s="11"/>
      <c r="E15" s="316"/>
      <c r="F15" s="336"/>
      <c r="G15" s="362"/>
      <c r="H15" s="11"/>
      <c r="I15" s="777"/>
      <c r="J15" s="777"/>
      <c r="K15" s="779"/>
      <c r="L15" s="622"/>
      <c r="M15" s="321"/>
      <c r="N15" s="725"/>
      <c r="O15" s="377" t="str">
        <f t="shared" si="2"/>
        <v/>
      </c>
    </row>
    <row r="16" spans="1:17" s="1" customFormat="1" ht="12.95" customHeight="1">
      <c r="A16" s="311"/>
      <c r="B16" s="12"/>
      <c r="C16" s="8"/>
      <c r="D16" s="8"/>
      <c r="E16" s="8"/>
      <c r="F16" s="335">
        <v>613000</v>
      </c>
      <c r="G16" s="361"/>
      <c r="H16" s="8" t="s">
        <v>147</v>
      </c>
      <c r="I16" s="778">
        <f t="shared" ref="I16:N16" si="4">SUM(I17:I26)</f>
        <v>4510</v>
      </c>
      <c r="J16" s="778">
        <f t="shared" si="4"/>
        <v>4510</v>
      </c>
      <c r="K16" s="783">
        <f t="shared" si="4"/>
        <v>653</v>
      </c>
      <c r="L16" s="588">
        <f t="shared" si="4"/>
        <v>4270</v>
      </c>
      <c r="M16" s="323">
        <f t="shared" si="4"/>
        <v>0</v>
      </c>
      <c r="N16" s="726">
        <f t="shared" si="4"/>
        <v>4270</v>
      </c>
      <c r="O16" s="376">
        <f t="shared" si="2"/>
        <v>94.678492239467843</v>
      </c>
    </row>
    <row r="17" spans="1:15" ht="12.95" customHeight="1">
      <c r="B17" s="10"/>
      <c r="C17" s="11"/>
      <c r="D17" s="11"/>
      <c r="E17" s="316"/>
      <c r="F17" s="336">
        <v>613100</v>
      </c>
      <c r="G17" s="362"/>
      <c r="H17" s="11" t="s">
        <v>83</v>
      </c>
      <c r="I17" s="779">
        <v>1000</v>
      </c>
      <c r="J17" s="779">
        <v>1000</v>
      </c>
      <c r="K17" s="779">
        <v>78</v>
      </c>
      <c r="L17" s="571">
        <f>1000*80%</f>
        <v>800</v>
      </c>
      <c r="M17" s="395">
        <v>0</v>
      </c>
      <c r="N17" s="724">
        <f t="shared" ref="N17:N26" si="5">SUM(L17:M17)</f>
        <v>800</v>
      </c>
      <c r="O17" s="377">
        <f t="shared" si="2"/>
        <v>80</v>
      </c>
    </row>
    <row r="18" spans="1:15" ht="12.95" customHeight="1">
      <c r="B18" s="10"/>
      <c r="C18" s="11"/>
      <c r="D18" s="11"/>
      <c r="E18" s="316"/>
      <c r="F18" s="336">
        <v>613200</v>
      </c>
      <c r="G18" s="362"/>
      <c r="H18" s="11" t="s">
        <v>84</v>
      </c>
      <c r="I18" s="779">
        <v>0</v>
      </c>
      <c r="J18" s="779">
        <v>0</v>
      </c>
      <c r="K18" s="779">
        <v>0</v>
      </c>
      <c r="L18" s="571">
        <v>0</v>
      </c>
      <c r="M18" s="395">
        <v>0</v>
      </c>
      <c r="N18" s="724">
        <f t="shared" si="5"/>
        <v>0</v>
      </c>
      <c r="O18" s="377" t="str">
        <f t="shared" si="2"/>
        <v/>
      </c>
    </row>
    <row r="19" spans="1:15" ht="12.95" customHeight="1">
      <c r="B19" s="10"/>
      <c r="C19" s="11"/>
      <c r="D19" s="11"/>
      <c r="E19" s="316"/>
      <c r="F19" s="336">
        <v>613300</v>
      </c>
      <c r="G19" s="362"/>
      <c r="H19" s="20" t="s">
        <v>176</v>
      </c>
      <c r="I19" s="779">
        <v>1400</v>
      </c>
      <c r="J19" s="779">
        <v>1400</v>
      </c>
      <c r="K19" s="779">
        <v>400</v>
      </c>
      <c r="L19" s="571">
        <v>1400</v>
      </c>
      <c r="M19" s="395">
        <v>0</v>
      </c>
      <c r="N19" s="724">
        <f t="shared" si="5"/>
        <v>1400</v>
      </c>
      <c r="O19" s="377">
        <f t="shared" si="2"/>
        <v>100</v>
      </c>
    </row>
    <row r="20" spans="1:15" ht="12.95" customHeight="1">
      <c r="B20" s="10"/>
      <c r="C20" s="11"/>
      <c r="D20" s="11"/>
      <c r="E20" s="316"/>
      <c r="F20" s="336">
        <v>613400</v>
      </c>
      <c r="G20" s="362"/>
      <c r="H20" s="11" t="s">
        <v>148</v>
      </c>
      <c r="I20" s="779">
        <v>1000</v>
      </c>
      <c r="J20" s="779">
        <v>1000</v>
      </c>
      <c r="K20" s="779">
        <v>121</v>
      </c>
      <c r="L20" s="571">
        <v>1000</v>
      </c>
      <c r="M20" s="395">
        <v>0</v>
      </c>
      <c r="N20" s="724">
        <f t="shared" si="5"/>
        <v>1000</v>
      </c>
      <c r="O20" s="377">
        <f t="shared" si="2"/>
        <v>100</v>
      </c>
    </row>
    <row r="21" spans="1:15" ht="12.95" customHeight="1">
      <c r="B21" s="10"/>
      <c r="C21" s="11"/>
      <c r="D21" s="11"/>
      <c r="E21" s="316"/>
      <c r="F21" s="336">
        <v>613500</v>
      </c>
      <c r="G21" s="362"/>
      <c r="H21" s="11" t="s">
        <v>85</v>
      </c>
      <c r="I21" s="779">
        <v>0</v>
      </c>
      <c r="J21" s="779">
        <v>0</v>
      </c>
      <c r="K21" s="779">
        <v>0</v>
      </c>
      <c r="L21" s="571">
        <v>0</v>
      </c>
      <c r="M21" s="395">
        <v>0</v>
      </c>
      <c r="N21" s="724">
        <f t="shared" si="5"/>
        <v>0</v>
      </c>
      <c r="O21" s="377" t="str">
        <f t="shared" si="2"/>
        <v/>
      </c>
    </row>
    <row r="22" spans="1:15" ht="12.95" customHeight="1">
      <c r="B22" s="10"/>
      <c r="C22" s="11"/>
      <c r="D22" s="11"/>
      <c r="E22" s="316"/>
      <c r="F22" s="336">
        <v>613600</v>
      </c>
      <c r="G22" s="362"/>
      <c r="H22" s="20" t="s">
        <v>177</v>
      </c>
      <c r="I22" s="779">
        <v>0</v>
      </c>
      <c r="J22" s="779">
        <v>0</v>
      </c>
      <c r="K22" s="779">
        <v>0</v>
      </c>
      <c r="L22" s="571">
        <v>0</v>
      </c>
      <c r="M22" s="395">
        <v>0</v>
      </c>
      <c r="N22" s="724">
        <f t="shared" si="5"/>
        <v>0</v>
      </c>
      <c r="O22" s="377" t="str">
        <f t="shared" si="2"/>
        <v/>
      </c>
    </row>
    <row r="23" spans="1:15" ht="12.95" customHeight="1">
      <c r="B23" s="10"/>
      <c r="C23" s="11"/>
      <c r="D23" s="11"/>
      <c r="E23" s="316"/>
      <c r="F23" s="336">
        <v>613700</v>
      </c>
      <c r="G23" s="362"/>
      <c r="H23" s="11" t="s">
        <v>86</v>
      </c>
      <c r="I23" s="779">
        <v>200</v>
      </c>
      <c r="J23" s="779">
        <v>200</v>
      </c>
      <c r="K23" s="779">
        <v>0</v>
      </c>
      <c r="L23" s="571">
        <v>200</v>
      </c>
      <c r="M23" s="395">
        <v>0</v>
      </c>
      <c r="N23" s="724">
        <f t="shared" si="5"/>
        <v>200</v>
      </c>
      <c r="O23" s="377">
        <f t="shared" si="2"/>
        <v>100</v>
      </c>
    </row>
    <row r="24" spans="1:15" ht="12.95" customHeight="1">
      <c r="B24" s="10"/>
      <c r="C24" s="11"/>
      <c r="D24" s="11"/>
      <c r="E24" s="316"/>
      <c r="F24" s="336">
        <v>613800</v>
      </c>
      <c r="G24" s="362"/>
      <c r="H24" s="11" t="s">
        <v>149</v>
      </c>
      <c r="I24" s="779">
        <v>0</v>
      </c>
      <c r="J24" s="779">
        <v>0</v>
      </c>
      <c r="K24" s="779">
        <v>0</v>
      </c>
      <c r="L24" s="571">
        <v>0</v>
      </c>
      <c r="M24" s="395">
        <v>0</v>
      </c>
      <c r="N24" s="724">
        <f t="shared" si="5"/>
        <v>0</v>
      </c>
      <c r="O24" s="377" t="str">
        <f t="shared" si="2"/>
        <v/>
      </c>
    </row>
    <row r="25" spans="1:15" ht="12.95" customHeight="1">
      <c r="B25" s="10"/>
      <c r="C25" s="11"/>
      <c r="D25" s="11"/>
      <c r="E25" s="316"/>
      <c r="F25" s="336">
        <v>613900</v>
      </c>
      <c r="G25" s="362"/>
      <c r="H25" s="11" t="s">
        <v>150</v>
      </c>
      <c r="I25" s="742">
        <v>910</v>
      </c>
      <c r="J25" s="742">
        <v>910</v>
      </c>
      <c r="K25" s="742">
        <v>54</v>
      </c>
      <c r="L25" s="571">
        <f>910-40</f>
        <v>870</v>
      </c>
      <c r="M25" s="397">
        <v>0</v>
      </c>
      <c r="N25" s="724">
        <f t="shared" si="5"/>
        <v>870</v>
      </c>
      <c r="O25" s="377">
        <f t="shared" si="2"/>
        <v>95.604395604395606</v>
      </c>
    </row>
    <row r="26" spans="1:15" ht="12.95" customHeight="1">
      <c r="B26" s="10"/>
      <c r="C26" s="11"/>
      <c r="D26" s="11"/>
      <c r="E26" s="316"/>
      <c r="F26" s="336">
        <v>613900</v>
      </c>
      <c r="G26" s="362"/>
      <c r="H26" s="210" t="s">
        <v>465</v>
      </c>
      <c r="I26" s="742">
        <v>0</v>
      </c>
      <c r="J26" s="742">
        <v>0</v>
      </c>
      <c r="K26" s="742">
        <v>0</v>
      </c>
      <c r="L26" s="571">
        <v>0</v>
      </c>
      <c r="M26" s="397">
        <v>0</v>
      </c>
      <c r="N26" s="724">
        <f t="shared" si="5"/>
        <v>0</v>
      </c>
      <c r="O26" s="377" t="str">
        <f t="shared" si="2"/>
        <v/>
      </c>
    </row>
    <row r="27" spans="1:15" s="1" customFormat="1" ht="12.95" customHeight="1">
      <c r="A27" s="311"/>
      <c r="B27" s="12"/>
      <c r="C27" s="8"/>
      <c r="D27" s="8"/>
      <c r="E27" s="666"/>
      <c r="F27" s="346"/>
      <c r="G27" s="373"/>
      <c r="H27" s="8"/>
      <c r="I27" s="777"/>
      <c r="J27" s="777"/>
      <c r="K27" s="779"/>
      <c r="L27" s="621"/>
      <c r="M27" s="321"/>
      <c r="N27" s="725"/>
      <c r="O27" s="377" t="str">
        <f t="shared" si="2"/>
        <v/>
      </c>
    </row>
    <row r="28" spans="1:15" s="1" customFormat="1" ht="12.95" customHeight="1">
      <c r="A28" s="311"/>
      <c r="B28" s="12"/>
      <c r="C28" s="8"/>
      <c r="D28" s="8"/>
      <c r="E28" s="8"/>
      <c r="F28" s="335">
        <v>821000</v>
      </c>
      <c r="G28" s="361"/>
      <c r="H28" s="8" t="s">
        <v>89</v>
      </c>
      <c r="I28" s="575">
        <f t="shared" ref="I28:N28" si="6">I29+I30</f>
        <v>500</v>
      </c>
      <c r="J28" s="575">
        <f t="shared" si="6"/>
        <v>500</v>
      </c>
      <c r="K28" s="745">
        <f t="shared" si="6"/>
        <v>0</v>
      </c>
      <c r="L28" s="582">
        <f t="shared" si="6"/>
        <v>500</v>
      </c>
      <c r="M28" s="318">
        <f t="shared" si="6"/>
        <v>0</v>
      </c>
      <c r="N28" s="726">
        <f t="shared" si="6"/>
        <v>500</v>
      </c>
      <c r="O28" s="377">
        <f t="shared" si="2"/>
        <v>100</v>
      </c>
    </row>
    <row r="29" spans="1:15" ht="12.95" customHeight="1">
      <c r="B29" s="10"/>
      <c r="C29" s="11"/>
      <c r="D29" s="11"/>
      <c r="E29" s="316"/>
      <c r="F29" s="336">
        <v>821200</v>
      </c>
      <c r="G29" s="362"/>
      <c r="H29" s="11" t="s">
        <v>90</v>
      </c>
      <c r="I29" s="777">
        <v>0</v>
      </c>
      <c r="J29" s="777">
        <v>0</v>
      </c>
      <c r="K29" s="779">
        <v>0</v>
      </c>
      <c r="L29" s="621">
        <v>0</v>
      </c>
      <c r="M29" s="321">
        <v>0</v>
      </c>
      <c r="N29" s="724">
        <f t="shared" ref="N29:N30" si="7">SUM(L29:M29)</f>
        <v>0</v>
      </c>
      <c r="O29" s="377" t="str">
        <f t="shared" si="2"/>
        <v/>
      </c>
    </row>
    <row r="30" spans="1:15" ht="12.95" customHeight="1">
      <c r="B30" s="10"/>
      <c r="C30" s="11"/>
      <c r="D30" s="11"/>
      <c r="E30" s="316"/>
      <c r="F30" s="336">
        <v>821300</v>
      </c>
      <c r="G30" s="362"/>
      <c r="H30" s="11" t="s">
        <v>91</v>
      </c>
      <c r="I30" s="631">
        <v>500</v>
      </c>
      <c r="J30" s="631">
        <v>500</v>
      </c>
      <c r="K30" s="742">
        <v>0</v>
      </c>
      <c r="L30" s="622">
        <v>500</v>
      </c>
      <c r="M30" s="326">
        <v>0</v>
      </c>
      <c r="N30" s="724">
        <f t="shared" si="7"/>
        <v>500</v>
      </c>
      <c r="O30" s="377">
        <f t="shared" si="2"/>
        <v>100</v>
      </c>
    </row>
    <row r="31" spans="1:15" ht="12.95" customHeight="1">
      <c r="B31" s="10"/>
      <c r="C31" s="11"/>
      <c r="D31" s="11"/>
      <c r="E31" s="316"/>
      <c r="F31" s="336"/>
      <c r="G31" s="362"/>
      <c r="H31" s="11"/>
      <c r="I31" s="777"/>
      <c r="J31" s="777"/>
      <c r="K31" s="779"/>
      <c r="L31" s="621"/>
      <c r="M31" s="321"/>
      <c r="N31" s="725"/>
      <c r="O31" s="377" t="str">
        <f t="shared" si="2"/>
        <v/>
      </c>
    </row>
    <row r="32" spans="1:15" s="1" customFormat="1" ht="12.95" customHeight="1">
      <c r="A32" s="311"/>
      <c r="B32" s="12"/>
      <c r="C32" s="8"/>
      <c r="D32" s="8"/>
      <c r="E32" s="8"/>
      <c r="F32" s="335"/>
      <c r="G32" s="361"/>
      <c r="H32" s="8" t="s">
        <v>92</v>
      </c>
      <c r="I32" s="575">
        <v>3</v>
      </c>
      <c r="J32" s="575">
        <v>3</v>
      </c>
      <c r="K32" s="745">
        <v>3</v>
      </c>
      <c r="L32" s="582">
        <v>3</v>
      </c>
      <c r="M32" s="318"/>
      <c r="N32" s="726">
        <v>3</v>
      </c>
      <c r="O32" s="377"/>
    </row>
    <row r="33" spans="1:15" s="1" customFormat="1" ht="12.95" customHeight="1">
      <c r="A33" s="311"/>
      <c r="B33" s="12"/>
      <c r="C33" s="8"/>
      <c r="D33" s="8"/>
      <c r="E33" s="8"/>
      <c r="F33" s="335"/>
      <c r="G33" s="361"/>
      <c r="H33" s="8" t="s">
        <v>110</v>
      </c>
      <c r="I33" s="575">
        <f>I8+I13+I16+I28</f>
        <v>90710</v>
      </c>
      <c r="J33" s="318">
        <f>J8+J13+J16+J28</f>
        <v>90710</v>
      </c>
      <c r="K33" s="575">
        <f t="shared" ref="K33" si="8">K8+K13+K16+K28</f>
        <v>21044</v>
      </c>
      <c r="L33" s="582">
        <f>L8+L13+L16+L28</f>
        <v>88210</v>
      </c>
      <c r="M33" s="318">
        <f>M8+M13+M16+M28</f>
        <v>0</v>
      </c>
      <c r="N33" s="726">
        <f>N8+N13+N16+N28</f>
        <v>88210</v>
      </c>
      <c r="O33" s="376">
        <f t="shared" si="2"/>
        <v>97.243964281777096</v>
      </c>
    </row>
    <row r="34" spans="1:15" s="1" customFormat="1" ht="12.95" customHeight="1">
      <c r="A34" s="311"/>
      <c r="B34" s="12"/>
      <c r="C34" s="8"/>
      <c r="D34" s="8"/>
      <c r="E34" s="8"/>
      <c r="F34" s="335"/>
      <c r="G34" s="361"/>
      <c r="H34" s="8" t="s">
        <v>93</v>
      </c>
      <c r="I34" s="15">
        <f>I33</f>
        <v>90710</v>
      </c>
      <c r="J34" s="15">
        <f>J33</f>
        <v>90710</v>
      </c>
      <c r="K34" s="575">
        <f t="shared" ref="K34" si="9">K33</f>
        <v>21044</v>
      </c>
      <c r="L34" s="582">
        <f>L33</f>
        <v>88210</v>
      </c>
      <c r="M34" s="318">
        <f>M33</f>
        <v>0</v>
      </c>
      <c r="N34" s="726">
        <f>N33</f>
        <v>88210</v>
      </c>
      <c r="O34" s="376">
        <f>IF(J34=0,"",N34/J34*100)</f>
        <v>97.243964281777096</v>
      </c>
    </row>
    <row r="35" spans="1:15" s="1" customFormat="1" ht="12.95" customHeight="1">
      <c r="A35" s="311"/>
      <c r="B35" s="12"/>
      <c r="C35" s="8"/>
      <c r="D35" s="8"/>
      <c r="E35" s="8"/>
      <c r="F35" s="335"/>
      <c r="G35" s="361"/>
      <c r="H35" s="8" t="s">
        <v>94</v>
      </c>
      <c r="I35" s="15">
        <f>I34+'13'!I34+'12'!I34+'11'!I35+'10'!I35</f>
        <v>1959060</v>
      </c>
      <c r="J35" s="15">
        <f>J34+'13'!J34+'12'!J34+'11'!J35+'10'!J35</f>
        <v>1959060</v>
      </c>
      <c r="K35" s="575">
        <f>K34+'13'!K34+'12'!K34+'11'!K35+'10'!K35</f>
        <v>449588</v>
      </c>
      <c r="L35" s="582">
        <f>L34+'13'!L34+'12'!L34+'11'!L35+'10'!L35</f>
        <v>1946170</v>
      </c>
      <c r="M35" s="318">
        <f>M34+'13'!M34+'12'!M34+'11'!M35+'10'!M35</f>
        <v>0</v>
      </c>
      <c r="N35" s="726">
        <f>N34+'13'!N34+'12'!N34+'11'!N35+'10'!N35</f>
        <v>1946170</v>
      </c>
      <c r="O35" s="376">
        <f t="shared" si="2"/>
        <v>99.342031382397678</v>
      </c>
    </row>
    <row r="36" spans="1:15" ht="12.95" customHeight="1" thickBot="1">
      <c r="B36" s="16"/>
      <c r="C36" s="17"/>
      <c r="D36" s="17"/>
      <c r="E36" s="17"/>
      <c r="F36" s="337"/>
      <c r="G36" s="363"/>
      <c r="H36" s="17"/>
      <c r="I36" s="32"/>
      <c r="J36" s="32"/>
      <c r="K36" s="576"/>
      <c r="L36" s="585"/>
      <c r="M36" s="32"/>
      <c r="N36" s="728"/>
      <c r="O36" s="379"/>
    </row>
    <row r="37" spans="1:15" ht="12.95" customHeight="1">
      <c r="F37" s="338"/>
      <c r="G37" s="364"/>
      <c r="N37" s="425"/>
    </row>
    <row r="38" spans="1:15" ht="12.95" customHeight="1">
      <c r="B38" s="55"/>
      <c r="F38" s="338"/>
      <c r="G38" s="364"/>
      <c r="N38" s="425"/>
    </row>
    <row r="39" spans="1:15" ht="12.95" customHeight="1">
      <c r="B39" s="55"/>
      <c r="F39" s="338"/>
      <c r="G39" s="364"/>
      <c r="N39" s="425"/>
    </row>
    <row r="40" spans="1:15" ht="12.95" customHeight="1">
      <c r="F40" s="338"/>
      <c r="G40" s="364"/>
      <c r="N40" s="425"/>
    </row>
    <row r="41" spans="1:15" ht="12.95" customHeight="1">
      <c r="F41" s="338"/>
      <c r="G41" s="364"/>
      <c r="N41" s="425"/>
    </row>
    <row r="42" spans="1:15" ht="12.95" customHeight="1">
      <c r="F42" s="338"/>
      <c r="G42" s="364"/>
      <c r="N42" s="425"/>
    </row>
    <row r="43" spans="1:15" ht="12.95" customHeight="1">
      <c r="F43" s="338"/>
      <c r="G43" s="364"/>
      <c r="N43" s="425"/>
    </row>
    <row r="44" spans="1:15" ht="12.95" customHeight="1">
      <c r="F44" s="338"/>
      <c r="G44" s="364"/>
      <c r="N44" s="425"/>
    </row>
    <row r="45" spans="1:15" ht="12.95" customHeight="1">
      <c r="F45" s="338"/>
      <c r="G45" s="364"/>
      <c r="N45" s="425"/>
    </row>
    <row r="46" spans="1:15" ht="12.95" customHeight="1">
      <c r="F46" s="338"/>
      <c r="G46" s="364"/>
      <c r="N46" s="425"/>
    </row>
    <row r="47" spans="1:15" ht="12.95" customHeight="1">
      <c r="F47" s="338"/>
      <c r="G47" s="364"/>
      <c r="N47" s="425"/>
    </row>
    <row r="48" spans="1:15" ht="12.95" customHeight="1">
      <c r="F48" s="338"/>
      <c r="G48" s="364"/>
      <c r="N48" s="425"/>
    </row>
    <row r="49" spans="6:14" ht="12.95" customHeight="1">
      <c r="F49" s="338"/>
      <c r="G49" s="364"/>
      <c r="N49" s="425"/>
    </row>
    <row r="50" spans="6:14" ht="12.95" customHeight="1">
      <c r="F50" s="338"/>
      <c r="G50" s="364"/>
      <c r="N50" s="425"/>
    </row>
    <row r="51" spans="6:14" ht="12.95" customHeight="1">
      <c r="F51" s="338"/>
      <c r="G51" s="364"/>
      <c r="N51" s="425"/>
    </row>
    <row r="52" spans="6:14" ht="12.95" customHeight="1">
      <c r="F52" s="338"/>
      <c r="G52" s="364"/>
      <c r="N52" s="425"/>
    </row>
    <row r="53" spans="6:14" ht="12.95" customHeight="1">
      <c r="F53" s="338"/>
      <c r="G53" s="364"/>
      <c r="N53" s="425"/>
    </row>
    <row r="54" spans="6:14" ht="12.95" customHeight="1">
      <c r="F54" s="338"/>
      <c r="G54" s="364"/>
      <c r="N54" s="425"/>
    </row>
    <row r="55" spans="6:14" ht="12.95" customHeight="1">
      <c r="F55" s="338"/>
      <c r="G55" s="364"/>
      <c r="N55" s="425"/>
    </row>
    <row r="56" spans="6:14" ht="12.95" customHeight="1">
      <c r="F56" s="338"/>
      <c r="G56" s="364"/>
      <c r="N56" s="425"/>
    </row>
    <row r="57" spans="6:14" ht="12.95" customHeight="1">
      <c r="F57" s="338"/>
      <c r="G57" s="364"/>
      <c r="N57" s="425"/>
    </row>
    <row r="58" spans="6:14" ht="12.95" customHeight="1">
      <c r="F58" s="338"/>
      <c r="G58" s="364"/>
      <c r="N58" s="425"/>
    </row>
    <row r="59" spans="6:14" ht="12.95" customHeight="1">
      <c r="F59" s="338"/>
      <c r="G59" s="364"/>
      <c r="N59" s="425"/>
    </row>
    <row r="60" spans="6:14" ht="17.100000000000001" customHeight="1">
      <c r="F60" s="338"/>
      <c r="G60" s="364"/>
      <c r="N60" s="425"/>
    </row>
    <row r="61" spans="6:14" ht="14.25">
      <c r="F61" s="338"/>
      <c r="G61" s="364"/>
      <c r="N61" s="425"/>
    </row>
    <row r="62" spans="6:14" ht="14.25">
      <c r="F62" s="338"/>
      <c r="G62" s="364"/>
      <c r="N62" s="425"/>
    </row>
    <row r="63" spans="6:14" ht="14.25">
      <c r="F63" s="338"/>
      <c r="G63" s="364"/>
      <c r="N63" s="425"/>
    </row>
    <row r="64" spans="6:14" ht="14.25">
      <c r="F64" s="338"/>
      <c r="G64" s="364"/>
      <c r="N64" s="425"/>
    </row>
    <row r="65" spans="6:14" ht="14.25">
      <c r="F65" s="338"/>
      <c r="G65" s="364"/>
      <c r="N65" s="425"/>
    </row>
    <row r="66" spans="6:14" ht="14.25">
      <c r="F66" s="338"/>
      <c r="G66" s="364"/>
      <c r="N66" s="425"/>
    </row>
    <row r="67" spans="6:14" ht="14.25">
      <c r="F67" s="338"/>
      <c r="G67" s="364"/>
      <c r="N67" s="425"/>
    </row>
    <row r="68" spans="6:14" ht="14.25">
      <c r="F68" s="338"/>
      <c r="G68" s="364"/>
      <c r="N68" s="425"/>
    </row>
    <row r="69" spans="6:14" ht="14.25">
      <c r="F69" s="338"/>
      <c r="G69" s="364"/>
      <c r="N69" s="425"/>
    </row>
    <row r="70" spans="6:14" ht="14.25">
      <c r="F70" s="338"/>
      <c r="G70" s="364"/>
      <c r="N70" s="425"/>
    </row>
    <row r="71" spans="6:14" ht="14.25">
      <c r="F71" s="338"/>
      <c r="G71" s="364"/>
      <c r="N71" s="425"/>
    </row>
    <row r="72" spans="6:14" ht="14.25">
      <c r="F72" s="338"/>
      <c r="G72" s="364"/>
      <c r="N72" s="425"/>
    </row>
    <row r="73" spans="6:14" ht="14.25">
      <c r="F73" s="338"/>
      <c r="G73" s="364"/>
      <c r="N73" s="425"/>
    </row>
    <row r="74" spans="6:14" ht="14.25">
      <c r="F74" s="338"/>
      <c r="G74" s="338"/>
      <c r="N74" s="425"/>
    </row>
    <row r="75" spans="6:14" ht="14.25">
      <c r="F75" s="338"/>
      <c r="G75" s="338"/>
      <c r="N75" s="425"/>
    </row>
    <row r="76" spans="6:14" ht="14.25">
      <c r="F76" s="338"/>
      <c r="G76" s="338"/>
      <c r="N76" s="425"/>
    </row>
    <row r="77" spans="6:14" ht="14.25">
      <c r="F77" s="338"/>
      <c r="G77" s="338"/>
      <c r="N77" s="425"/>
    </row>
    <row r="78" spans="6:14" ht="14.25">
      <c r="F78" s="338"/>
      <c r="G78" s="338"/>
      <c r="N78" s="425"/>
    </row>
    <row r="79" spans="6:14" ht="14.25">
      <c r="F79" s="338"/>
      <c r="G79" s="338"/>
      <c r="N79" s="425"/>
    </row>
    <row r="80" spans="6:14" ht="14.25">
      <c r="F80" s="338"/>
      <c r="G80" s="338"/>
      <c r="N80" s="425"/>
    </row>
    <row r="81" spans="6:14" ht="14.25">
      <c r="F81" s="338"/>
      <c r="G81" s="338"/>
      <c r="N81" s="425"/>
    </row>
    <row r="82" spans="6:14" ht="14.25">
      <c r="F82" s="338"/>
      <c r="G82" s="338"/>
      <c r="N82" s="425"/>
    </row>
    <row r="83" spans="6:14" ht="14.25">
      <c r="F83" s="338"/>
      <c r="G83" s="338"/>
      <c r="N83" s="425"/>
    </row>
    <row r="84" spans="6:14" ht="14.25">
      <c r="F84" s="338"/>
      <c r="G84" s="338"/>
      <c r="N84" s="425"/>
    </row>
    <row r="85" spans="6:14" ht="14.25">
      <c r="F85" s="338"/>
      <c r="G85" s="338"/>
      <c r="N85" s="425"/>
    </row>
    <row r="86" spans="6:14" ht="14.25">
      <c r="F86" s="338"/>
      <c r="G86" s="338"/>
      <c r="N86" s="425"/>
    </row>
    <row r="87" spans="6:14" ht="14.25">
      <c r="F87" s="338"/>
      <c r="G87" s="338"/>
      <c r="N87" s="425"/>
    </row>
    <row r="88" spans="6:14" ht="14.25">
      <c r="F88" s="338"/>
      <c r="G88" s="338"/>
      <c r="N88" s="425"/>
    </row>
    <row r="89" spans="6:14" ht="14.25">
      <c r="F89" s="338"/>
      <c r="G89" s="338"/>
      <c r="N89" s="425"/>
    </row>
    <row r="90" spans="6:14" ht="14.25">
      <c r="F90" s="338"/>
      <c r="G90" s="338"/>
      <c r="N90" s="425"/>
    </row>
    <row r="91" spans="6:14">
      <c r="G91" s="338"/>
    </row>
    <row r="92" spans="6:14">
      <c r="G92" s="338"/>
    </row>
    <row r="93" spans="6:14">
      <c r="G93" s="338"/>
    </row>
    <row r="94" spans="6:14">
      <c r="G94" s="338"/>
    </row>
    <row r="95" spans="6:14">
      <c r="G95" s="338"/>
    </row>
    <row r="96" spans="6:14">
      <c r="G96" s="338"/>
    </row>
  </sheetData>
  <mergeCells count="14">
    <mergeCell ref="B2:O2"/>
    <mergeCell ref="O4:O5"/>
    <mergeCell ref="H4:H5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K4:K5"/>
    <mergeCell ref="E4:E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8"/>
  <dimension ref="A1:Q100"/>
  <sheetViews>
    <sheetView zoomScaleNormal="100" workbookViewId="0">
      <selection activeCell="L29" sqref="L29:M29"/>
    </sheetView>
  </sheetViews>
  <sheetFormatPr defaultRowHeight="12.75"/>
  <cols>
    <col min="1" max="1" width="9.140625" style="314"/>
    <col min="2" max="2" width="4.7109375" style="9" customWidth="1"/>
    <col min="3" max="3" width="5.140625" style="9" customWidth="1"/>
    <col min="4" max="4" width="5" style="9" customWidth="1"/>
    <col min="5" max="5" width="5" style="314" customWidth="1"/>
    <col min="6" max="6" width="8.7109375" style="18" customWidth="1"/>
    <col min="7" max="7" width="8.7109375" style="319" customWidth="1"/>
    <col min="8" max="8" width="50.7109375" style="9" customWidth="1"/>
    <col min="9" max="13" width="14.7109375" style="63" customWidth="1"/>
    <col min="14" max="14" width="15.7109375" style="63" customWidth="1"/>
    <col min="15" max="15" width="7.7109375" style="380" customWidth="1"/>
    <col min="16" max="16384" width="9.140625" style="9"/>
  </cols>
  <sheetData>
    <row r="1" spans="1:17" ht="13.5" thickBot="1"/>
    <row r="2" spans="1:17" s="408" customFormat="1" ht="20.100000000000001" customHeight="1" thickTop="1" thickBot="1">
      <c r="B2" s="887" t="s">
        <v>756</v>
      </c>
      <c r="C2" s="888"/>
      <c r="D2" s="888"/>
      <c r="E2" s="888"/>
      <c r="F2" s="888"/>
      <c r="G2" s="888"/>
      <c r="H2" s="888"/>
      <c r="I2" s="888"/>
      <c r="J2" s="921"/>
      <c r="K2" s="921"/>
      <c r="L2" s="921"/>
      <c r="M2" s="921"/>
      <c r="N2" s="921"/>
      <c r="O2" s="922"/>
      <c r="Q2" s="645"/>
    </row>
    <row r="3" spans="1:17" s="1" customFormat="1" ht="8.1" customHeight="1" thickTop="1" thickBot="1">
      <c r="A3" s="311"/>
      <c r="E3" s="311"/>
      <c r="F3" s="2"/>
      <c r="G3" s="312"/>
      <c r="H3" s="890"/>
      <c r="I3" s="890"/>
      <c r="J3" s="282"/>
      <c r="K3" s="282"/>
      <c r="L3" s="107"/>
      <c r="M3" s="107"/>
      <c r="N3" s="107"/>
      <c r="O3" s="374"/>
    </row>
    <row r="4" spans="1:17" s="1" customFormat="1" ht="39" customHeight="1">
      <c r="A4" s="311"/>
      <c r="B4" s="894" t="s">
        <v>77</v>
      </c>
      <c r="C4" s="909" t="s">
        <v>78</v>
      </c>
      <c r="D4" s="910" t="s">
        <v>107</v>
      </c>
      <c r="E4" s="916" t="s">
        <v>828</v>
      </c>
      <c r="F4" s="911" t="s">
        <v>517</v>
      </c>
      <c r="G4" s="899" t="s">
        <v>556</v>
      </c>
      <c r="H4" s="900" t="s">
        <v>79</v>
      </c>
      <c r="I4" s="912" t="s">
        <v>697</v>
      </c>
      <c r="J4" s="913" t="s">
        <v>862</v>
      </c>
      <c r="K4" s="917" t="s">
        <v>863</v>
      </c>
      <c r="L4" s="908" t="s">
        <v>865</v>
      </c>
      <c r="M4" s="892"/>
      <c r="N4" s="893"/>
      <c r="O4" s="906" t="s">
        <v>866</v>
      </c>
      <c r="Q4" s="81"/>
    </row>
    <row r="5" spans="1:17" s="311" customFormat="1" ht="27" customHeight="1">
      <c r="B5" s="895"/>
      <c r="C5" s="897"/>
      <c r="D5" s="897"/>
      <c r="E5" s="897"/>
      <c r="F5" s="901"/>
      <c r="G5" s="897"/>
      <c r="H5" s="901"/>
      <c r="I5" s="901"/>
      <c r="J5" s="901"/>
      <c r="K5" s="905"/>
      <c r="L5" s="587" t="s">
        <v>601</v>
      </c>
      <c r="M5" s="404" t="s">
        <v>602</v>
      </c>
      <c r="N5" s="720" t="s">
        <v>349</v>
      </c>
      <c r="O5" s="907"/>
    </row>
    <row r="6" spans="1:17" s="2" customFormat="1" ht="12.95" customHeight="1">
      <c r="A6" s="312"/>
      <c r="B6" s="525">
        <v>1</v>
      </c>
      <c r="C6" s="361">
        <v>2</v>
      </c>
      <c r="D6" s="361">
        <v>3</v>
      </c>
      <c r="E6" s="361">
        <v>4</v>
      </c>
      <c r="F6" s="361">
        <v>5</v>
      </c>
      <c r="G6" s="361">
        <v>6</v>
      </c>
      <c r="H6" s="361">
        <v>7</v>
      </c>
      <c r="I6" s="361">
        <v>8</v>
      </c>
      <c r="J6" s="361">
        <v>9</v>
      </c>
      <c r="K6" s="526">
        <v>10</v>
      </c>
      <c r="L6" s="525">
        <v>11</v>
      </c>
      <c r="M6" s="361">
        <v>12</v>
      </c>
      <c r="N6" s="721" t="s">
        <v>830</v>
      </c>
      <c r="O6" s="527">
        <v>14</v>
      </c>
    </row>
    <row r="7" spans="1:17" s="2" customFormat="1" ht="12.95" customHeight="1">
      <c r="A7" s="312"/>
      <c r="B7" s="6" t="s">
        <v>126</v>
      </c>
      <c r="C7" s="7" t="s">
        <v>80</v>
      </c>
      <c r="D7" s="7" t="s">
        <v>81</v>
      </c>
      <c r="E7" s="667" t="s">
        <v>835</v>
      </c>
      <c r="F7" s="5"/>
      <c r="G7" s="313"/>
      <c r="H7" s="5"/>
      <c r="I7" s="100"/>
      <c r="J7" s="100"/>
      <c r="K7" s="592"/>
      <c r="L7" s="619"/>
      <c r="M7" s="100"/>
      <c r="N7" s="773"/>
      <c r="O7" s="375"/>
    </row>
    <row r="8" spans="1:17" s="1" customFormat="1" ht="12.95" customHeight="1">
      <c r="A8" s="311"/>
      <c r="B8" s="12"/>
      <c r="C8" s="8"/>
      <c r="D8" s="8"/>
      <c r="E8" s="8"/>
      <c r="F8" s="335">
        <v>611000</v>
      </c>
      <c r="G8" s="361"/>
      <c r="H8" s="8" t="s">
        <v>146</v>
      </c>
      <c r="I8" s="738">
        <f t="shared" ref="I8:N8" si="0">SUM(I9:I11)</f>
        <v>236770</v>
      </c>
      <c r="J8" s="738">
        <f t="shared" si="0"/>
        <v>236770</v>
      </c>
      <c r="K8" s="744">
        <f t="shared" si="0"/>
        <v>47777</v>
      </c>
      <c r="L8" s="578">
        <f t="shared" si="0"/>
        <v>226780</v>
      </c>
      <c r="M8" s="236">
        <f t="shared" si="0"/>
        <v>0</v>
      </c>
      <c r="N8" s="723">
        <f t="shared" si="0"/>
        <v>226780</v>
      </c>
      <c r="O8" s="376">
        <f>IF(J8=0,"",N8/J8*100)</f>
        <v>95.780715462262961</v>
      </c>
    </row>
    <row r="9" spans="1:17" ht="12.95" customHeight="1">
      <c r="B9" s="10"/>
      <c r="C9" s="11"/>
      <c r="D9" s="11"/>
      <c r="E9" s="316"/>
      <c r="F9" s="336">
        <v>611100</v>
      </c>
      <c r="G9" s="362"/>
      <c r="H9" s="20" t="s">
        <v>174</v>
      </c>
      <c r="I9" s="784">
        <f>153410+9*1430+11*1500+9*1140+800+3840</f>
        <v>197680</v>
      </c>
      <c r="J9" s="784">
        <f>153410+9*1430+11*1500+9*1140+800+3840</f>
        <v>197680</v>
      </c>
      <c r="K9" s="742">
        <v>39795</v>
      </c>
      <c r="L9" s="626">
        <f>180990+2000+5*1140</f>
        <v>188690</v>
      </c>
      <c r="M9" s="238">
        <v>0</v>
      </c>
      <c r="N9" s="724">
        <f>SUM(L9:M9)</f>
        <v>188690</v>
      </c>
      <c r="O9" s="377">
        <f>IF(J9=0,"",N9/J9*100)</f>
        <v>95.452246054229064</v>
      </c>
    </row>
    <row r="10" spans="1:17" ht="12.95" customHeight="1">
      <c r="B10" s="10"/>
      <c r="C10" s="11"/>
      <c r="D10" s="11"/>
      <c r="E10" s="316"/>
      <c r="F10" s="336">
        <v>611200</v>
      </c>
      <c r="G10" s="362"/>
      <c r="H10" s="11" t="s">
        <v>175</v>
      </c>
      <c r="I10" s="784">
        <f>27750+9*2*21*15+3*400+11*21*15+1005</f>
        <v>39090</v>
      </c>
      <c r="J10" s="784">
        <f>27750+9*2*21*15+3*400+11*21*15+1005</f>
        <v>39090</v>
      </c>
      <c r="K10" s="742">
        <v>7982</v>
      </c>
      <c r="L10" s="626">
        <f>35510+1000+1580</f>
        <v>38090</v>
      </c>
      <c r="M10" s="238">
        <v>0</v>
      </c>
      <c r="N10" s="724">
        <f t="shared" ref="N10:N11" si="1">SUM(L10:M10)</f>
        <v>38090</v>
      </c>
      <c r="O10" s="377">
        <f t="shared" ref="O10:O39" si="2">IF(J10=0,"",N10/J10*100)</f>
        <v>97.44180097211563</v>
      </c>
    </row>
    <row r="11" spans="1:17" ht="12.95" customHeight="1">
      <c r="B11" s="10"/>
      <c r="C11" s="11"/>
      <c r="D11" s="11"/>
      <c r="E11" s="316"/>
      <c r="F11" s="336">
        <v>611200</v>
      </c>
      <c r="G11" s="362"/>
      <c r="H11" s="210" t="s">
        <v>464</v>
      </c>
      <c r="I11" s="739">
        <v>0</v>
      </c>
      <c r="J11" s="739">
        <v>0</v>
      </c>
      <c r="K11" s="741">
        <v>0</v>
      </c>
      <c r="L11" s="579">
        <v>0</v>
      </c>
      <c r="M11" s="235">
        <v>0</v>
      </c>
      <c r="N11" s="724">
        <f t="shared" si="1"/>
        <v>0</v>
      </c>
      <c r="O11" s="377" t="str">
        <f t="shared" si="2"/>
        <v/>
      </c>
      <c r="Q11" s="62"/>
    </row>
    <row r="12" spans="1:17" ht="12.95" customHeight="1">
      <c r="B12" s="10"/>
      <c r="C12" s="11"/>
      <c r="D12" s="11"/>
      <c r="E12" s="316"/>
      <c r="F12" s="336"/>
      <c r="G12" s="362"/>
      <c r="H12" s="11"/>
      <c r="I12" s="738"/>
      <c r="J12" s="738"/>
      <c r="K12" s="744"/>
      <c r="L12" s="578"/>
      <c r="M12" s="236"/>
      <c r="N12" s="723"/>
      <c r="O12" s="377" t="str">
        <f t="shared" si="2"/>
        <v/>
      </c>
    </row>
    <row r="13" spans="1:17" s="1" customFormat="1" ht="12.95" customHeight="1">
      <c r="A13" s="311"/>
      <c r="B13" s="12"/>
      <c r="C13" s="8"/>
      <c r="D13" s="8"/>
      <c r="E13" s="8"/>
      <c r="F13" s="335">
        <v>612000</v>
      </c>
      <c r="G13" s="361"/>
      <c r="H13" s="8" t="s">
        <v>145</v>
      </c>
      <c r="I13" s="738">
        <f t="shared" ref="I13:N13" si="3">I14</f>
        <v>21530</v>
      </c>
      <c r="J13" s="738">
        <f t="shared" si="3"/>
        <v>21530</v>
      </c>
      <c r="K13" s="744">
        <f t="shared" si="3"/>
        <v>4200</v>
      </c>
      <c r="L13" s="578">
        <f t="shared" si="3"/>
        <v>20400</v>
      </c>
      <c r="M13" s="236">
        <f t="shared" si="3"/>
        <v>0</v>
      </c>
      <c r="N13" s="723">
        <f t="shared" si="3"/>
        <v>20400</v>
      </c>
      <c r="O13" s="376">
        <f t="shared" si="2"/>
        <v>94.751509521597768</v>
      </c>
    </row>
    <row r="14" spans="1:17" ht="12.95" customHeight="1">
      <c r="B14" s="10"/>
      <c r="C14" s="11"/>
      <c r="D14" s="11"/>
      <c r="E14" s="316"/>
      <c r="F14" s="336">
        <v>612100</v>
      </c>
      <c r="G14" s="362"/>
      <c r="H14" s="13" t="s">
        <v>82</v>
      </c>
      <c r="I14" s="784">
        <f>16240+9*160+11*170+9*130+400+410</f>
        <v>21530</v>
      </c>
      <c r="J14" s="784">
        <f>16240+9*160+11*170+9*130+400+410</f>
        <v>21530</v>
      </c>
      <c r="K14" s="742">
        <v>4200</v>
      </c>
      <c r="L14" s="626">
        <f>19250+500+5*130</f>
        <v>20400</v>
      </c>
      <c r="M14" s="238">
        <v>0</v>
      </c>
      <c r="N14" s="724">
        <f>SUM(L14:M14)</f>
        <v>20400</v>
      </c>
      <c r="O14" s="377">
        <f t="shared" si="2"/>
        <v>94.751509521597768</v>
      </c>
    </row>
    <row r="15" spans="1:17" ht="12.95" customHeight="1">
      <c r="B15" s="10"/>
      <c r="C15" s="11"/>
      <c r="D15" s="11"/>
      <c r="E15" s="316"/>
      <c r="F15" s="336"/>
      <c r="G15" s="362"/>
      <c r="H15" s="11"/>
      <c r="I15" s="575"/>
      <c r="J15" s="575"/>
      <c r="K15" s="745"/>
      <c r="L15" s="582"/>
      <c r="M15" s="318"/>
      <c r="N15" s="726"/>
      <c r="O15" s="377" t="str">
        <f t="shared" si="2"/>
        <v/>
      </c>
    </row>
    <row r="16" spans="1:17" s="1" customFormat="1" ht="12.95" customHeight="1">
      <c r="A16" s="311"/>
      <c r="B16" s="12"/>
      <c r="C16" s="8"/>
      <c r="D16" s="8"/>
      <c r="E16" s="8"/>
      <c r="F16" s="335">
        <v>613000</v>
      </c>
      <c r="G16" s="361"/>
      <c r="H16" s="8" t="s">
        <v>147</v>
      </c>
      <c r="I16" s="778">
        <f t="shared" ref="I16:N16" si="4">SUM(I17:I27)</f>
        <v>129350</v>
      </c>
      <c r="J16" s="778">
        <f t="shared" si="4"/>
        <v>129350</v>
      </c>
      <c r="K16" s="783">
        <f t="shared" si="4"/>
        <v>3759</v>
      </c>
      <c r="L16" s="588">
        <f t="shared" si="4"/>
        <v>22850</v>
      </c>
      <c r="M16" s="323">
        <f t="shared" si="4"/>
        <v>50000</v>
      </c>
      <c r="N16" s="726">
        <f t="shared" si="4"/>
        <v>72850</v>
      </c>
      <c r="O16" s="376">
        <f t="shared" si="2"/>
        <v>56.320061847700046</v>
      </c>
    </row>
    <row r="17" spans="1:17" ht="12.95" customHeight="1">
      <c r="B17" s="10"/>
      <c r="C17" s="11"/>
      <c r="D17" s="11"/>
      <c r="E17" s="316"/>
      <c r="F17" s="336">
        <v>613100</v>
      </c>
      <c r="G17" s="362"/>
      <c r="H17" s="11" t="s">
        <v>83</v>
      </c>
      <c r="I17" s="779">
        <v>5000</v>
      </c>
      <c r="J17" s="779">
        <v>5000</v>
      </c>
      <c r="K17" s="779">
        <v>676</v>
      </c>
      <c r="L17" s="571">
        <v>3500</v>
      </c>
      <c r="M17" s="395">
        <v>0</v>
      </c>
      <c r="N17" s="724">
        <f t="shared" ref="N17:N27" si="5">SUM(L17:M17)</f>
        <v>3500</v>
      </c>
      <c r="O17" s="377">
        <f t="shared" si="2"/>
        <v>70</v>
      </c>
    </row>
    <row r="18" spans="1:17" ht="12.95" customHeight="1">
      <c r="B18" s="10"/>
      <c r="C18" s="11"/>
      <c r="D18" s="11"/>
      <c r="E18" s="316"/>
      <c r="F18" s="336">
        <v>613200</v>
      </c>
      <c r="G18" s="362"/>
      <c r="H18" s="11" t="s">
        <v>84</v>
      </c>
      <c r="I18" s="779">
        <v>0</v>
      </c>
      <c r="J18" s="779">
        <v>0</v>
      </c>
      <c r="K18" s="779">
        <v>0</v>
      </c>
      <c r="L18" s="571">
        <v>0</v>
      </c>
      <c r="M18" s="395">
        <v>0</v>
      </c>
      <c r="N18" s="724">
        <f t="shared" si="5"/>
        <v>0</v>
      </c>
      <c r="O18" s="377" t="str">
        <f t="shared" si="2"/>
        <v/>
      </c>
    </row>
    <row r="19" spans="1:17" ht="12.95" customHeight="1">
      <c r="B19" s="10"/>
      <c r="C19" s="11"/>
      <c r="D19" s="11"/>
      <c r="E19" s="316"/>
      <c r="F19" s="336">
        <v>613300</v>
      </c>
      <c r="G19" s="362"/>
      <c r="H19" s="20" t="s">
        <v>176</v>
      </c>
      <c r="I19" s="779">
        <v>3250</v>
      </c>
      <c r="J19" s="779">
        <v>3250</v>
      </c>
      <c r="K19" s="779">
        <v>759</v>
      </c>
      <c r="L19" s="571">
        <v>3250</v>
      </c>
      <c r="M19" s="395">
        <v>0</v>
      </c>
      <c r="N19" s="724">
        <f t="shared" si="5"/>
        <v>3250</v>
      </c>
      <c r="O19" s="377">
        <f t="shared" si="2"/>
        <v>100</v>
      </c>
    </row>
    <row r="20" spans="1:17" ht="12.95" customHeight="1">
      <c r="B20" s="10"/>
      <c r="C20" s="11"/>
      <c r="D20" s="11"/>
      <c r="E20" s="316"/>
      <c r="F20" s="336">
        <v>613400</v>
      </c>
      <c r="G20" s="362"/>
      <c r="H20" s="11" t="s">
        <v>148</v>
      </c>
      <c r="I20" s="779">
        <v>100</v>
      </c>
      <c r="J20" s="779">
        <v>100</v>
      </c>
      <c r="K20" s="779">
        <v>0</v>
      </c>
      <c r="L20" s="571">
        <v>100</v>
      </c>
      <c r="M20" s="395">
        <v>0</v>
      </c>
      <c r="N20" s="724">
        <f t="shared" si="5"/>
        <v>100</v>
      </c>
      <c r="O20" s="377">
        <f t="shared" si="2"/>
        <v>100</v>
      </c>
    </row>
    <row r="21" spans="1:17" ht="12.95" customHeight="1">
      <c r="B21" s="10"/>
      <c r="C21" s="11"/>
      <c r="D21" s="11"/>
      <c r="E21" s="316"/>
      <c r="F21" s="336">
        <v>613500</v>
      </c>
      <c r="G21" s="362"/>
      <c r="H21" s="11" t="s">
        <v>85</v>
      </c>
      <c r="I21" s="779">
        <v>0</v>
      </c>
      <c r="J21" s="779">
        <v>0</v>
      </c>
      <c r="K21" s="779">
        <v>0</v>
      </c>
      <c r="L21" s="571">
        <v>0</v>
      </c>
      <c r="M21" s="395">
        <v>0</v>
      </c>
      <c r="N21" s="724">
        <f t="shared" si="5"/>
        <v>0</v>
      </c>
      <c r="O21" s="377" t="str">
        <f t="shared" si="2"/>
        <v/>
      </c>
    </row>
    <row r="22" spans="1:17" ht="12.95" customHeight="1">
      <c r="B22" s="10"/>
      <c r="C22" s="11"/>
      <c r="D22" s="11"/>
      <c r="E22" s="316"/>
      <c r="F22" s="336">
        <v>613600</v>
      </c>
      <c r="G22" s="362"/>
      <c r="H22" s="20" t="s">
        <v>177</v>
      </c>
      <c r="I22" s="779">
        <v>0</v>
      </c>
      <c r="J22" s="779">
        <v>0</v>
      </c>
      <c r="K22" s="779">
        <v>0</v>
      </c>
      <c r="L22" s="571">
        <v>0</v>
      </c>
      <c r="M22" s="395">
        <v>0</v>
      </c>
      <c r="N22" s="724">
        <f t="shared" si="5"/>
        <v>0</v>
      </c>
      <c r="O22" s="377" t="str">
        <f t="shared" si="2"/>
        <v/>
      </c>
    </row>
    <row r="23" spans="1:17" ht="12.95" customHeight="1">
      <c r="B23" s="10"/>
      <c r="C23" s="11"/>
      <c r="D23" s="11"/>
      <c r="E23" s="316"/>
      <c r="F23" s="336">
        <v>613700</v>
      </c>
      <c r="G23" s="362"/>
      <c r="H23" s="11" t="s">
        <v>86</v>
      </c>
      <c r="I23" s="779">
        <v>1000</v>
      </c>
      <c r="J23" s="779">
        <v>1000</v>
      </c>
      <c r="K23" s="779">
        <v>211</v>
      </c>
      <c r="L23" s="571">
        <v>1000</v>
      </c>
      <c r="M23" s="395">
        <v>0</v>
      </c>
      <c r="N23" s="724">
        <f t="shared" si="5"/>
        <v>1000</v>
      </c>
      <c r="O23" s="377">
        <f t="shared" si="2"/>
        <v>100</v>
      </c>
    </row>
    <row r="24" spans="1:17" ht="12.95" customHeight="1">
      <c r="B24" s="10"/>
      <c r="C24" s="11"/>
      <c r="D24" s="11"/>
      <c r="E24" s="316"/>
      <c r="F24" s="336">
        <v>613800</v>
      </c>
      <c r="G24" s="362"/>
      <c r="H24" s="11" t="s">
        <v>149</v>
      </c>
      <c r="I24" s="779">
        <v>0</v>
      </c>
      <c r="J24" s="779">
        <v>0</v>
      </c>
      <c r="K24" s="779">
        <v>0</v>
      </c>
      <c r="L24" s="571">
        <v>0</v>
      </c>
      <c r="M24" s="395">
        <v>0</v>
      </c>
      <c r="N24" s="724">
        <f t="shared" si="5"/>
        <v>0</v>
      </c>
      <c r="O24" s="377" t="str">
        <f t="shared" si="2"/>
        <v/>
      </c>
      <c r="Q24" s="55"/>
    </row>
    <row r="25" spans="1:17" ht="12.95" customHeight="1">
      <c r="B25" s="10"/>
      <c r="C25" s="11"/>
      <c r="D25" s="11"/>
      <c r="E25" s="316"/>
      <c r="F25" s="336">
        <v>613900</v>
      </c>
      <c r="G25" s="362"/>
      <c r="H25" s="11" t="s">
        <v>150</v>
      </c>
      <c r="I25" s="742">
        <v>20000</v>
      </c>
      <c r="J25" s="742">
        <v>20000</v>
      </c>
      <c r="K25" s="742">
        <v>2113</v>
      </c>
      <c r="L25" s="571">
        <v>15000</v>
      </c>
      <c r="M25" s="397">
        <v>0</v>
      </c>
      <c r="N25" s="724">
        <f t="shared" si="5"/>
        <v>15000</v>
      </c>
      <c r="O25" s="377">
        <f t="shared" si="2"/>
        <v>75</v>
      </c>
      <c r="Q25" s="55"/>
    </row>
    <row r="26" spans="1:17" ht="12.95" customHeight="1">
      <c r="B26" s="10"/>
      <c r="C26" s="11"/>
      <c r="D26" s="11"/>
      <c r="E26" s="316"/>
      <c r="F26" s="336">
        <v>613900</v>
      </c>
      <c r="G26" s="362"/>
      <c r="H26" s="210" t="s">
        <v>465</v>
      </c>
      <c r="I26" s="779">
        <v>0</v>
      </c>
      <c r="J26" s="779">
        <v>0</v>
      </c>
      <c r="K26" s="779">
        <v>0</v>
      </c>
      <c r="L26" s="571">
        <v>0</v>
      </c>
      <c r="M26" s="395">
        <v>0</v>
      </c>
      <c r="N26" s="724">
        <f t="shared" si="5"/>
        <v>0</v>
      </c>
      <c r="O26" s="377" t="str">
        <f t="shared" si="2"/>
        <v/>
      </c>
    </row>
    <row r="27" spans="1:17" ht="12.95" customHeight="1">
      <c r="B27" s="10"/>
      <c r="C27" s="11"/>
      <c r="D27" s="11"/>
      <c r="E27" s="316"/>
      <c r="F27" s="336">
        <v>613900</v>
      </c>
      <c r="G27" s="362" t="s">
        <v>569</v>
      </c>
      <c r="H27" s="20" t="s">
        <v>475</v>
      </c>
      <c r="I27" s="742">
        <v>100000</v>
      </c>
      <c r="J27" s="742">
        <v>100000</v>
      </c>
      <c r="K27" s="742">
        <v>0</v>
      </c>
      <c r="L27" s="571">
        <v>0</v>
      </c>
      <c r="M27" s="397">
        <v>50000</v>
      </c>
      <c r="N27" s="724">
        <f t="shared" si="5"/>
        <v>50000</v>
      </c>
      <c r="O27" s="377">
        <f t="shared" si="2"/>
        <v>50</v>
      </c>
    </row>
    <row r="28" spans="1:17" ht="12.95" customHeight="1">
      <c r="B28" s="10"/>
      <c r="C28" s="11"/>
      <c r="D28" s="11"/>
      <c r="E28" s="316"/>
      <c r="F28" s="336"/>
      <c r="G28" s="362"/>
      <c r="H28" s="11"/>
      <c r="I28" s="575"/>
      <c r="J28" s="575"/>
      <c r="K28" s="745"/>
      <c r="L28" s="588"/>
      <c r="M28" s="318"/>
      <c r="N28" s="726"/>
      <c r="O28" s="377" t="str">
        <f t="shared" si="2"/>
        <v/>
      </c>
    </row>
    <row r="29" spans="1:17" s="1" customFormat="1" ht="12.95" customHeight="1">
      <c r="A29" s="311"/>
      <c r="B29" s="12"/>
      <c r="C29" s="8"/>
      <c r="D29" s="8"/>
      <c r="E29" s="8"/>
      <c r="F29" s="335">
        <v>614000</v>
      </c>
      <c r="G29" s="361"/>
      <c r="H29" s="8" t="s">
        <v>178</v>
      </c>
      <c r="I29" s="575">
        <f t="shared" ref="I29:J29" si="6">SUM(I30:I31)</f>
        <v>680000</v>
      </c>
      <c r="J29" s="575">
        <f t="shared" si="6"/>
        <v>1380000</v>
      </c>
      <c r="K29" s="745">
        <f t="shared" ref="K29:L29" si="7">SUM(K30:K31)</f>
        <v>36270</v>
      </c>
      <c r="L29" s="588">
        <f t="shared" si="7"/>
        <v>1729650</v>
      </c>
      <c r="M29" s="318">
        <f t="shared" ref="M29:N29" si="8">SUM(M30:M31)</f>
        <v>1070350</v>
      </c>
      <c r="N29" s="726">
        <f t="shared" si="8"/>
        <v>2800000</v>
      </c>
      <c r="O29" s="376">
        <f t="shared" si="2"/>
        <v>202.89855072463769</v>
      </c>
    </row>
    <row r="30" spans="1:17" s="311" customFormat="1" ht="12.95" customHeight="1">
      <c r="B30" s="317"/>
      <c r="C30" s="8"/>
      <c r="D30" s="52"/>
      <c r="E30" s="52"/>
      <c r="F30" s="341">
        <v>614100</v>
      </c>
      <c r="G30" s="367" t="s">
        <v>729</v>
      </c>
      <c r="H30" s="83" t="s">
        <v>194</v>
      </c>
      <c r="I30" s="631">
        <v>30000</v>
      </c>
      <c r="J30" s="631">
        <v>30000</v>
      </c>
      <c r="K30" s="742">
        <v>0</v>
      </c>
      <c r="L30" s="622">
        <v>0</v>
      </c>
      <c r="M30" s="326">
        <v>0</v>
      </c>
      <c r="N30" s="724">
        <f>SUM(L30:M30)</f>
        <v>0</v>
      </c>
      <c r="O30" s="377">
        <f t="shared" ref="O30" si="9">IF(J30=0,"",N30/J30*100)</f>
        <v>0</v>
      </c>
    </row>
    <row r="31" spans="1:17" s="1" customFormat="1" ht="12.95" customHeight="1">
      <c r="A31" s="311"/>
      <c r="B31" s="12"/>
      <c r="C31" s="8"/>
      <c r="D31" s="52"/>
      <c r="E31" s="52"/>
      <c r="F31" s="341">
        <v>614500</v>
      </c>
      <c r="G31" s="367" t="s">
        <v>570</v>
      </c>
      <c r="H31" s="83" t="s">
        <v>546</v>
      </c>
      <c r="I31" s="631">
        <v>650000</v>
      </c>
      <c r="J31" s="631">
        <v>1350000</v>
      </c>
      <c r="K31" s="742">
        <v>36270</v>
      </c>
      <c r="L31" s="622">
        <f>2800000-1320350+250000</f>
        <v>1729650</v>
      </c>
      <c r="M31" s="326">
        <f>1320350-250000</f>
        <v>1070350</v>
      </c>
      <c r="N31" s="724">
        <f>SUM(L31:M31)</f>
        <v>2800000</v>
      </c>
      <c r="O31" s="377">
        <f t="shared" si="2"/>
        <v>207.40740740740739</v>
      </c>
      <c r="P31" s="81"/>
    </row>
    <row r="32" spans="1:17" s="314" customFormat="1" ht="12.95" customHeight="1">
      <c r="B32" s="315"/>
      <c r="C32" s="316"/>
      <c r="D32" s="316"/>
      <c r="E32" s="316"/>
      <c r="F32" s="336"/>
      <c r="G32" s="362"/>
      <c r="H32" s="316"/>
      <c r="I32" s="575"/>
      <c r="J32" s="575"/>
      <c r="K32" s="745"/>
      <c r="L32" s="588"/>
      <c r="M32" s="318"/>
      <c r="N32" s="726"/>
      <c r="O32" s="377" t="str">
        <f t="shared" ref="O32:O34" si="10">IF(J32=0,"",N32/J32*100)</f>
        <v/>
      </c>
    </row>
    <row r="33" spans="1:15" s="311" customFormat="1" ht="12.95" customHeight="1">
      <c r="B33" s="317"/>
      <c r="C33" s="8"/>
      <c r="D33" s="8"/>
      <c r="E33" s="8"/>
      <c r="F33" s="335">
        <v>615000</v>
      </c>
      <c r="G33" s="361"/>
      <c r="H33" s="8" t="s">
        <v>88</v>
      </c>
      <c r="I33" s="575">
        <f t="shared" ref="I33:N33" si="11">I34</f>
        <v>500000</v>
      </c>
      <c r="J33" s="575">
        <f t="shared" si="11"/>
        <v>0</v>
      </c>
      <c r="K33" s="745">
        <f t="shared" si="11"/>
        <v>0</v>
      </c>
      <c r="L33" s="588">
        <f t="shared" si="11"/>
        <v>200000</v>
      </c>
      <c r="M33" s="318">
        <f t="shared" si="11"/>
        <v>0</v>
      </c>
      <c r="N33" s="726">
        <f t="shared" si="11"/>
        <v>200000</v>
      </c>
      <c r="O33" s="376" t="str">
        <f t="shared" si="10"/>
        <v/>
      </c>
    </row>
    <row r="34" spans="1:15" s="311" customFormat="1" ht="12.95" customHeight="1">
      <c r="B34" s="317"/>
      <c r="C34" s="8"/>
      <c r="D34" s="52"/>
      <c r="E34" s="52"/>
      <c r="F34" s="341">
        <v>615500</v>
      </c>
      <c r="G34" s="367" t="s">
        <v>730</v>
      </c>
      <c r="H34" s="83" t="s">
        <v>785</v>
      </c>
      <c r="I34" s="631">
        <v>500000</v>
      </c>
      <c r="J34" s="631">
        <v>0</v>
      </c>
      <c r="K34" s="742">
        <v>0</v>
      </c>
      <c r="L34" s="622">
        <v>200000</v>
      </c>
      <c r="M34" s="326">
        <v>0</v>
      </c>
      <c r="N34" s="724">
        <f>SUM(L34:M34)</f>
        <v>200000</v>
      </c>
      <c r="O34" s="377" t="str">
        <f t="shared" si="10"/>
        <v/>
      </c>
    </row>
    <row r="35" spans="1:15" ht="12.95" customHeight="1">
      <c r="B35" s="10"/>
      <c r="C35" s="11"/>
      <c r="D35" s="11"/>
      <c r="E35" s="316"/>
      <c r="F35" s="336"/>
      <c r="G35" s="362"/>
      <c r="H35" s="20"/>
      <c r="I35" s="631"/>
      <c r="J35" s="631"/>
      <c r="K35" s="742"/>
      <c r="L35" s="622"/>
      <c r="M35" s="326"/>
      <c r="N35" s="725"/>
      <c r="O35" s="377" t="str">
        <f t="shared" si="2"/>
        <v/>
      </c>
    </row>
    <row r="36" spans="1:15" ht="12.95" customHeight="1">
      <c r="B36" s="12"/>
      <c r="C36" s="8"/>
      <c r="D36" s="8"/>
      <c r="E36" s="8"/>
      <c r="F36" s="335">
        <v>821000</v>
      </c>
      <c r="G36" s="361"/>
      <c r="H36" s="8" t="s">
        <v>89</v>
      </c>
      <c r="I36" s="632">
        <f t="shared" ref="I36:N36" si="12">SUM(I37:I38)</f>
        <v>1000</v>
      </c>
      <c r="J36" s="632">
        <f t="shared" si="12"/>
        <v>1000</v>
      </c>
      <c r="K36" s="744">
        <f t="shared" si="12"/>
        <v>701</v>
      </c>
      <c r="L36" s="588">
        <f t="shared" si="12"/>
        <v>1000</v>
      </c>
      <c r="M36" s="325">
        <f t="shared" si="12"/>
        <v>0</v>
      </c>
      <c r="N36" s="726">
        <f t="shared" si="12"/>
        <v>1000</v>
      </c>
      <c r="O36" s="376">
        <f t="shared" si="2"/>
        <v>100</v>
      </c>
    </row>
    <row r="37" spans="1:15" ht="12.95" customHeight="1">
      <c r="B37" s="10"/>
      <c r="C37" s="11"/>
      <c r="D37" s="11"/>
      <c r="E37" s="316"/>
      <c r="F37" s="336">
        <v>821200</v>
      </c>
      <c r="G37" s="362"/>
      <c r="H37" s="11" t="s">
        <v>90</v>
      </c>
      <c r="I37" s="631">
        <v>0</v>
      </c>
      <c r="J37" s="631">
        <v>0</v>
      </c>
      <c r="K37" s="742">
        <v>0</v>
      </c>
      <c r="L37" s="622">
        <v>0</v>
      </c>
      <c r="M37" s="326">
        <v>0</v>
      </c>
      <c r="N37" s="724">
        <f t="shared" ref="N37:N38" si="13">SUM(L37:M37)</f>
        <v>0</v>
      </c>
      <c r="O37" s="377" t="str">
        <f t="shared" si="2"/>
        <v/>
      </c>
    </row>
    <row r="38" spans="1:15" ht="12.95" customHeight="1">
      <c r="B38" s="10"/>
      <c r="C38" s="11"/>
      <c r="D38" s="11"/>
      <c r="E38" s="316"/>
      <c r="F38" s="336">
        <v>821300</v>
      </c>
      <c r="G38" s="362"/>
      <c r="H38" s="11" t="s">
        <v>91</v>
      </c>
      <c r="I38" s="631">
        <v>1000</v>
      </c>
      <c r="J38" s="631">
        <v>1000</v>
      </c>
      <c r="K38" s="742">
        <v>701</v>
      </c>
      <c r="L38" s="622">
        <v>1000</v>
      </c>
      <c r="M38" s="326">
        <v>0</v>
      </c>
      <c r="N38" s="724">
        <f t="shared" si="13"/>
        <v>1000</v>
      </c>
      <c r="O38" s="377">
        <f>IF(J38=0,"",N38/J38*100)</f>
        <v>100</v>
      </c>
    </row>
    <row r="39" spans="1:15" ht="12.95" customHeight="1">
      <c r="B39" s="10"/>
      <c r="C39" s="11"/>
      <c r="D39" s="11"/>
      <c r="E39" s="316"/>
      <c r="F39" s="336"/>
      <c r="G39" s="362"/>
      <c r="H39" s="11"/>
      <c r="I39" s="777"/>
      <c r="J39" s="777"/>
      <c r="K39" s="779"/>
      <c r="L39" s="621"/>
      <c r="M39" s="321"/>
      <c r="N39" s="725"/>
      <c r="O39" s="377" t="str">
        <f t="shared" si="2"/>
        <v/>
      </c>
    </row>
    <row r="40" spans="1:15" ht="12.95" customHeight="1">
      <c r="B40" s="12"/>
      <c r="C40" s="8"/>
      <c r="D40" s="8"/>
      <c r="E40" s="8"/>
      <c r="F40" s="335"/>
      <c r="G40" s="361"/>
      <c r="H40" s="8" t="s">
        <v>92</v>
      </c>
      <c r="I40" s="743" t="s">
        <v>787</v>
      </c>
      <c r="J40" s="743" t="s">
        <v>787</v>
      </c>
      <c r="K40" s="746">
        <v>8</v>
      </c>
      <c r="L40" s="584" t="s">
        <v>787</v>
      </c>
      <c r="M40" s="325"/>
      <c r="N40" s="727" t="s">
        <v>787</v>
      </c>
      <c r="O40" s="377"/>
    </row>
    <row r="41" spans="1:15" ht="12.95" customHeight="1">
      <c r="B41" s="12"/>
      <c r="C41" s="8"/>
      <c r="D41" s="8"/>
      <c r="E41" s="8"/>
      <c r="F41" s="335"/>
      <c r="G41" s="361"/>
      <c r="H41" s="8" t="s">
        <v>110</v>
      </c>
      <c r="I41" s="15">
        <f t="shared" ref="I41:N41" si="14">I8+I13+I16+I29+I33+I36</f>
        <v>1568650</v>
      </c>
      <c r="J41" s="15">
        <f t="shared" si="14"/>
        <v>1768650</v>
      </c>
      <c r="K41" s="575">
        <f t="shared" si="14"/>
        <v>92707</v>
      </c>
      <c r="L41" s="582">
        <f t="shared" si="14"/>
        <v>2200680</v>
      </c>
      <c r="M41" s="318">
        <f t="shared" si="14"/>
        <v>1120350</v>
      </c>
      <c r="N41" s="726">
        <f t="shared" si="14"/>
        <v>3321030</v>
      </c>
      <c r="O41" s="376">
        <f>IF(J41=0,"",N41/J41*100)</f>
        <v>187.77202951403612</v>
      </c>
    </row>
    <row r="42" spans="1:15" ht="12.95" customHeight="1">
      <c r="B42" s="12"/>
      <c r="C42" s="8"/>
      <c r="D42" s="8"/>
      <c r="E42" s="8"/>
      <c r="F42" s="335"/>
      <c r="G42" s="361"/>
      <c r="H42" s="8" t="s">
        <v>93</v>
      </c>
      <c r="I42" s="15">
        <f>I41</f>
        <v>1568650</v>
      </c>
      <c r="J42" s="15">
        <f>J41</f>
        <v>1768650</v>
      </c>
      <c r="K42" s="575">
        <f t="shared" ref="K42" si="15">K41</f>
        <v>92707</v>
      </c>
      <c r="L42" s="582">
        <f t="shared" ref="L42:N43" si="16">L41</f>
        <v>2200680</v>
      </c>
      <c r="M42" s="318">
        <f t="shared" si="16"/>
        <v>1120350</v>
      </c>
      <c r="N42" s="726">
        <f t="shared" si="16"/>
        <v>3321030</v>
      </c>
      <c r="O42" s="376">
        <f t="shared" ref="O42:O43" si="17">IF(J42=0,"",N42/J42*100)</f>
        <v>187.77202951403612</v>
      </c>
    </row>
    <row r="43" spans="1:15" s="1" customFormat="1" ht="12.95" customHeight="1">
      <c r="A43" s="311"/>
      <c r="B43" s="12"/>
      <c r="C43" s="8"/>
      <c r="D43" s="8"/>
      <c r="E43" s="8"/>
      <c r="F43" s="335"/>
      <c r="G43" s="361"/>
      <c r="H43" s="8" t="s">
        <v>94</v>
      </c>
      <c r="I43" s="15">
        <f>I42</f>
        <v>1568650</v>
      </c>
      <c r="J43" s="15">
        <f>J42</f>
        <v>1768650</v>
      </c>
      <c r="K43" s="575">
        <f t="shared" ref="K43" si="18">K42</f>
        <v>92707</v>
      </c>
      <c r="L43" s="582">
        <f t="shared" si="16"/>
        <v>2200680</v>
      </c>
      <c r="M43" s="318">
        <f t="shared" si="16"/>
        <v>1120350</v>
      </c>
      <c r="N43" s="726">
        <f t="shared" si="16"/>
        <v>3321030</v>
      </c>
      <c r="O43" s="376">
        <f t="shared" si="17"/>
        <v>187.77202951403612</v>
      </c>
    </row>
    <row r="44" spans="1:15" s="1" customFormat="1" ht="12.95" customHeight="1" thickBot="1">
      <c r="A44" s="311"/>
      <c r="B44" s="16"/>
      <c r="C44" s="17"/>
      <c r="D44" s="17"/>
      <c r="E44" s="17"/>
      <c r="F44" s="337"/>
      <c r="G44" s="363"/>
      <c r="H44" s="17"/>
      <c r="I44" s="32"/>
      <c r="J44" s="32"/>
      <c r="K44" s="576"/>
      <c r="L44" s="585"/>
      <c r="M44" s="32"/>
      <c r="N44" s="728"/>
      <c r="O44" s="379"/>
    </row>
    <row r="45" spans="1:15" s="1" customFormat="1" ht="12.95" customHeight="1">
      <c r="A45" s="311"/>
      <c r="B45" s="9"/>
      <c r="C45" s="9"/>
      <c r="D45" s="9"/>
      <c r="E45" s="314"/>
      <c r="F45" s="338"/>
      <c r="G45" s="364"/>
      <c r="H45" s="55"/>
      <c r="I45" s="63"/>
      <c r="J45" s="63"/>
      <c r="K45" s="63"/>
      <c r="L45" s="63"/>
      <c r="M45" s="63"/>
      <c r="N45" s="425"/>
      <c r="O45" s="380"/>
    </row>
    <row r="46" spans="1:15" s="1" customFormat="1" ht="12.95" customHeight="1">
      <c r="A46" s="311"/>
      <c r="B46" s="55"/>
      <c r="C46" s="9"/>
      <c r="D46" s="9"/>
      <c r="E46" s="314"/>
      <c r="F46" s="338"/>
      <c r="G46" s="364"/>
      <c r="H46" s="9"/>
      <c r="I46" s="63"/>
      <c r="J46" s="63"/>
      <c r="K46" s="63"/>
      <c r="L46" s="63"/>
      <c r="M46" s="63"/>
      <c r="N46" s="425"/>
      <c r="O46" s="380"/>
    </row>
    <row r="47" spans="1:15" ht="12.95" customHeight="1">
      <c r="B47" s="55"/>
      <c r="F47" s="338"/>
      <c r="G47" s="364"/>
      <c r="N47" s="425"/>
    </row>
    <row r="48" spans="1:15" ht="12.95" customHeight="1">
      <c r="B48" s="55"/>
      <c r="F48" s="338"/>
      <c r="G48" s="364"/>
      <c r="N48" s="425"/>
    </row>
    <row r="49" spans="2:14" ht="12.95" customHeight="1">
      <c r="B49" s="55"/>
      <c r="F49" s="338"/>
      <c r="G49" s="364"/>
      <c r="N49" s="425"/>
    </row>
    <row r="50" spans="2:14" ht="12.95" customHeight="1">
      <c r="F50" s="338"/>
      <c r="G50" s="364"/>
      <c r="N50" s="425"/>
    </row>
    <row r="51" spans="2:14" ht="12.95" customHeight="1">
      <c r="F51" s="338"/>
      <c r="G51" s="364"/>
      <c r="N51" s="425"/>
    </row>
    <row r="52" spans="2:14" ht="12.95" customHeight="1">
      <c r="F52" s="338"/>
      <c r="G52" s="364"/>
      <c r="N52" s="425"/>
    </row>
    <row r="53" spans="2:14" ht="12.95" customHeight="1">
      <c r="F53" s="338"/>
      <c r="G53" s="364"/>
      <c r="N53" s="425"/>
    </row>
    <row r="54" spans="2:14" ht="12.95" customHeight="1">
      <c r="F54" s="338"/>
      <c r="G54" s="364"/>
      <c r="N54" s="425"/>
    </row>
    <row r="55" spans="2:14" ht="12.95" customHeight="1">
      <c r="F55" s="338"/>
      <c r="G55" s="364"/>
      <c r="N55" s="425"/>
    </row>
    <row r="56" spans="2:14" ht="12.95" customHeight="1">
      <c r="F56" s="338"/>
      <c r="G56" s="364"/>
      <c r="N56" s="425"/>
    </row>
    <row r="57" spans="2:14" ht="12.95" customHeight="1">
      <c r="F57" s="338"/>
      <c r="G57" s="364"/>
      <c r="N57" s="425"/>
    </row>
    <row r="58" spans="2:14" ht="12.95" customHeight="1">
      <c r="F58" s="338"/>
      <c r="G58" s="364"/>
      <c r="N58" s="425"/>
    </row>
    <row r="59" spans="2:14" ht="12.95" customHeight="1">
      <c r="F59" s="338"/>
      <c r="G59" s="364"/>
      <c r="N59" s="425"/>
    </row>
    <row r="60" spans="2:14" ht="12.95" customHeight="1">
      <c r="F60" s="338"/>
      <c r="G60" s="364"/>
      <c r="N60" s="425"/>
    </row>
    <row r="61" spans="2:14" ht="12.95" customHeight="1">
      <c r="F61" s="338"/>
      <c r="G61" s="364"/>
      <c r="N61" s="425"/>
    </row>
    <row r="62" spans="2:14" ht="12.95" customHeight="1">
      <c r="F62" s="338"/>
      <c r="G62" s="364"/>
      <c r="N62" s="425"/>
    </row>
    <row r="63" spans="2:14" ht="12.95" customHeight="1">
      <c r="F63" s="338"/>
      <c r="G63" s="364"/>
      <c r="N63" s="425"/>
    </row>
    <row r="64" spans="2:14" ht="17.100000000000001" customHeight="1">
      <c r="F64" s="338"/>
      <c r="G64" s="364"/>
      <c r="N64" s="425"/>
    </row>
    <row r="65" spans="6:14" ht="14.25">
      <c r="F65" s="338"/>
      <c r="G65" s="364"/>
      <c r="N65" s="425"/>
    </row>
    <row r="66" spans="6:14" ht="14.25">
      <c r="F66" s="338"/>
      <c r="G66" s="364"/>
      <c r="N66" s="425"/>
    </row>
    <row r="67" spans="6:14" ht="14.25">
      <c r="F67" s="338"/>
      <c r="G67" s="364"/>
      <c r="N67" s="425"/>
    </row>
    <row r="68" spans="6:14" ht="14.25">
      <c r="F68" s="338"/>
      <c r="G68" s="364"/>
      <c r="N68" s="425"/>
    </row>
    <row r="69" spans="6:14" ht="14.25">
      <c r="F69" s="338"/>
      <c r="G69" s="364"/>
      <c r="N69" s="425"/>
    </row>
    <row r="70" spans="6:14" ht="14.25">
      <c r="F70" s="338"/>
      <c r="G70" s="364"/>
      <c r="N70" s="425"/>
    </row>
    <row r="71" spans="6:14" ht="14.25">
      <c r="F71" s="338"/>
      <c r="G71" s="364"/>
      <c r="N71" s="425"/>
    </row>
    <row r="72" spans="6:14" ht="14.25">
      <c r="F72" s="338"/>
      <c r="G72" s="364"/>
      <c r="N72" s="425"/>
    </row>
    <row r="73" spans="6:14" ht="14.25">
      <c r="F73" s="338"/>
      <c r="G73" s="364"/>
      <c r="N73" s="425"/>
    </row>
    <row r="74" spans="6:14" ht="14.25">
      <c r="F74" s="338"/>
      <c r="G74" s="364"/>
      <c r="N74" s="425"/>
    </row>
    <row r="75" spans="6:14" ht="14.25">
      <c r="F75" s="338"/>
      <c r="G75" s="364"/>
      <c r="N75" s="425"/>
    </row>
    <row r="76" spans="6:14" ht="14.25">
      <c r="F76" s="338"/>
      <c r="G76" s="364"/>
      <c r="N76" s="425"/>
    </row>
    <row r="77" spans="6:14" ht="14.25">
      <c r="F77" s="338"/>
      <c r="G77" s="364"/>
      <c r="N77" s="425"/>
    </row>
    <row r="78" spans="6:14" ht="14.25">
      <c r="F78" s="338"/>
      <c r="G78" s="338"/>
      <c r="N78" s="425"/>
    </row>
    <row r="79" spans="6:14" ht="14.25">
      <c r="F79" s="338"/>
      <c r="G79" s="338"/>
      <c r="N79" s="425"/>
    </row>
    <row r="80" spans="6:14" ht="14.25">
      <c r="F80" s="338"/>
      <c r="G80" s="338"/>
      <c r="N80" s="425"/>
    </row>
    <row r="81" spans="6:14" ht="14.25">
      <c r="F81" s="338"/>
      <c r="G81" s="338"/>
      <c r="N81" s="425"/>
    </row>
    <row r="82" spans="6:14" ht="14.25">
      <c r="F82" s="338"/>
      <c r="G82" s="338"/>
      <c r="N82" s="425"/>
    </row>
    <row r="83" spans="6:14" ht="14.25">
      <c r="F83" s="338"/>
      <c r="G83" s="338"/>
      <c r="N83" s="425"/>
    </row>
    <row r="84" spans="6:14" ht="14.25">
      <c r="F84" s="338"/>
      <c r="G84" s="338"/>
      <c r="N84" s="425"/>
    </row>
    <row r="85" spans="6:14" ht="14.25">
      <c r="F85" s="338"/>
      <c r="G85" s="338"/>
      <c r="N85" s="425"/>
    </row>
    <row r="86" spans="6:14" ht="14.25">
      <c r="F86" s="338"/>
      <c r="G86" s="338"/>
      <c r="N86" s="425"/>
    </row>
    <row r="87" spans="6:14" ht="14.25">
      <c r="F87" s="338"/>
      <c r="G87" s="338"/>
      <c r="N87" s="425"/>
    </row>
    <row r="88" spans="6:14" ht="14.25">
      <c r="F88" s="338"/>
      <c r="G88" s="338"/>
      <c r="N88" s="425"/>
    </row>
    <row r="89" spans="6:14" ht="14.25">
      <c r="F89" s="338"/>
      <c r="G89" s="338"/>
      <c r="N89" s="425"/>
    </row>
    <row r="90" spans="6:14" ht="14.25">
      <c r="F90" s="338"/>
      <c r="G90" s="338"/>
      <c r="N90" s="425"/>
    </row>
    <row r="91" spans="6:14" ht="14.25">
      <c r="F91" s="338"/>
      <c r="G91" s="338"/>
      <c r="N91" s="425"/>
    </row>
    <row r="92" spans="6:14" ht="14.25">
      <c r="F92" s="338"/>
      <c r="G92" s="338"/>
      <c r="N92" s="425"/>
    </row>
    <row r="93" spans="6:14" ht="14.25">
      <c r="F93" s="338"/>
      <c r="G93" s="338"/>
      <c r="N93" s="425"/>
    </row>
    <row r="94" spans="6:14" ht="14.25">
      <c r="F94" s="338"/>
      <c r="G94" s="338"/>
      <c r="N94" s="425"/>
    </row>
    <row r="95" spans="6:14">
      <c r="G95" s="338"/>
    </row>
    <row r="96" spans="6:14">
      <c r="G96" s="338"/>
    </row>
    <row r="97" spans="7:7">
      <c r="G97" s="338"/>
    </row>
    <row r="98" spans="7:7">
      <c r="G98" s="338"/>
    </row>
    <row r="99" spans="7:7">
      <c r="G99" s="338"/>
    </row>
    <row r="100" spans="7:7">
      <c r="G100" s="338"/>
    </row>
  </sheetData>
  <mergeCells count="14">
    <mergeCell ref="B2:O2"/>
    <mergeCell ref="O4:O5"/>
    <mergeCell ref="H4:H5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K4:K5"/>
    <mergeCell ref="E4:E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19"/>
  <dimension ref="A1:S100"/>
  <sheetViews>
    <sheetView topLeftCell="A4" zoomScaleNormal="100" workbookViewId="0">
      <selection activeCell="L11" sqref="L11"/>
    </sheetView>
  </sheetViews>
  <sheetFormatPr defaultRowHeight="12.75"/>
  <cols>
    <col min="1" max="1" width="9.140625" style="314"/>
    <col min="2" max="2" width="4.7109375" style="9" customWidth="1"/>
    <col min="3" max="3" width="5.140625" style="9" customWidth="1"/>
    <col min="4" max="4" width="5" style="9" customWidth="1"/>
    <col min="5" max="5" width="5" style="314" customWidth="1"/>
    <col min="6" max="6" width="8.7109375" style="18" customWidth="1"/>
    <col min="7" max="7" width="8.7109375" style="319" customWidth="1"/>
    <col min="8" max="8" width="50.7109375" style="9" customWidth="1"/>
    <col min="9" max="11" width="14.7109375" style="9" customWidth="1"/>
    <col min="12" max="13" width="14.7109375" style="314" customWidth="1"/>
    <col min="14" max="14" width="15.7109375" style="9" customWidth="1"/>
    <col min="15" max="15" width="7.7109375" style="380" customWidth="1"/>
    <col min="16" max="16" width="11" style="9" bestFit="1" customWidth="1"/>
    <col min="17" max="16384" width="9.140625" style="9"/>
  </cols>
  <sheetData>
    <row r="1" spans="1:19" ht="13.5" thickBot="1"/>
    <row r="2" spans="1:19" s="113" customFormat="1" ht="20.100000000000001" customHeight="1" thickTop="1" thickBot="1">
      <c r="B2" s="887" t="s">
        <v>757</v>
      </c>
      <c r="C2" s="888"/>
      <c r="D2" s="888"/>
      <c r="E2" s="888"/>
      <c r="F2" s="888"/>
      <c r="G2" s="888"/>
      <c r="H2" s="888"/>
      <c r="I2" s="888"/>
      <c r="J2" s="888"/>
      <c r="K2" s="888"/>
      <c r="L2" s="888"/>
      <c r="M2" s="888"/>
      <c r="N2" s="888"/>
      <c r="O2" s="412"/>
      <c r="Q2" s="408"/>
    </row>
    <row r="3" spans="1:19" s="1" customFormat="1" ht="8.1" customHeight="1" thickTop="1" thickBot="1">
      <c r="A3" s="311"/>
      <c r="E3" s="311"/>
      <c r="F3" s="2"/>
      <c r="G3" s="312"/>
      <c r="H3" s="890"/>
      <c r="I3" s="890"/>
      <c r="J3" s="282"/>
      <c r="K3" s="282"/>
      <c r="L3" s="399"/>
      <c r="M3" s="399"/>
      <c r="N3" s="399"/>
      <c r="O3" s="374"/>
      <c r="P3" s="400"/>
    </row>
    <row r="4" spans="1:19" s="1" customFormat="1" ht="39" customHeight="1">
      <c r="A4" s="311"/>
      <c r="B4" s="894" t="s">
        <v>77</v>
      </c>
      <c r="C4" s="909" t="s">
        <v>78</v>
      </c>
      <c r="D4" s="910" t="s">
        <v>107</v>
      </c>
      <c r="E4" s="916" t="s">
        <v>828</v>
      </c>
      <c r="F4" s="911" t="s">
        <v>517</v>
      </c>
      <c r="G4" s="899" t="s">
        <v>556</v>
      </c>
      <c r="H4" s="900" t="s">
        <v>79</v>
      </c>
      <c r="I4" s="912" t="s">
        <v>697</v>
      </c>
      <c r="J4" s="913" t="s">
        <v>862</v>
      </c>
      <c r="K4" s="917" t="s">
        <v>863</v>
      </c>
      <c r="L4" s="908" t="s">
        <v>865</v>
      </c>
      <c r="M4" s="892"/>
      <c r="N4" s="893"/>
      <c r="O4" s="906" t="s">
        <v>866</v>
      </c>
      <c r="Q4" s="81"/>
    </row>
    <row r="5" spans="1:19" s="311" customFormat="1" ht="27" customHeight="1">
      <c r="B5" s="895"/>
      <c r="C5" s="897"/>
      <c r="D5" s="897"/>
      <c r="E5" s="897"/>
      <c r="F5" s="901"/>
      <c r="G5" s="897"/>
      <c r="H5" s="901"/>
      <c r="I5" s="901"/>
      <c r="J5" s="901"/>
      <c r="K5" s="905"/>
      <c r="L5" s="587" t="s">
        <v>601</v>
      </c>
      <c r="M5" s="404" t="s">
        <v>602</v>
      </c>
      <c r="N5" s="720" t="s">
        <v>349</v>
      </c>
      <c r="O5" s="907"/>
    </row>
    <row r="6" spans="1:19" s="2" customFormat="1" ht="12.95" customHeight="1">
      <c r="A6" s="312"/>
      <c r="B6" s="525">
        <v>1</v>
      </c>
      <c r="C6" s="361">
        <v>2</v>
      </c>
      <c r="D6" s="361">
        <v>3</v>
      </c>
      <c r="E6" s="361">
        <v>4</v>
      </c>
      <c r="F6" s="361">
        <v>5</v>
      </c>
      <c r="G6" s="361">
        <v>6</v>
      </c>
      <c r="H6" s="361">
        <v>7</v>
      </c>
      <c r="I6" s="361">
        <v>8</v>
      </c>
      <c r="J6" s="361">
        <v>9</v>
      </c>
      <c r="K6" s="526">
        <v>10</v>
      </c>
      <c r="L6" s="525">
        <v>11</v>
      </c>
      <c r="M6" s="361">
        <v>12</v>
      </c>
      <c r="N6" s="721" t="s">
        <v>830</v>
      </c>
      <c r="O6" s="527">
        <v>14</v>
      </c>
    </row>
    <row r="7" spans="1:19" s="2" customFormat="1" ht="12.95" customHeight="1">
      <c r="A7" s="312"/>
      <c r="B7" s="6" t="s">
        <v>127</v>
      </c>
      <c r="C7" s="7" t="s">
        <v>80</v>
      </c>
      <c r="D7" s="7" t="s">
        <v>81</v>
      </c>
      <c r="E7" s="667" t="s">
        <v>836</v>
      </c>
      <c r="F7" s="5"/>
      <c r="G7" s="313"/>
      <c r="H7" s="5"/>
      <c r="I7" s="574"/>
      <c r="J7" s="313"/>
      <c r="K7" s="574"/>
      <c r="L7" s="4"/>
      <c r="M7" s="313"/>
      <c r="N7" s="722"/>
      <c r="O7" s="375"/>
    </row>
    <row r="8" spans="1:19" s="2" customFormat="1" ht="12.95" customHeight="1">
      <c r="A8" s="312"/>
      <c r="B8" s="6"/>
      <c r="C8" s="7"/>
      <c r="D8" s="7"/>
      <c r="E8" s="7"/>
      <c r="F8" s="335">
        <v>600000</v>
      </c>
      <c r="G8" s="361"/>
      <c r="H8" s="21" t="s">
        <v>116</v>
      </c>
      <c r="I8" s="785">
        <f t="shared" ref="I8:N8" si="0">I9</f>
        <v>15000</v>
      </c>
      <c r="J8" s="308">
        <f t="shared" si="0"/>
        <v>15000</v>
      </c>
      <c r="K8" s="790">
        <f t="shared" si="0"/>
        <v>300</v>
      </c>
      <c r="L8" s="627">
        <f t="shared" si="0"/>
        <v>12000</v>
      </c>
      <c r="M8" s="308">
        <f t="shared" si="0"/>
        <v>0</v>
      </c>
      <c r="N8" s="727">
        <f t="shared" si="0"/>
        <v>12000</v>
      </c>
      <c r="O8" s="376">
        <f>IF(J8=0,"",N8/J8*100)</f>
        <v>80</v>
      </c>
    </row>
    <row r="9" spans="1:19" s="2" customFormat="1" ht="12.95" customHeight="1">
      <c r="A9" s="312"/>
      <c r="B9" s="6"/>
      <c r="C9" s="7"/>
      <c r="D9" s="7"/>
      <c r="E9" s="7"/>
      <c r="F9" s="336">
        <v>600000</v>
      </c>
      <c r="G9" s="362"/>
      <c r="H9" s="40" t="s">
        <v>106</v>
      </c>
      <c r="I9" s="740">
        <v>15000</v>
      </c>
      <c r="J9" s="310">
        <v>15000</v>
      </c>
      <c r="K9" s="741">
        <v>300</v>
      </c>
      <c r="L9" s="583">
        <f>15000*80%</f>
        <v>12000</v>
      </c>
      <c r="M9" s="310">
        <v>0</v>
      </c>
      <c r="N9" s="725">
        <f>SUM(L9:M9)</f>
        <v>12000</v>
      </c>
      <c r="O9" s="377">
        <f>IF(J9=0,"",N9/J9*100)</f>
        <v>80</v>
      </c>
    </row>
    <row r="10" spans="1:19" s="2" customFormat="1" ht="12.95" customHeight="1">
      <c r="A10" s="312"/>
      <c r="B10" s="6"/>
      <c r="C10" s="7"/>
      <c r="D10" s="7"/>
      <c r="E10" s="7"/>
      <c r="F10" s="335"/>
      <c r="G10" s="361"/>
      <c r="H10" s="5"/>
      <c r="I10" s="740"/>
      <c r="J10" s="310"/>
      <c r="K10" s="741"/>
      <c r="L10" s="583"/>
      <c r="M10" s="310"/>
      <c r="N10" s="725"/>
      <c r="O10" s="377" t="str">
        <f t="shared" ref="O10:O33" si="1">IF(J10=0,"",N10/J10*100)</f>
        <v/>
      </c>
    </row>
    <row r="11" spans="1:19" s="1" customFormat="1" ht="12.95" customHeight="1">
      <c r="A11" s="311"/>
      <c r="B11" s="12"/>
      <c r="C11" s="8"/>
      <c r="D11" s="8"/>
      <c r="E11" s="8"/>
      <c r="F11" s="335">
        <v>611000</v>
      </c>
      <c r="G11" s="361"/>
      <c r="H11" s="8" t="s">
        <v>146</v>
      </c>
      <c r="I11" s="738">
        <f t="shared" ref="I11:N11" si="2">SUM(I12:I14)</f>
        <v>420610</v>
      </c>
      <c r="J11" s="236">
        <f t="shared" si="2"/>
        <v>420610</v>
      </c>
      <c r="K11" s="744">
        <f t="shared" si="2"/>
        <v>87214</v>
      </c>
      <c r="L11" s="578">
        <f t="shared" si="2"/>
        <v>375590</v>
      </c>
      <c r="M11" s="236">
        <f t="shared" si="2"/>
        <v>0</v>
      </c>
      <c r="N11" s="723">
        <f t="shared" si="2"/>
        <v>375590</v>
      </c>
      <c r="O11" s="376">
        <f t="shared" si="1"/>
        <v>89.296497943463066</v>
      </c>
    </row>
    <row r="12" spans="1:19" ht="12.95" customHeight="1">
      <c r="B12" s="10"/>
      <c r="C12" s="11"/>
      <c r="D12" s="11"/>
      <c r="E12" s="316"/>
      <c r="F12" s="336">
        <v>611100</v>
      </c>
      <c r="G12" s="362"/>
      <c r="H12" s="20" t="s">
        <v>174</v>
      </c>
      <c r="I12" s="784">
        <f>296240+9*1430+10*1620+9*1140+6000+1000+7410</f>
        <v>349980</v>
      </c>
      <c r="J12" s="238">
        <f>296240+9*1430+10*1620+9*1140+6000+1000+7410</f>
        <v>349980</v>
      </c>
      <c r="K12" s="742">
        <v>74788</v>
      </c>
      <c r="L12" s="626">
        <f>300760+2500+5*1140+3*1580</f>
        <v>313700</v>
      </c>
      <c r="M12" s="238">
        <v>0</v>
      </c>
      <c r="N12" s="725">
        <f t="shared" ref="N12:N14" si="3">SUM(L12:M12)</f>
        <v>313700</v>
      </c>
      <c r="O12" s="377">
        <f t="shared" si="1"/>
        <v>89.63369335390594</v>
      </c>
    </row>
    <row r="13" spans="1:19" ht="12.95" customHeight="1">
      <c r="B13" s="10"/>
      <c r="C13" s="11"/>
      <c r="D13" s="11"/>
      <c r="E13" s="316"/>
      <c r="F13" s="336">
        <v>611200</v>
      </c>
      <c r="G13" s="362"/>
      <c r="H13" s="11" t="s">
        <v>175</v>
      </c>
      <c r="I13" s="739">
        <f>58920+3*9*21*15+3*400+2005</f>
        <v>70630</v>
      </c>
      <c r="J13" s="235">
        <f>58920+3*9*21*15+3*400+2005</f>
        <v>70630</v>
      </c>
      <c r="K13" s="741">
        <v>12426</v>
      </c>
      <c r="L13" s="579">
        <f>57850+1500+1580+3*320</f>
        <v>61890</v>
      </c>
      <c r="M13" s="235">
        <v>0</v>
      </c>
      <c r="N13" s="725">
        <f t="shared" si="3"/>
        <v>61890</v>
      </c>
      <c r="O13" s="377">
        <f t="shared" si="1"/>
        <v>87.625654820897637</v>
      </c>
      <c r="S13" s="640" t="s">
        <v>151</v>
      </c>
    </row>
    <row r="14" spans="1:19" ht="12.95" customHeight="1">
      <c r="B14" s="10"/>
      <c r="C14" s="11"/>
      <c r="D14" s="11"/>
      <c r="E14" s="316"/>
      <c r="F14" s="336">
        <v>611200</v>
      </c>
      <c r="G14" s="362"/>
      <c r="H14" s="210" t="s">
        <v>464</v>
      </c>
      <c r="I14" s="739">
        <v>0</v>
      </c>
      <c r="J14" s="235">
        <v>0</v>
      </c>
      <c r="K14" s="741">
        <v>0</v>
      </c>
      <c r="L14" s="579">
        <v>0</v>
      </c>
      <c r="M14" s="235">
        <v>0</v>
      </c>
      <c r="N14" s="725">
        <f t="shared" si="3"/>
        <v>0</v>
      </c>
      <c r="O14" s="377" t="str">
        <f t="shared" si="1"/>
        <v/>
      </c>
      <c r="Q14" s="62"/>
    </row>
    <row r="15" spans="1:19" ht="12.95" customHeight="1">
      <c r="B15" s="10"/>
      <c r="C15" s="11"/>
      <c r="D15" s="11"/>
      <c r="E15" s="316"/>
      <c r="F15" s="336"/>
      <c r="G15" s="362"/>
      <c r="H15" s="20"/>
      <c r="I15" s="739"/>
      <c r="J15" s="235"/>
      <c r="K15" s="741"/>
      <c r="L15" s="579"/>
      <c r="M15" s="235"/>
      <c r="N15" s="724"/>
      <c r="O15" s="377" t="str">
        <f t="shared" si="1"/>
        <v/>
      </c>
    </row>
    <row r="16" spans="1:19" s="1" customFormat="1" ht="12.95" customHeight="1">
      <c r="A16" s="311"/>
      <c r="B16" s="12"/>
      <c r="C16" s="8"/>
      <c r="D16" s="8"/>
      <c r="E16" s="8"/>
      <c r="F16" s="335">
        <v>612000</v>
      </c>
      <c r="G16" s="361"/>
      <c r="H16" s="8" t="s">
        <v>145</v>
      </c>
      <c r="I16" s="738">
        <f t="shared" ref="I16:N16" si="4">I17+I18</f>
        <v>37700</v>
      </c>
      <c r="J16" s="236">
        <f t="shared" si="4"/>
        <v>37700</v>
      </c>
      <c r="K16" s="744">
        <f t="shared" si="4"/>
        <v>7893</v>
      </c>
      <c r="L16" s="578">
        <f t="shared" si="4"/>
        <v>33930</v>
      </c>
      <c r="M16" s="236">
        <f t="shared" si="4"/>
        <v>0</v>
      </c>
      <c r="N16" s="723">
        <f t="shared" si="4"/>
        <v>33930</v>
      </c>
      <c r="O16" s="376">
        <f t="shared" si="1"/>
        <v>90</v>
      </c>
    </row>
    <row r="17" spans="1:18" ht="12.95" customHeight="1">
      <c r="B17" s="10"/>
      <c r="C17" s="11"/>
      <c r="D17" s="11"/>
      <c r="E17" s="316"/>
      <c r="F17" s="336">
        <v>612100</v>
      </c>
      <c r="G17" s="362"/>
      <c r="H17" s="13" t="s">
        <v>82</v>
      </c>
      <c r="I17" s="739">
        <f>31400+9*160+10*180+9*130+600+500+790</f>
        <v>37700</v>
      </c>
      <c r="J17" s="235">
        <f>31400+9*160+10*180+9*130+600+500+790</f>
        <v>37700</v>
      </c>
      <c r="K17" s="741">
        <v>7893</v>
      </c>
      <c r="L17" s="579">
        <f>31740+1000+5*130+3*180</f>
        <v>33930</v>
      </c>
      <c r="M17" s="235">
        <v>0</v>
      </c>
      <c r="N17" s="725">
        <f>SUM(L17:M17)</f>
        <v>33930</v>
      </c>
      <c r="O17" s="377">
        <f t="shared" si="1"/>
        <v>90</v>
      </c>
    </row>
    <row r="18" spans="1:18" ht="12.95" customHeight="1">
      <c r="B18" s="10"/>
      <c r="C18" s="11"/>
      <c r="D18" s="11"/>
      <c r="E18" s="316"/>
      <c r="F18" s="336"/>
      <c r="G18" s="362"/>
      <c r="H18" s="11"/>
      <c r="I18" s="586"/>
      <c r="J18" s="309"/>
      <c r="K18" s="791"/>
      <c r="L18" s="583"/>
      <c r="M18" s="309"/>
      <c r="N18" s="725"/>
      <c r="O18" s="377" t="str">
        <f t="shared" si="1"/>
        <v/>
      </c>
    </row>
    <row r="19" spans="1:18" s="1" customFormat="1" ht="12.95" customHeight="1">
      <c r="A19" s="311"/>
      <c r="B19" s="12"/>
      <c r="C19" s="8"/>
      <c r="D19" s="8"/>
      <c r="E19" s="8"/>
      <c r="F19" s="335">
        <v>613000</v>
      </c>
      <c r="G19" s="361"/>
      <c r="H19" s="8" t="s">
        <v>147</v>
      </c>
      <c r="I19" s="778">
        <f t="shared" ref="I19:N19" si="5">SUM(I20:I30)</f>
        <v>108600</v>
      </c>
      <c r="J19" s="323">
        <f t="shared" si="5"/>
        <v>108600</v>
      </c>
      <c r="K19" s="783">
        <f t="shared" si="5"/>
        <v>27719</v>
      </c>
      <c r="L19" s="588">
        <f t="shared" si="5"/>
        <v>104500</v>
      </c>
      <c r="M19" s="323">
        <f t="shared" si="5"/>
        <v>0</v>
      </c>
      <c r="N19" s="726">
        <f t="shared" si="5"/>
        <v>104500</v>
      </c>
      <c r="O19" s="376">
        <f t="shared" si="1"/>
        <v>96.224677716390431</v>
      </c>
    </row>
    <row r="20" spans="1:18" ht="12.95" customHeight="1">
      <c r="B20" s="10"/>
      <c r="C20" s="11"/>
      <c r="D20" s="11"/>
      <c r="E20" s="316"/>
      <c r="F20" s="336">
        <v>613100</v>
      </c>
      <c r="G20" s="362"/>
      <c r="H20" s="11" t="s">
        <v>83</v>
      </c>
      <c r="I20" s="586">
        <v>5000</v>
      </c>
      <c r="J20" s="309">
        <v>5000</v>
      </c>
      <c r="K20" s="791">
        <v>306</v>
      </c>
      <c r="L20" s="583">
        <f>5000*80%</f>
        <v>4000</v>
      </c>
      <c r="M20" s="309">
        <v>0</v>
      </c>
      <c r="N20" s="725">
        <f t="shared" ref="N20:N30" si="6">SUM(L20:M20)</f>
        <v>4000</v>
      </c>
      <c r="O20" s="377">
        <f t="shared" si="1"/>
        <v>80</v>
      </c>
    </row>
    <row r="21" spans="1:18" ht="12.95" customHeight="1">
      <c r="B21" s="10"/>
      <c r="C21" s="11"/>
      <c r="D21" s="11"/>
      <c r="E21" s="316"/>
      <c r="F21" s="336">
        <v>613200</v>
      </c>
      <c r="G21" s="362"/>
      <c r="H21" s="11" t="s">
        <v>84</v>
      </c>
      <c r="I21" s="586">
        <v>0</v>
      </c>
      <c r="J21" s="309">
        <v>0</v>
      </c>
      <c r="K21" s="791">
        <v>0</v>
      </c>
      <c r="L21" s="583">
        <v>0</v>
      </c>
      <c r="M21" s="309">
        <v>0</v>
      </c>
      <c r="N21" s="725">
        <f t="shared" si="6"/>
        <v>0</v>
      </c>
      <c r="O21" s="377" t="str">
        <f t="shared" si="1"/>
        <v/>
      </c>
    </row>
    <row r="22" spans="1:18" ht="12.95" customHeight="1">
      <c r="B22" s="10"/>
      <c r="C22" s="11"/>
      <c r="D22" s="11"/>
      <c r="E22" s="316"/>
      <c r="F22" s="336">
        <v>613300</v>
      </c>
      <c r="G22" s="362"/>
      <c r="H22" s="20" t="s">
        <v>176</v>
      </c>
      <c r="I22" s="586">
        <v>7600</v>
      </c>
      <c r="J22" s="309">
        <v>7600</v>
      </c>
      <c r="K22" s="791">
        <v>1837</v>
      </c>
      <c r="L22" s="583">
        <v>7600</v>
      </c>
      <c r="M22" s="309">
        <v>0</v>
      </c>
      <c r="N22" s="725">
        <f t="shared" si="6"/>
        <v>7600</v>
      </c>
      <c r="O22" s="377">
        <f t="shared" si="1"/>
        <v>100</v>
      </c>
    </row>
    <row r="23" spans="1:18" ht="12.95" customHeight="1">
      <c r="B23" s="10"/>
      <c r="C23" s="11"/>
      <c r="D23" s="11"/>
      <c r="E23" s="316"/>
      <c r="F23" s="336">
        <v>613400</v>
      </c>
      <c r="G23" s="362"/>
      <c r="H23" s="11" t="s">
        <v>148</v>
      </c>
      <c r="I23" s="586">
        <f>250*12</f>
        <v>3000</v>
      </c>
      <c r="J23" s="309">
        <f>250*12</f>
        <v>3000</v>
      </c>
      <c r="K23" s="791">
        <v>439</v>
      </c>
      <c r="L23" s="583">
        <f>250*12</f>
        <v>3000</v>
      </c>
      <c r="M23" s="309">
        <v>0</v>
      </c>
      <c r="N23" s="725">
        <f t="shared" si="6"/>
        <v>3000</v>
      </c>
      <c r="O23" s="377">
        <f t="shared" si="1"/>
        <v>100</v>
      </c>
    </row>
    <row r="24" spans="1:18" ht="12.95" customHeight="1">
      <c r="B24" s="10"/>
      <c r="C24" s="11"/>
      <c r="D24" s="11"/>
      <c r="E24" s="316"/>
      <c r="F24" s="336">
        <v>613500</v>
      </c>
      <c r="G24" s="362"/>
      <c r="H24" s="11" t="s">
        <v>85</v>
      </c>
      <c r="I24" s="740">
        <v>0</v>
      </c>
      <c r="J24" s="310">
        <v>0</v>
      </c>
      <c r="K24" s="741">
        <v>0</v>
      </c>
      <c r="L24" s="583">
        <v>0</v>
      </c>
      <c r="M24" s="310">
        <v>0</v>
      </c>
      <c r="N24" s="725">
        <f t="shared" si="6"/>
        <v>0</v>
      </c>
      <c r="O24" s="377" t="str">
        <f t="shared" si="1"/>
        <v/>
      </c>
    </row>
    <row r="25" spans="1:18" ht="12.95" customHeight="1">
      <c r="B25" s="10"/>
      <c r="C25" s="11"/>
      <c r="D25" s="11"/>
      <c r="E25" s="316"/>
      <c r="F25" s="336">
        <v>613600</v>
      </c>
      <c r="G25" s="362"/>
      <c r="H25" s="20" t="s">
        <v>177</v>
      </c>
      <c r="I25" s="740">
        <v>0</v>
      </c>
      <c r="J25" s="310">
        <v>0</v>
      </c>
      <c r="K25" s="741">
        <v>0</v>
      </c>
      <c r="L25" s="583">
        <v>0</v>
      </c>
      <c r="M25" s="310">
        <v>0</v>
      </c>
      <c r="N25" s="725">
        <f t="shared" si="6"/>
        <v>0</v>
      </c>
      <c r="O25" s="377" t="str">
        <f t="shared" si="1"/>
        <v/>
      </c>
    </row>
    <row r="26" spans="1:18" ht="12.95" customHeight="1">
      <c r="B26" s="10"/>
      <c r="C26" s="11"/>
      <c r="D26" s="11"/>
      <c r="E26" s="316"/>
      <c r="F26" s="336">
        <v>613700</v>
      </c>
      <c r="G26" s="362"/>
      <c r="H26" s="11" t="s">
        <v>86</v>
      </c>
      <c r="I26" s="631">
        <v>1500</v>
      </c>
      <c r="J26" s="326">
        <v>1500</v>
      </c>
      <c r="K26" s="742">
        <v>497</v>
      </c>
      <c r="L26" s="622">
        <v>1500</v>
      </c>
      <c r="M26" s="326">
        <v>0</v>
      </c>
      <c r="N26" s="725">
        <f t="shared" si="6"/>
        <v>1500</v>
      </c>
      <c r="O26" s="377">
        <f t="shared" si="1"/>
        <v>100</v>
      </c>
    </row>
    <row r="27" spans="1:18" ht="12.95" customHeight="1">
      <c r="B27" s="10"/>
      <c r="C27" s="11"/>
      <c r="D27" s="11"/>
      <c r="E27" s="316"/>
      <c r="F27" s="336">
        <v>613800</v>
      </c>
      <c r="G27" s="362"/>
      <c r="H27" s="11" t="s">
        <v>149</v>
      </c>
      <c r="I27" s="740">
        <v>6500</v>
      </c>
      <c r="J27" s="310">
        <v>6500</v>
      </c>
      <c r="K27" s="741">
        <v>1940</v>
      </c>
      <c r="L27" s="583">
        <f>800*12</f>
        <v>9600</v>
      </c>
      <c r="M27" s="310">
        <v>0</v>
      </c>
      <c r="N27" s="725">
        <f t="shared" si="6"/>
        <v>9600</v>
      </c>
      <c r="O27" s="377">
        <f t="shared" si="1"/>
        <v>147.69230769230771</v>
      </c>
    </row>
    <row r="28" spans="1:18" ht="12.95" customHeight="1">
      <c r="B28" s="10"/>
      <c r="C28" s="11"/>
      <c r="D28" s="11"/>
      <c r="E28" s="316"/>
      <c r="F28" s="336">
        <v>613900</v>
      </c>
      <c r="G28" s="362"/>
      <c r="H28" s="11" t="s">
        <v>150</v>
      </c>
      <c r="I28" s="786">
        <v>15000</v>
      </c>
      <c r="J28" s="307">
        <v>15000</v>
      </c>
      <c r="K28" s="557">
        <v>9157</v>
      </c>
      <c r="L28" s="825">
        <f>15000-1200</f>
        <v>13800</v>
      </c>
      <c r="M28" s="307">
        <v>0</v>
      </c>
      <c r="N28" s="725">
        <f t="shared" si="6"/>
        <v>13800</v>
      </c>
      <c r="O28" s="377">
        <f t="shared" si="1"/>
        <v>92</v>
      </c>
    </row>
    <row r="29" spans="1:18" ht="12.95" customHeight="1">
      <c r="B29" s="10"/>
      <c r="C29" s="11"/>
      <c r="D29" s="11"/>
      <c r="E29" s="663"/>
      <c r="F29" s="342">
        <v>613900</v>
      </c>
      <c r="G29" s="368" t="s">
        <v>571</v>
      </c>
      <c r="H29" s="20" t="s">
        <v>468</v>
      </c>
      <c r="I29" s="740">
        <v>70000</v>
      </c>
      <c r="J29" s="310">
        <v>70000</v>
      </c>
      <c r="K29" s="741">
        <v>13543</v>
      </c>
      <c r="L29" s="583">
        <v>65000</v>
      </c>
      <c r="M29" s="310">
        <v>0</v>
      </c>
      <c r="N29" s="725">
        <f t="shared" si="6"/>
        <v>65000</v>
      </c>
      <c r="O29" s="377">
        <f t="shared" si="1"/>
        <v>92.857142857142861</v>
      </c>
      <c r="P29" s="807"/>
      <c r="R29" s="640"/>
    </row>
    <row r="30" spans="1:18" ht="12.95" customHeight="1">
      <c r="B30" s="10"/>
      <c r="C30" s="11"/>
      <c r="D30" s="11"/>
      <c r="E30" s="316"/>
      <c r="F30" s="336">
        <v>613900</v>
      </c>
      <c r="G30" s="362"/>
      <c r="H30" s="210" t="s">
        <v>465</v>
      </c>
      <c r="I30" s="740">
        <v>0</v>
      </c>
      <c r="J30" s="310">
        <v>0</v>
      </c>
      <c r="K30" s="741">
        <v>0</v>
      </c>
      <c r="L30" s="583">
        <v>0</v>
      </c>
      <c r="M30" s="310">
        <v>0</v>
      </c>
      <c r="N30" s="725">
        <f t="shared" si="6"/>
        <v>0</v>
      </c>
      <c r="O30" s="377" t="str">
        <f t="shared" si="1"/>
        <v/>
      </c>
    </row>
    <row r="31" spans="1:18" ht="7.5" customHeight="1">
      <c r="B31" s="10"/>
      <c r="C31" s="11"/>
      <c r="D31" s="11"/>
      <c r="E31" s="663"/>
      <c r="F31" s="342"/>
      <c r="G31" s="368"/>
      <c r="H31" s="11"/>
      <c r="I31" s="740"/>
      <c r="J31" s="310"/>
      <c r="K31" s="741"/>
      <c r="L31" s="583"/>
      <c r="M31" s="310"/>
      <c r="N31" s="725"/>
      <c r="O31" s="377" t="str">
        <f t="shared" si="1"/>
        <v/>
      </c>
    </row>
    <row r="32" spans="1:18" s="1" customFormat="1" ht="12.95" customHeight="1">
      <c r="A32" s="311"/>
      <c r="B32" s="12"/>
      <c r="C32" s="8"/>
      <c r="D32" s="25"/>
      <c r="E32" s="25"/>
      <c r="F32" s="335">
        <v>614000</v>
      </c>
      <c r="G32" s="361"/>
      <c r="H32" s="8" t="s">
        <v>178</v>
      </c>
      <c r="I32" s="632">
        <f t="shared" ref="I32:N32" si="7">SUM(I33:I35)</f>
        <v>430000</v>
      </c>
      <c r="J32" s="325">
        <f t="shared" si="7"/>
        <v>430000</v>
      </c>
      <c r="K32" s="744">
        <f t="shared" si="7"/>
        <v>42599</v>
      </c>
      <c r="L32" s="588">
        <f t="shared" si="7"/>
        <v>480000</v>
      </c>
      <c r="M32" s="325">
        <f t="shared" si="7"/>
        <v>0</v>
      </c>
      <c r="N32" s="726">
        <f t="shared" si="7"/>
        <v>480000</v>
      </c>
      <c r="O32" s="376">
        <f t="shared" si="1"/>
        <v>111.62790697674419</v>
      </c>
    </row>
    <row r="33" spans="1:17" ht="12.95" customHeight="1">
      <c r="B33" s="10"/>
      <c r="C33" s="11"/>
      <c r="D33" s="24"/>
      <c r="E33" s="24"/>
      <c r="F33" s="336">
        <v>614100</v>
      </c>
      <c r="G33" s="359" t="s">
        <v>572</v>
      </c>
      <c r="H33" s="41" t="s">
        <v>220</v>
      </c>
      <c r="I33" s="740">
        <v>300000</v>
      </c>
      <c r="J33" s="310">
        <v>300000</v>
      </c>
      <c r="K33" s="741">
        <v>0</v>
      </c>
      <c r="L33" s="583">
        <v>350000</v>
      </c>
      <c r="M33" s="310">
        <v>0</v>
      </c>
      <c r="N33" s="725">
        <f t="shared" ref="N33:N35" si="8">SUM(L33:M33)</f>
        <v>350000</v>
      </c>
      <c r="O33" s="377">
        <f t="shared" si="1"/>
        <v>116.66666666666667</v>
      </c>
      <c r="P33" s="77"/>
      <c r="Q33" s="55"/>
    </row>
    <row r="34" spans="1:17" ht="12.95" customHeight="1">
      <c r="B34" s="10"/>
      <c r="C34" s="11"/>
      <c r="D34" s="24"/>
      <c r="E34" s="24"/>
      <c r="F34" s="384">
        <v>614800</v>
      </c>
      <c r="G34" s="370" t="s">
        <v>573</v>
      </c>
      <c r="H34" s="41" t="s">
        <v>108</v>
      </c>
      <c r="I34" s="740">
        <v>70000</v>
      </c>
      <c r="J34" s="310">
        <v>70000</v>
      </c>
      <c r="K34" s="741">
        <v>1127</v>
      </c>
      <c r="L34" s="583">
        <v>70000</v>
      </c>
      <c r="M34" s="310">
        <v>0</v>
      </c>
      <c r="N34" s="725">
        <f t="shared" si="8"/>
        <v>70000</v>
      </c>
      <c r="O34" s="377">
        <f>IF(J34=0,"",N34/J34*100)</f>
        <v>100</v>
      </c>
      <c r="P34" s="55"/>
    </row>
    <row r="35" spans="1:17" ht="24.75" customHeight="1">
      <c r="B35" s="10"/>
      <c r="C35" s="11"/>
      <c r="D35" s="24"/>
      <c r="E35" s="24"/>
      <c r="F35" s="384">
        <v>614800</v>
      </c>
      <c r="G35" s="370" t="s">
        <v>574</v>
      </c>
      <c r="H35" s="283" t="s">
        <v>518</v>
      </c>
      <c r="I35" s="740">
        <v>60000</v>
      </c>
      <c r="J35" s="310">
        <v>60000</v>
      </c>
      <c r="K35" s="741">
        <v>41472</v>
      </c>
      <c r="L35" s="583">
        <v>60000</v>
      </c>
      <c r="M35" s="310">
        <v>0</v>
      </c>
      <c r="N35" s="725">
        <f t="shared" si="8"/>
        <v>60000</v>
      </c>
      <c r="O35" s="377">
        <f t="shared" ref="O35:O56" si="9">IF(J35=0,"",N35/J35*100)</f>
        <v>100</v>
      </c>
      <c r="P35" s="55"/>
    </row>
    <row r="36" spans="1:17" ht="7.5" customHeight="1">
      <c r="B36" s="10"/>
      <c r="C36" s="11"/>
      <c r="D36" s="24"/>
      <c r="E36" s="664"/>
      <c r="F36" s="385"/>
      <c r="G36" s="371"/>
      <c r="H36" s="41"/>
      <c r="I36" s="740"/>
      <c r="J36" s="310"/>
      <c r="K36" s="741"/>
      <c r="L36" s="583"/>
      <c r="M36" s="310"/>
      <c r="N36" s="725"/>
      <c r="O36" s="377" t="str">
        <f t="shared" si="9"/>
        <v/>
      </c>
    </row>
    <row r="37" spans="1:17" ht="12.95" customHeight="1">
      <c r="B37" s="10"/>
      <c r="C37" s="11"/>
      <c r="D37" s="11"/>
      <c r="E37" s="665"/>
      <c r="F37" s="345">
        <v>616000</v>
      </c>
      <c r="G37" s="372"/>
      <c r="H37" s="26" t="s">
        <v>181</v>
      </c>
      <c r="I37" s="787">
        <f t="shared" ref="I37:K37" si="10">SUM(I40:I41)</f>
        <v>51750</v>
      </c>
      <c r="J37" s="304">
        <f t="shared" si="10"/>
        <v>51750</v>
      </c>
      <c r="K37" s="556">
        <f t="shared" si="10"/>
        <v>6263</v>
      </c>
      <c r="L37" s="628">
        <f>SUM(L38:L41)</f>
        <v>44710</v>
      </c>
      <c r="M37" s="304">
        <f>SUM(M38:M41)</f>
        <v>0</v>
      </c>
      <c r="N37" s="726">
        <f>SUM(N38:N41)</f>
        <v>44710</v>
      </c>
      <c r="O37" s="376">
        <f t="shared" si="9"/>
        <v>86.39613526570048</v>
      </c>
    </row>
    <row r="38" spans="1:17" s="314" customFormat="1" ht="12.95" customHeight="1">
      <c r="B38" s="315"/>
      <c r="C38" s="316"/>
      <c r="D38" s="316"/>
      <c r="E38" s="562"/>
      <c r="F38" s="343">
        <v>616200</v>
      </c>
      <c r="G38" s="359" t="s">
        <v>575</v>
      </c>
      <c r="H38" s="44" t="s">
        <v>925</v>
      </c>
      <c r="I38" s="740">
        <v>0</v>
      </c>
      <c r="J38" s="310">
        <v>0</v>
      </c>
      <c r="K38" s="741">
        <v>0</v>
      </c>
      <c r="L38" s="583">
        <f>2*9820</f>
        <v>19640</v>
      </c>
      <c r="M38" s="310">
        <v>0</v>
      </c>
      <c r="N38" s="725">
        <f t="shared" ref="N38:N39" si="11">SUM(L38:M38)</f>
        <v>19640</v>
      </c>
      <c r="O38" s="377" t="str">
        <f t="shared" ref="O38:O39" si="12">IF(J38=0,"",N38/J38*100)</f>
        <v/>
      </c>
    </row>
    <row r="39" spans="1:17" s="314" customFormat="1" ht="12.95" customHeight="1">
      <c r="B39" s="315"/>
      <c r="C39" s="316"/>
      <c r="D39" s="316"/>
      <c r="E39" s="562"/>
      <c r="F39" s="343">
        <v>616200</v>
      </c>
      <c r="G39" s="359" t="s">
        <v>576</v>
      </c>
      <c r="H39" s="44" t="s">
        <v>926</v>
      </c>
      <c r="I39" s="740">
        <v>0</v>
      </c>
      <c r="J39" s="310">
        <v>0</v>
      </c>
      <c r="K39" s="741">
        <v>0</v>
      </c>
      <c r="L39" s="583">
        <f>6270+18800</f>
        <v>25070</v>
      </c>
      <c r="M39" s="310">
        <v>0</v>
      </c>
      <c r="N39" s="725">
        <f t="shared" si="11"/>
        <v>25070</v>
      </c>
      <c r="O39" s="377" t="str">
        <f t="shared" si="12"/>
        <v/>
      </c>
    </row>
    <row r="40" spans="1:17" ht="12.95" customHeight="1">
      <c r="B40" s="10"/>
      <c r="C40" s="11"/>
      <c r="D40" s="11"/>
      <c r="E40" s="562"/>
      <c r="F40" s="343">
        <v>616300</v>
      </c>
      <c r="G40" s="359" t="s">
        <v>575</v>
      </c>
      <c r="H40" s="44" t="s">
        <v>186</v>
      </c>
      <c r="I40" s="740">
        <v>24100</v>
      </c>
      <c r="J40" s="310">
        <v>24100</v>
      </c>
      <c r="K40" s="741">
        <v>0</v>
      </c>
      <c r="L40" s="583">
        <v>0</v>
      </c>
      <c r="M40" s="310">
        <v>0</v>
      </c>
      <c r="N40" s="725">
        <f t="shared" ref="N40:N41" si="13">SUM(L40:M40)</f>
        <v>0</v>
      </c>
      <c r="O40" s="377">
        <f t="shared" si="9"/>
        <v>0</v>
      </c>
    </row>
    <row r="41" spans="1:17" ht="12.95" customHeight="1">
      <c r="B41" s="10"/>
      <c r="C41" s="11"/>
      <c r="D41" s="11"/>
      <c r="E41" s="562"/>
      <c r="F41" s="343">
        <v>616300</v>
      </c>
      <c r="G41" s="359" t="s">
        <v>576</v>
      </c>
      <c r="H41" s="44" t="s">
        <v>190</v>
      </c>
      <c r="I41" s="740">
        <v>27650</v>
      </c>
      <c r="J41" s="310">
        <v>27650</v>
      </c>
      <c r="K41" s="741">
        <v>6263</v>
      </c>
      <c r="L41" s="583">
        <v>0</v>
      </c>
      <c r="M41" s="310">
        <v>0</v>
      </c>
      <c r="N41" s="725">
        <f t="shared" si="13"/>
        <v>0</v>
      </c>
      <c r="O41" s="377">
        <f t="shared" si="9"/>
        <v>0</v>
      </c>
    </row>
    <row r="42" spans="1:17" ht="8.25" customHeight="1">
      <c r="B42" s="10"/>
      <c r="C42" s="11"/>
      <c r="D42" s="11"/>
      <c r="E42" s="316"/>
      <c r="F42" s="336"/>
      <c r="G42" s="362"/>
      <c r="H42" s="11"/>
      <c r="I42" s="632"/>
      <c r="J42" s="325"/>
      <c r="K42" s="744"/>
      <c r="L42" s="588"/>
      <c r="M42" s="325"/>
      <c r="N42" s="726"/>
      <c r="O42" s="377" t="str">
        <f t="shared" si="9"/>
        <v/>
      </c>
    </row>
    <row r="43" spans="1:17" ht="12.95" customHeight="1">
      <c r="B43" s="12"/>
      <c r="C43" s="8"/>
      <c r="D43" s="8"/>
      <c r="E43" s="8"/>
      <c r="F43" s="335">
        <v>821000</v>
      </c>
      <c r="G43" s="361"/>
      <c r="H43" s="8" t="s">
        <v>89</v>
      </c>
      <c r="I43" s="632">
        <f t="shared" ref="I43:N43" si="14">SUM(I44:I45)</f>
        <v>2000</v>
      </c>
      <c r="J43" s="325">
        <f t="shared" si="14"/>
        <v>2000</v>
      </c>
      <c r="K43" s="744">
        <f t="shared" si="14"/>
        <v>0</v>
      </c>
      <c r="L43" s="588">
        <f t="shared" si="14"/>
        <v>2000</v>
      </c>
      <c r="M43" s="325">
        <f t="shared" si="14"/>
        <v>0</v>
      </c>
      <c r="N43" s="726">
        <f t="shared" si="14"/>
        <v>2000</v>
      </c>
      <c r="O43" s="376">
        <f t="shared" si="9"/>
        <v>100</v>
      </c>
    </row>
    <row r="44" spans="1:17" ht="12.95" customHeight="1">
      <c r="B44" s="10"/>
      <c r="C44" s="11"/>
      <c r="D44" s="11"/>
      <c r="E44" s="316"/>
      <c r="F44" s="336">
        <v>821200</v>
      </c>
      <c r="G44" s="362"/>
      <c r="H44" s="11" t="s">
        <v>90</v>
      </c>
      <c r="I44" s="631">
        <v>0</v>
      </c>
      <c r="J44" s="326">
        <v>0</v>
      </c>
      <c r="K44" s="742">
        <v>0</v>
      </c>
      <c r="L44" s="622">
        <v>0</v>
      </c>
      <c r="M44" s="326">
        <v>0</v>
      </c>
      <c r="N44" s="725">
        <f t="shared" ref="N44:N45" si="15">SUM(L44:M44)</f>
        <v>0</v>
      </c>
      <c r="O44" s="377" t="str">
        <f t="shared" si="9"/>
        <v/>
      </c>
    </row>
    <row r="45" spans="1:17" s="1" customFormat="1" ht="12.95" customHeight="1">
      <c r="A45" s="311"/>
      <c r="B45" s="10"/>
      <c r="C45" s="11"/>
      <c r="D45" s="11"/>
      <c r="E45" s="316"/>
      <c r="F45" s="336">
        <v>821300</v>
      </c>
      <c r="G45" s="362"/>
      <c r="H45" s="11" t="s">
        <v>91</v>
      </c>
      <c r="I45" s="631">
        <v>2000</v>
      </c>
      <c r="J45" s="326">
        <v>2000</v>
      </c>
      <c r="K45" s="742">
        <v>0</v>
      </c>
      <c r="L45" s="622">
        <v>2000</v>
      </c>
      <c r="M45" s="326">
        <v>0</v>
      </c>
      <c r="N45" s="725">
        <f t="shared" si="15"/>
        <v>2000</v>
      </c>
      <c r="O45" s="377">
        <f t="shared" si="9"/>
        <v>100</v>
      </c>
    </row>
    <row r="46" spans="1:17" ht="9" customHeight="1">
      <c r="B46" s="10"/>
      <c r="C46" s="11"/>
      <c r="D46" s="11"/>
      <c r="E46" s="316"/>
      <c r="F46" s="336"/>
      <c r="G46" s="362"/>
      <c r="H46" s="11"/>
      <c r="I46" s="740"/>
      <c r="J46" s="310"/>
      <c r="K46" s="741"/>
      <c r="L46" s="583"/>
      <c r="M46" s="310"/>
      <c r="N46" s="725"/>
      <c r="O46" s="377" t="str">
        <f t="shared" si="9"/>
        <v/>
      </c>
    </row>
    <row r="47" spans="1:17" ht="12.95" customHeight="1">
      <c r="B47" s="12"/>
      <c r="C47" s="8"/>
      <c r="D47" s="8"/>
      <c r="E47" s="8"/>
      <c r="F47" s="335">
        <v>823000</v>
      </c>
      <c r="G47" s="361"/>
      <c r="H47" s="8" t="s">
        <v>187</v>
      </c>
      <c r="I47" s="632">
        <f>SUM(I48:I51)</f>
        <v>527820</v>
      </c>
      <c r="J47" s="325">
        <f t="shared" ref="J47:N47" si="16">SUM(J48:J51)</f>
        <v>527820</v>
      </c>
      <c r="K47" s="744">
        <f t="shared" si="16"/>
        <v>215141</v>
      </c>
      <c r="L47" s="588">
        <f t="shared" si="16"/>
        <v>518280</v>
      </c>
      <c r="M47" s="325">
        <f t="shared" si="16"/>
        <v>0</v>
      </c>
      <c r="N47" s="726">
        <f t="shared" si="16"/>
        <v>518280</v>
      </c>
      <c r="O47" s="376">
        <f t="shared" si="9"/>
        <v>98.192565647379794</v>
      </c>
    </row>
    <row r="48" spans="1:17" s="314" customFormat="1" ht="12.95" customHeight="1">
      <c r="B48" s="315"/>
      <c r="C48" s="316"/>
      <c r="D48" s="316"/>
      <c r="E48" s="316"/>
      <c r="F48" s="336">
        <v>823200</v>
      </c>
      <c r="G48" s="362" t="s">
        <v>575</v>
      </c>
      <c r="H48" s="386" t="s">
        <v>927</v>
      </c>
      <c r="I48" s="631">
        <v>0</v>
      </c>
      <c r="J48" s="326">
        <v>0</v>
      </c>
      <c r="K48" s="742">
        <v>0</v>
      </c>
      <c r="L48" s="622">
        <f>43490+44500</f>
        <v>87990</v>
      </c>
      <c r="M48" s="326">
        <v>0</v>
      </c>
      <c r="N48" s="725">
        <f t="shared" ref="N48:N49" si="17">SUM(L48:M48)</f>
        <v>87990</v>
      </c>
      <c r="O48" s="377" t="str">
        <f t="shared" ref="O48:O49" si="18">IF(J48=0,"",N48/J48*100)</f>
        <v/>
      </c>
    </row>
    <row r="49" spans="1:15" s="314" customFormat="1" ht="12.95" customHeight="1">
      <c r="B49" s="315"/>
      <c r="C49" s="316"/>
      <c r="D49" s="316"/>
      <c r="E49" s="316"/>
      <c r="F49" s="336">
        <v>823200</v>
      </c>
      <c r="G49" s="362" t="s">
        <v>576</v>
      </c>
      <c r="H49" s="386" t="s">
        <v>928</v>
      </c>
      <c r="I49" s="631">
        <v>0</v>
      </c>
      <c r="J49" s="326">
        <v>0</v>
      </c>
      <c r="K49" s="742">
        <v>0</v>
      </c>
      <c r="L49" s="622">
        <v>430290</v>
      </c>
      <c r="M49" s="326">
        <v>0</v>
      </c>
      <c r="N49" s="725">
        <f t="shared" si="17"/>
        <v>430290</v>
      </c>
      <c r="O49" s="377" t="str">
        <f t="shared" si="18"/>
        <v/>
      </c>
    </row>
    <row r="50" spans="1:15" ht="12.95" customHeight="1">
      <c r="B50" s="10"/>
      <c r="C50" s="11"/>
      <c r="D50" s="11"/>
      <c r="E50" s="316"/>
      <c r="F50" s="336">
        <v>823300</v>
      </c>
      <c r="G50" s="362" t="s">
        <v>575</v>
      </c>
      <c r="H50" s="20" t="s">
        <v>521</v>
      </c>
      <c r="I50" s="631">
        <v>97530</v>
      </c>
      <c r="J50" s="326">
        <v>97530</v>
      </c>
      <c r="K50" s="742">
        <v>0</v>
      </c>
      <c r="L50" s="622">
        <v>0</v>
      </c>
      <c r="M50" s="326">
        <v>0</v>
      </c>
      <c r="N50" s="725">
        <f t="shared" ref="N50:N51" si="19">SUM(L50:M50)</f>
        <v>0</v>
      </c>
      <c r="O50" s="377">
        <f t="shared" si="9"/>
        <v>0</v>
      </c>
    </row>
    <row r="51" spans="1:15" ht="12.95" customHeight="1">
      <c r="B51" s="10"/>
      <c r="C51" s="11"/>
      <c r="D51" s="11"/>
      <c r="E51" s="316"/>
      <c r="F51" s="336">
        <v>823300</v>
      </c>
      <c r="G51" s="362" t="s">
        <v>576</v>
      </c>
      <c r="H51" s="20" t="s">
        <v>520</v>
      </c>
      <c r="I51" s="631">
        <v>430290</v>
      </c>
      <c r="J51" s="326">
        <v>430290</v>
      </c>
      <c r="K51" s="742">
        <v>215141</v>
      </c>
      <c r="L51" s="622">
        <v>0</v>
      </c>
      <c r="M51" s="326">
        <v>0</v>
      </c>
      <c r="N51" s="725">
        <f t="shared" si="19"/>
        <v>0</v>
      </c>
      <c r="O51" s="377">
        <f t="shared" si="9"/>
        <v>0</v>
      </c>
    </row>
    <row r="52" spans="1:15" ht="12.95" customHeight="1">
      <c r="B52" s="10"/>
      <c r="C52" s="11"/>
      <c r="D52" s="11"/>
      <c r="E52" s="316"/>
      <c r="F52" s="336"/>
      <c r="G52" s="362"/>
      <c r="H52" s="11"/>
      <c r="I52" s="24"/>
      <c r="J52" s="316"/>
      <c r="K52" s="792"/>
      <c r="L52" s="315"/>
      <c r="M52" s="316"/>
      <c r="N52" s="734"/>
      <c r="O52" s="377" t="str">
        <f t="shared" si="9"/>
        <v/>
      </c>
    </row>
    <row r="53" spans="1:15" ht="12.95" customHeight="1">
      <c r="B53" s="12"/>
      <c r="C53" s="8"/>
      <c r="D53" s="8"/>
      <c r="E53" s="8"/>
      <c r="F53" s="335"/>
      <c r="G53" s="361"/>
      <c r="H53" s="8" t="s">
        <v>92</v>
      </c>
      <c r="I53" s="788" t="s">
        <v>790</v>
      </c>
      <c r="J53" s="651" t="s">
        <v>790</v>
      </c>
      <c r="K53" s="793">
        <v>14</v>
      </c>
      <c r="L53" s="650" t="s">
        <v>932</v>
      </c>
      <c r="M53" s="651"/>
      <c r="N53" s="789" t="s">
        <v>932</v>
      </c>
      <c r="O53" s="377"/>
    </row>
    <row r="54" spans="1:15" ht="12.95" customHeight="1">
      <c r="B54" s="12"/>
      <c r="C54" s="8"/>
      <c r="D54" s="8"/>
      <c r="E54" s="8"/>
      <c r="F54" s="335"/>
      <c r="G54" s="361"/>
      <c r="H54" s="8" t="s">
        <v>110</v>
      </c>
      <c r="I54" s="575">
        <f t="shared" ref="I54:N54" si="20">I8+I11+I16+I19+I32+I37+I43+I47</f>
        <v>1593480</v>
      </c>
      <c r="J54" s="318">
        <f t="shared" si="20"/>
        <v>1593480</v>
      </c>
      <c r="K54" s="575">
        <f t="shared" si="20"/>
        <v>387129</v>
      </c>
      <c r="L54" s="582">
        <f t="shared" si="20"/>
        <v>1571010</v>
      </c>
      <c r="M54" s="318">
        <f t="shared" si="20"/>
        <v>0</v>
      </c>
      <c r="N54" s="726">
        <f t="shared" si="20"/>
        <v>1571010</v>
      </c>
      <c r="O54" s="376">
        <f>IF(J54=0,"",N54/J54*100)</f>
        <v>98.589878755930414</v>
      </c>
    </row>
    <row r="55" spans="1:15" s="1" customFormat="1" ht="12.95" customHeight="1">
      <c r="A55" s="311"/>
      <c r="B55" s="12"/>
      <c r="C55" s="8"/>
      <c r="D55" s="8"/>
      <c r="E55" s="8"/>
      <c r="F55" s="335"/>
      <c r="G55" s="361"/>
      <c r="H55" s="8" t="s">
        <v>93</v>
      </c>
      <c r="I55" s="575">
        <f>I54</f>
        <v>1593480</v>
      </c>
      <c r="J55" s="318">
        <f>J54</f>
        <v>1593480</v>
      </c>
      <c r="K55" s="575">
        <f t="shared" ref="K55" si="21">K54</f>
        <v>387129</v>
      </c>
      <c r="L55" s="582">
        <f t="shared" ref="L55:N56" si="22">L54</f>
        <v>1571010</v>
      </c>
      <c r="M55" s="318">
        <f t="shared" si="22"/>
        <v>0</v>
      </c>
      <c r="N55" s="726">
        <f t="shared" si="22"/>
        <v>1571010</v>
      </c>
      <c r="O55" s="376">
        <f t="shared" si="9"/>
        <v>98.589878755930414</v>
      </c>
    </row>
    <row r="56" spans="1:15" s="1" customFormat="1" ht="12.95" customHeight="1">
      <c r="A56" s="311"/>
      <c r="B56" s="12"/>
      <c r="C56" s="8"/>
      <c r="D56" s="8"/>
      <c r="E56" s="8"/>
      <c r="F56" s="335"/>
      <c r="G56" s="361"/>
      <c r="H56" s="8" t="s">
        <v>94</v>
      </c>
      <c r="I56" s="575">
        <f>I55</f>
        <v>1593480</v>
      </c>
      <c r="J56" s="318">
        <f>J55</f>
        <v>1593480</v>
      </c>
      <c r="K56" s="575">
        <f t="shared" ref="K56" si="23">K55</f>
        <v>387129</v>
      </c>
      <c r="L56" s="582">
        <f t="shared" si="22"/>
        <v>1571010</v>
      </c>
      <c r="M56" s="318">
        <f t="shared" si="22"/>
        <v>0</v>
      </c>
      <c r="N56" s="726">
        <f t="shared" si="22"/>
        <v>1571010</v>
      </c>
      <c r="O56" s="376">
        <f t="shared" si="9"/>
        <v>98.589878755930414</v>
      </c>
    </row>
    <row r="57" spans="1:15" s="1" customFormat="1" ht="12.95" customHeight="1" thickBot="1">
      <c r="A57" s="311"/>
      <c r="B57" s="16"/>
      <c r="C57" s="17"/>
      <c r="D57" s="17"/>
      <c r="E57" s="17"/>
      <c r="F57" s="337"/>
      <c r="G57" s="363"/>
      <c r="H57" s="17"/>
      <c r="I57" s="17"/>
      <c r="J57" s="17"/>
      <c r="K57" s="27"/>
      <c r="L57" s="16"/>
      <c r="M57" s="17"/>
      <c r="N57" s="735"/>
      <c r="O57" s="379"/>
    </row>
    <row r="58" spans="1:15" s="1" customFormat="1" ht="12.95" customHeight="1">
      <c r="A58" s="311"/>
      <c r="B58" s="9"/>
      <c r="C58" s="9"/>
      <c r="D58" s="9"/>
      <c r="E58" s="314"/>
      <c r="F58" s="338"/>
      <c r="G58" s="364"/>
      <c r="H58" s="9"/>
      <c r="I58" s="9"/>
      <c r="J58" s="9"/>
      <c r="K58" s="9"/>
      <c r="L58" s="314"/>
      <c r="M58" s="314"/>
      <c r="N58" s="423"/>
      <c r="O58" s="380"/>
    </row>
    <row r="59" spans="1:15" ht="12.95" customHeight="1">
      <c r="F59" s="338"/>
      <c r="G59" s="364"/>
      <c r="L59" s="63"/>
      <c r="N59" s="423"/>
    </row>
    <row r="60" spans="1:15" ht="12.95" customHeight="1">
      <c r="F60" s="338"/>
      <c r="G60" s="364"/>
      <c r="N60" s="423"/>
    </row>
    <row r="61" spans="1:15" ht="12.95" customHeight="1">
      <c r="F61" s="338"/>
      <c r="G61" s="364"/>
      <c r="N61" s="423"/>
    </row>
    <row r="62" spans="1:15" ht="12.95" customHeight="1">
      <c r="F62" s="338"/>
      <c r="G62" s="364"/>
      <c r="N62" s="423"/>
    </row>
    <row r="63" spans="1:15" ht="12.95" customHeight="1">
      <c r="F63" s="338"/>
      <c r="G63" s="364"/>
      <c r="N63" s="423"/>
    </row>
    <row r="64" spans="1:15" ht="17.100000000000001" customHeight="1">
      <c r="F64" s="338"/>
      <c r="G64" s="364"/>
      <c r="N64" s="423"/>
    </row>
    <row r="65" spans="6:14" ht="14.25">
      <c r="F65" s="338"/>
      <c r="G65" s="364"/>
      <c r="N65" s="423"/>
    </row>
    <row r="66" spans="6:14" ht="14.25">
      <c r="F66" s="338"/>
      <c r="G66" s="364"/>
      <c r="N66" s="423"/>
    </row>
    <row r="67" spans="6:14" ht="14.25">
      <c r="F67" s="338"/>
      <c r="G67" s="364"/>
      <c r="N67" s="423"/>
    </row>
    <row r="68" spans="6:14" ht="14.25">
      <c r="F68" s="338"/>
      <c r="G68" s="364"/>
      <c r="N68" s="423"/>
    </row>
    <row r="69" spans="6:14" ht="14.25">
      <c r="F69" s="338"/>
      <c r="G69" s="364"/>
      <c r="N69" s="423"/>
    </row>
    <row r="70" spans="6:14" ht="14.25">
      <c r="F70" s="338"/>
      <c r="G70" s="364"/>
      <c r="N70" s="423"/>
    </row>
    <row r="71" spans="6:14" ht="14.25">
      <c r="F71" s="338"/>
      <c r="G71" s="364"/>
      <c r="N71" s="423"/>
    </row>
    <row r="72" spans="6:14" ht="14.25">
      <c r="F72" s="338"/>
      <c r="G72" s="364"/>
      <c r="N72" s="423"/>
    </row>
    <row r="73" spans="6:14" ht="14.25">
      <c r="F73" s="338"/>
      <c r="G73" s="364"/>
      <c r="N73" s="423"/>
    </row>
    <row r="74" spans="6:14" ht="14.25">
      <c r="F74" s="338"/>
      <c r="G74" s="364"/>
      <c r="N74" s="423"/>
    </row>
    <row r="75" spans="6:14" ht="14.25">
      <c r="F75" s="338"/>
      <c r="G75" s="364"/>
      <c r="N75" s="423"/>
    </row>
    <row r="76" spans="6:14" ht="14.25">
      <c r="F76" s="338"/>
      <c r="G76" s="364"/>
      <c r="N76" s="423"/>
    </row>
    <row r="77" spans="6:14" ht="14.25">
      <c r="F77" s="338"/>
      <c r="G77" s="364"/>
      <c r="N77" s="423"/>
    </row>
    <row r="78" spans="6:14" ht="14.25">
      <c r="F78" s="338"/>
      <c r="G78" s="338"/>
      <c r="N78" s="423"/>
    </row>
    <row r="79" spans="6:14" ht="14.25">
      <c r="F79" s="338"/>
      <c r="G79" s="338"/>
      <c r="N79" s="423"/>
    </row>
    <row r="80" spans="6:14" ht="14.25">
      <c r="F80" s="338"/>
      <c r="G80" s="338"/>
      <c r="N80" s="423"/>
    </row>
    <row r="81" spans="6:14" ht="14.25">
      <c r="F81" s="338"/>
      <c r="G81" s="338"/>
      <c r="N81" s="423"/>
    </row>
    <row r="82" spans="6:14" ht="14.25">
      <c r="F82" s="338"/>
      <c r="G82" s="338"/>
      <c r="N82" s="423"/>
    </row>
    <row r="83" spans="6:14" ht="14.25">
      <c r="F83" s="338"/>
      <c r="G83" s="338"/>
      <c r="N83" s="423"/>
    </row>
    <row r="84" spans="6:14" ht="14.25">
      <c r="F84" s="338"/>
      <c r="G84" s="338"/>
      <c r="N84" s="423"/>
    </row>
    <row r="85" spans="6:14" ht="14.25">
      <c r="F85" s="338"/>
      <c r="G85" s="338"/>
      <c r="N85" s="423"/>
    </row>
    <row r="86" spans="6:14" ht="14.25">
      <c r="F86" s="338"/>
      <c r="G86" s="338"/>
      <c r="N86" s="423"/>
    </row>
    <row r="87" spans="6:14" ht="14.25">
      <c r="F87" s="338"/>
      <c r="G87" s="338"/>
      <c r="N87" s="423"/>
    </row>
    <row r="88" spans="6:14" ht="14.25">
      <c r="F88" s="338"/>
      <c r="G88" s="338"/>
      <c r="N88" s="423"/>
    </row>
    <row r="89" spans="6:14" ht="14.25">
      <c r="F89" s="338"/>
      <c r="G89" s="338"/>
      <c r="N89" s="423"/>
    </row>
    <row r="90" spans="6:14" ht="14.25">
      <c r="F90" s="338"/>
      <c r="G90" s="338"/>
      <c r="N90" s="423"/>
    </row>
    <row r="91" spans="6:14" ht="14.25">
      <c r="F91" s="338"/>
      <c r="G91" s="338"/>
      <c r="N91" s="423"/>
    </row>
    <row r="92" spans="6:14" ht="14.25">
      <c r="F92" s="338"/>
      <c r="G92" s="338"/>
      <c r="N92" s="423"/>
    </row>
    <row r="93" spans="6:14" ht="14.25">
      <c r="F93" s="338"/>
      <c r="G93" s="338"/>
      <c r="N93" s="423"/>
    </row>
    <row r="94" spans="6:14" ht="14.25">
      <c r="F94" s="338"/>
      <c r="G94" s="338"/>
      <c r="N94" s="423"/>
    </row>
    <row r="95" spans="6:14">
      <c r="G95" s="338"/>
    </row>
    <row r="96" spans="6:14">
      <c r="G96" s="338"/>
    </row>
    <row r="97" spans="7:7">
      <c r="G97" s="338"/>
    </row>
    <row r="98" spans="7:7">
      <c r="G98" s="338"/>
    </row>
    <row r="99" spans="7:7">
      <c r="G99" s="338"/>
    </row>
    <row r="100" spans="7:7">
      <c r="G100" s="338"/>
    </row>
  </sheetData>
  <mergeCells count="14">
    <mergeCell ref="O4:O5"/>
    <mergeCell ref="H4:H5"/>
    <mergeCell ref="B2:N2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K4:K5"/>
    <mergeCell ref="E4:E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  <colBreaks count="1" manualBreakCount="1">
    <brk id="15" max="104857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0"/>
  <dimension ref="A1:Q95"/>
  <sheetViews>
    <sheetView zoomScaleNormal="100" zoomScaleSheetLayoutView="130" workbookViewId="0">
      <selection activeCell="L28" sqref="L28:M28"/>
    </sheetView>
  </sheetViews>
  <sheetFormatPr defaultRowHeight="12.75"/>
  <cols>
    <col min="1" max="1" width="9.140625" style="314"/>
    <col min="2" max="2" width="4.7109375" style="9" customWidth="1"/>
    <col min="3" max="3" width="5.140625" style="9" customWidth="1"/>
    <col min="4" max="4" width="5" style="9" customWidth="1"/>
    <col min="5" max="5" width="5" style="314" customWidth="1"/>
    <col min="6" max="6" width="8.7109375" style="18" customWidth="1"/>
    <col min="7" max="7" width="8.7109375" style="319" customWidth="1"/>
    <col min="8" max="8" width="50.7109375" style="9" customWidth="1"/>
    <col min="9" max="11" width="14.7109375" style="9" customWidth="1"/>
    <col min="12" max="13" width="14.7109375" style="314" customWidth="1"/>
    <col min="14" max="14" width="15.7109375" style="9" customWidth="1"/>
    <col min="15" max="15" width="7.7109375" style="380" customWidth="1"/>
    <col min="16" max="16384" width="9.140625" style="9"/>
  </cols>
  <sheetData>
    <row r="1" spans="1:17" ht="13.5" thickBot="1"/>
    <row r="2" spans="1:17" s="113" customFormat="1" ht="20.100000000000001" customHeight="1" thickTop="1" thickBot="1">
      <c r="A2" s="408"/>
      <c r="B2" s="887" t="s">
        <v>758</v>
      </c>
      <c r="C2" s="888"/>
      <c r="D2" s="888"/>
      <c r="E2" s="888"/>
      <c r="F2" s="888"/>
      <c r="G2" s="888"/>
      <c r="H2" s="888"/>
      <c r="I2" s="888"/>
      <c r="J2" s="888"/>
      <c r="K2" s="888"/>
      <c r="L2" s="888"/>
      <c r="M2" s="888"/>
      <c r="N2" s="888"/>
      <c r="O2" s="412"/>
      <c r="Q2" s="408"/>
    </row>
    <row r="3" spans="1:17" s="1" customFormat="1" ht="8.1" customHeight="1" thickTop="1" thickBot="1">
      <c r="A3" s="311"/>
      <c r="E3" s="311"/>
      <c r="F3" s="2"/>
      <c r="G3" s="312"/>
      <c r="H3" s="890"/>
      <c r="I3" s="890"/>
      <c r="J3" s="282"/>
      <c r="K3" s="282"/>
      <c r="L3" s="107"/>
      <c r="M3" s="107"/>
      <c r="N3" s="107"/>
      <c r="O3" s="374"/>
    </row>
    <row r="4" spans="1:17" s="1" customFormat="1" ht="39" customHeight="1">
      <c r="A4" s="311"/>
      <c r="B4" s="894" t="s">
        <v>77</v>
      </c>
      <c r="C4" s="909" t="s">
        <v>78</v>
      </c>
      <c r="D4" s="910" t="s">
        <v>107</v>
      </c>
      <c r="E4" s="916" t="s">
        <v>828</v>
      </c>
      <c r="F4" s="911" t="s">
        <v>517</v>
      </c>
      <c r="G4" s="899" t="s">
        <v>556</v>
      </c>
      <c r="H4" s="900" t="s">
        <v>79</v>
      </c>
      <c r="I4" s="912" t="s">
        <v>697</v>
      </c>
      <c r="J4" s="913" t="s">
        <v>862</v>
      </c>
      <c r="K4" s="917" t="s">
        <v>863</v>
      </c>
      <c r="L4" s="908" t="s">
        <v>865</v>
      </c>
      <c r="M4" s="892"/>
      <c r="N4" s="893"/>
      <c r="O4" s="906" t="s">
        <v>866</v>
      </c>
      <c r="Q4" s="81"/>
    </row>
    <row r="5" spans="1:17" s="311" customFormat="1" ht="27" customHeight="1">
      <c r="B5" s="895"/>
      <c r="C5" s="897"/>
      <c r="D5" s="897"/>
      <c r="E5" s="897"/>
      <c r="F5" s="901"/>
      <c r="G5" s="897"/>
      <c r="H5" s="901"/>
      <c r="I5" s="901"/>
      <c r="J5" s="901"/>
      <c r="K5" s="905"/>
      <c r="L5" s="587" t="s">
        <v>601</v>
      </c>
      <c r="M5" s="404" t="s">
        <v>602</v>
      </c>
      <c r="N5" s="720" t="s">
        <v>349</v>
      </c>
      <c r="O5" s="907"/>
    </row>
    <row r="6" spans="1:17" s="2" customFormat="1" ht="12.95" customHeight="1">
      <c r="A6" s="312"/>
      <c r="B6" s="525">
        <v>1</v>
      </c>
      <c r="C6" s="361">
        <v>2</v>
      </c>
      <c r="D6" s="361">
        <v>3</v>
      </c>
      <c r="E6" s="361">
        <v>4</v>
      </c>
      <c r="F6" s="361">
        <v>5</v>
      </c>
      <c r="G6" s="361">
        <v>6</v>
      </c>
      <c r="H6" s="361">
        <v>7</v>
      </c>
      <c r="I6" s="361">
        <v>8</v>
      </c>
      <c r="J6" s="361">
        <v>9</v>
      </c>
      <c r="K6" s="526">
        <v>10</v>
      </c>
      <c r="L6" s="525">
        <v>11</v>
      </c>
      <c r="M6" s="361">
        <v>12</v>
      </c>
      <c r="N6" s="721" t="s">
        <v>830</v>
      </c>
      <c r="O6" s="527">
        <v>14</v>
      </c>
    </row>
    <row r="7" spans="1:17" s="2" customFormat="1" ht="12.95" customHeight="1">
      <c r="A7" s="312"/>
      <c r="B7" s="6" t="s">
        <v>128</v>
      </c>
      <c r="C7" s="7" t="s">
        <v>80</v>
      </c>
      <c r="D7" s="7" t="s">
        <v>81</v>
      </c>
      <c r="E7" s="667" t="s">
        <v>837</v>
      </c>
      <c r="F7" s="5"/>
      <c r="G7" s="313"/>
      <c r="H7" s="5"/>
      <c r="I7" s="5"/>
      <c r="J7" s="5"/>
      <c r="K7" s="574"/>
      <c r="L7" s="4"/>
      <c r="M7" s="313"/>
      <c r="N7" s="722"/>
      <c r="O7" s="375"/>
    </row>
    <row r="8" spans="1:17" s="1" customFormat="1" ht="12.95" customHeight="1">
      <c r="A8" s="311"/>
      <c r="B8" s="12"/>
      <c r="C8" s="8"/>
      <c r="D8" s="8"/>
      <c r="E8" s="8"/>
      <c r="F8" s="335">
        <v>611000</v>
      </c>
      <c r="G8" s="361"/>
      <c r="H8" s="8" t="s">
        <v>146</v>
      </c>
      <c r="I8" s="738">
        <f t="shared" ref="I8:N8" si="0">SUM(I9:I12)</f>
        <v>269860</v>
      </c>
      <c r="J8" s="236">
        <f t="shared" si="0"/>
        <v>269860</v>
      </c>
      <c r="K8" s="744">
        <f t="shared" si="0"/>
        <v>59233</v>
      </c>
      <c r="L8" s="578">
        <f t="shared" si="0"/>
        <v>254800</v>
      </c>
      <c r="M8" s="236">
        <f t="shared" si="0"/>
        <v>0</v>
      </c>
      <c r="N8" s="723">
        <f t="shared" si="0"/>
        <v>254800</v>
      </c>
      <c r="O8" s="376">
        <f>IF(J8=0,"",N8/J8*100)</f>
        <v>94.41932854072482</v>
      </c>
    </row>
    <row r="9" spans="1:17" ht="12.95" customHeight="1">
      <c r="B9" s="10"/>
      <c r="C9" s="11"/>
      <c r="D9" s="11"/>
      <c r="E9" s="316"/>
      <c r="F9" s="336">
        <v>611100</v>
      </c>
      <c r="G9" s="362"/>
      <c r="H9" s="20" t="s">
        <v>174</v>
      </c>
      <c r="I9" s="739">
        <f>221420-12*1090+9*1140+3500+730+1000+5540</f>
        <v>229370</v>
      </c>
      <c r="J9" s="235">
        <f>221420-12*1090+9*1140+3500+730+1000+5540</f>
        <v>229370</v>
      </c>
      <c r="K9" s="741">
        <v>52155</v>
      </c>
      <c r="L9" s="579">
        <f>209440+1500+5*1140</f>
        <v>216640</v>
      </c>
      <c r="M9" s="235">
        <v>0</v>
      </c>
      <c r="N9" s="724">
        <f>SUM(L9:M9)</f>
        <v>216640</v>
      </c>
      <c r="O9" s="377">
        <f>IF(J9=0,"",N9/J9*100)</f>
        <v>94.45001525918822</v>
      </c>
    </row>
    <row r="10" spans="1:17" ht="12.95" customHeight="1">
      <c r="B10" s="10"/>
      <c r="C10" s="11"/>
      <c r="D10" s="11"/>
      <c r="E10" s="316"/>
      <c r="F10" s="336">
        <v>611200</v>
      </c>
      <c r="G10" s="362"/>
      <c r="H10" s="11" t="s">
        <v>175</v>
      </c>
      <c r="I10" s="739">
        <f>39350-11*21*16+9*21*15+1500+501</f>
        <v>40490</v>
      </c>
      <c r="J10" s="235">
        <f>39350-11*21*16+9*21*15+1500+501</f>
        <v>40490</v>
      </c>
      <c r="K10" s="741">
        <v>7078</v>
      </c>
      <c r="L10" s="579">
        <f>35580+1000+1580</f>
        <v>38160</v>
      </c>
      <c r="M10" s="235">
        <v>0</v>
      </c>
      <c r="N10" s="724">
        <f t="shared" ref="N10:N11" si="1">SUM(L10:M10)</f>
        <v>38160</v>
      </c>
      <c r="O10" s="377">
        <f t="shared" ref="O10:O40" si="2">IF(J10=0,"",N10/J10*100)</f>
        <v>94.245492714250432</v>
      </c>
    </row>
    <row r="11" spans="1:17" ht="12.95" customHeight="1">
      <c r="B11" s="10"/>
      <c r="C11" s="11"/>
      <c r="D11" s="11"/>
      <c r="E11" s="316"/>
      <c r="F11" s="336">
        <v>611200</v>
      </c>
      <c r="G11" s="362"/>
      <c r="H11" s="210" t="s">
        <v>464</v>
      </c>
      <c r="I11" s="739">
        <v>0</v>
      </c>
      <c r="J11" s="235">
        <v>0</v>
      </c>
      <c r="K11" s="741">
        <v>0</v>
      </c>
      <c r="L11" s="579">
        <v>0</v>
      </c>
      <c r="M11" s="235">
        <v>0</v>
      </c>
      <c r="N11" s="724">
        <f t="shared" si="1"/>
        <v>0</v>
      </c>
      <c r="O11" s="377" t="str">
        <f t="shared" si="2"/>
        <v/>
      </c>
      <c r="Q11" s="62"/>
    </row>
    <row r="12" spans="1:17" ht="12.95" customHeight="1">
      <c r="B12" s="10"/>
      <c r="C12" s="11"/>
      <c r="D12" s="11"/>
      <c r="E12" s="316"/>
      <c r="F12" s="336"/>
      <c r="G12" s="362"/>
      <c r="H12" s="20"/>
      <c r="I12" s="739"/>
      <c r="J12" s="235"/>
      <c r="K12" s="741"/>
      <c r="L12" s="579"/>
      <c r="M12" s="235"/>
      <c r="N12" s="724"/>
      <c r="O12" s="377" t="str">
        <f t="shared" si="2"/>
        <v/>
      </c>
    </row>
    <row r="13" spans="1:17" s="1" customFormat="1" ht="12.95" customHeight="1">
      <c r="A13" s="311"/>
      <c r="B13" s="12"/>
      <c r="C13" s="8"/>
      <c r="D13" s="8"/>
      <c r="E13" s="8"/>
      <c r="F13" s="335">
        <v>612000</v>
      </c>
      <c r="G13" s="361"/>
      <c r="H13" s="8" t="s">
        <v>145</v>
      </c>
      <c r="I13" s="738">
        <f t="shared" ref="I13:N13" si="3">I14</f>
        <v>24680</v>
      </c>
      <c r="J13" s="236">
        <f t="shared" si="3"/>
        <v>24680</v>
      </c>
      <c r="K13" s="744">
        <f t="shared" si="3"/>
        <v>5502</v>
      </c>
      <c r="L13" s="578">
        <f t="shared" si="3"/>
        <v>23690</v>
      </c>
      <c r="M13" s="236">
        <f t="shared" si="3"/>
        <v>0</v>
      </c>
      <c r="N13" s="723">
        <f t="shared" si="3"/>
        <v>23690</v>
      </c>
      <c r="O13" s="376">
        <f t="shared" si="2"/>
        <v>95.988654781199358</v>
      </c>
    </row>
    <row r="14" spans="1:17" ht="12.95" customHeight="1">
      <c r="B14" s="10"/>
      <c r="C14" s="11"/>
      <c r="D14" s="11"/>
      <c r="E14" s="316"/>
      <c r="F14" s="336">
        <v>612100</v>
      </c>
      <c r="G14" s="362"/>
      <c r="H14" s="13" t="s">
        <v>82</v>
      </c>
      <c r="I14" s="739">
        <f>23420-12*120+9*130+390+250+300+590</f>
        <v>24680</v>
      </c>
      <c r="J14" s="235">
        <f>23420-12*120+9*130+390+250+300+590</f>
        <v>24680</v>
      </c>
      <c r="K14" s="741">
        <v>5502</v>
      </c>
      <c r="L14" s="579">
        <f>22240+800+5*130</f>
        <v>23690</v>
      </c>
      <c r="M14" s="235">
        <v>0</v>
      </c>
      <c r="N14" s="724">
        <f>SUM(L14:M14)</f>
        <v>23690</v>
      </c>
      <c r="O14" s="377">
        <f t="shared" si="2"/>
        <v>95.988654781199358</v>
      </c>
    </row>
    <row r="15" spans="1:17" ht="12.95" customHeight="1">
      <c r="B15" s="10"/>
      <c r="C15" s="11"/>
      <c r="D15" s="11"/>
      <c r="E15" s="316"/>
      <c r="F15" s="336"/>
      <c r="G15" s="362"/>
      <c r="H15" s="11"/>
      <c r="I15" s="586"/>
      <c r="J15" s="309"/>
      <c r="K15" s="791"/>
      <c r="L15" s="580"/>
      <c r="M15" s="309"/>
      <c r="N15" s="725"/>
      <c r="O15" s="377" t="str">
        <f t="shared" si="2"/>
        <v/>
      </c>
    </row>
    <row r="16" spans="1:17" s="1" customFormat="1" ht="12.95" customHeight="1">
      <c r="A16" s="311"/>
      <c r="B16" s="12"/>
      <c r="C16" s="8"/>
      <c r="D16" s="8"/>
      <c r="E16" s="8"/>
      <c r="F16" s="335">
        <v>613000</v>
      </c>
      <c r="G16" s="361"/>
      <c r="H16" s="8" t="s">
        <v>147</v>
      </c>
      <c r="I16" s="778">
        <f t="shared" ref="I16:N16" si="4">SUM(I17:I26)</f>
        <v>75100</v>
      </c>
      <c r="J16" s="323">
        <f t="shared" si="4"/>
        <v>75100</v>
      </c>
      <c r="K16" s="783">
        <f t="shared" si="4"/>
        <v>10363</v>
      </c>
      <c r="L16" s="581">
        <f t="shared" si="4"/>
        <v>59400</v>
      </c>
      <c r="M16" s="323">
        <f t="shared" si="4"/>
        <v>0</v>
      </c>
      <c r="N16" s="726">
        <f t="shared" si="4"/>
        <v>59400</v>
      </c>
      <c r="O16" s="376">
        <f t="shared" si="2"/>
        <v>79.094540612516639</v>
      </c>
      <c r="Q16" s="64"/>
    </row>
    <row r="17" spans="1:15" ht="12.95" customHeight="1">
      <c r="B17" s="10"/>
      <c r="C17" s="11"/>
      <c r="D17" s="11"/>
      <c r="E17" s="316"/>
      <c r="F17" s="336">
        <v>613100</v>
      </c>
      <c r="G17" s="362"/>
      <c r="H17" s="11" t="s">
        <v>83</v>
      </c>
      <c r="I17" s="791">
        <v>3500</v>
      </c>
      <c r="J17" s="393">
        <v>3500</v>
      </c>
      <c r="K17" s="791">
        <v>258</v>
      </c>
      <c r="L17" s="568">
        <f>3500*80%</f>
        <v>2800</v>
      </c>
      <c r="M17" s="393">
        <v>0</v>
      </c>
      <c r="N17" s="724">
        <f t="shared" ref="N17:N26" si="5">SUM(L17:M17)</f>
        <v>2800</v>
      </c>
      <c r="O17" s="377">
        <f t="shared" si="2"/>
        <v>80</v>
      </c>
    </row>
    <row r="18" spans="1:15" ht="12.95" customHeight="1">
      <c r="B18" s="10"/>
      <c r="C18" s="11"/>
      <c r="D18" s="11"/>
      <c r="E18" s="316"/>
      <c r="F18" s="336">
        <v>613200</v>
      </c>
      <c r="G18" s="362"/>
      <c r="H18" s="11" t="s">
        <v>84</v>
      </c>
      <c r="I18" s="791">
        <v>0</v>
      </c>
      <c r="J18" s="393">
        <v>0</v>
      </c>
      <c r="K18" s="791">
        <v>0</v>
      </c>
      <c r="L18" s="568">
        <v>0</v>
      </c>
      <c r="M18" s="393">
        <v>0</v>
      </c>
      <c r="N18" s="724">
        <f t="shared" si="5"/>
        <v>0</v>
      </c>
      <c r="O18" s="377" t="str">
        <f t="shared" si="2"/>
        <v/>
      </c>
    </row>
    <row r="19" spans="1:15" ht="12.95" customHeight="1">
      <c r="B19" s="10"/>
      <c r="C19" s="11"/>
      <c r="D19" s="11"/>
      <c r="E19" s="316"/>
      <c r="F19" s="336">
        <v>613300</v>
      </c>
      <c r="G19" s="362"/>
      <c r="H19" s="20" t="s">
        <v>176</v>
      </c>
      <c r="I19" s="791">
        <v>16000</v>
      </c>
      <c r="J19" s="393">
        <v>16000</v>
      </c>
      <c r="K19" s="791">
        <v>3768</v>
      </c>
      <c r="L19" s="568">
        <v>16000</v>
      </c>
      <c r="M19" s="393">
        <v>0</v>
      </c>
      <c r="N19" s="724">
        <f t="shared" si="5"/>
        <v>16000</v>
      </c>
      <c r="O19" s="377">
        <f t="shared" si="2"/>
        <v>100</v>
      </c>
    </row>
    <row r="20" spans="1:15" ht="12.95" customHeight="1">
      <c r="B20" s="10"/>
      <c r="C20" s="11"/>
      <c r="D20" s="11"/>
      <c r="E20" s="316"/>
      <c r="F20" s="336">
        <v>613400</v>
      </c>
      <c r="G20" s="362"/>
      <c r="H20" s="11" t="s">
        <v>148</v>
      </c>
      <c r="I20" s="741">
        <v>300</v>
      </c>
      <c r="J20" s="396">
        <v>300</v>
      </c>
      <c r="K20" s="741">
        <v>0</v>
      </c>
      <c r="L20" s="568">
        <v>300</v>
      </c>
      <c r="M20" s="396">
        <v>0</v>
      </c>
      <c r="N20" s="724">
        <f t="shared" si="5"/>
        <v>300</v>
      </c>
      <c r="O20" s="377">
        <f t="shared" si="2"/>
        <v>100</v>
      </c>
    </row>
    <row r="21" spans="1:15" ht="12.95" customHeight="1">
      <c r="B21" s="10"/>
      <c r="C21" s="11"/>
      <c r="D21" s="11"/>
      <c r="E21" s="316"/>
      <c r="F21" s="336">
        <v>613500</v>
      </c>
      <c r="G21" s="362"/>
      <c r="H21" s="11" t="s">
        <v>85</v>
      </c>
      <c r="I21" s="741">
        <v>0</v>
      </c>
      <c r="J21" s="396">
        <v>0</v>
      </c>
      <c r="K21" s="741">
        <v>0</v>
      </c>
      <c r="L21" s="568">
        <v>0</v>
      </c>
      <c r="M21" s="396">
        <v>0</v>
      </c>
      <c r="N21" s="724">
        <f t="shared" si="5"/>
        <v>0</v>
      </c>
      <c r="O21" s="377" t="str">
        <f t="shared" si="2"/>
        <v/>
      </c>
    </row>
    <row r="22" spans="1:15" ht="12.95" customHeight="1">
      <c r="B22" s="10"/>
      <c r="C22" s="11"/>
      <c r="D22" s="11"/>
      <c r="E22" s="316"/>
      <c r="F22" s="336">
        <v>613600</v>
      </c>
      <c r="G22" s="362"/>
      <c r="H22" s="20" t="s">
        <v>177</v>
      </c>
      <c r="I22" s="741">
        <v>0</v>
      </c>
      <c r="J22" s="396">
        <v>0</v>
      </c>
      <c r="K22" s="741">
        <v>0</v>
      </c>
      <c r="L22" s="568">
        <v>0</v>
      </c>
      <c r="M22" s="396">
        <v>0</v>
      </c>
      <c r="N22" s="724">
        <f t="shared" si="5"/>
        <v>0</v>
      </c>
      <c r="O22" s="377" t="str">
        <f t="shared" si="2"/>
        <v/>
      </c>
    </row>
    <row r="23" spans="1:15" ht="12.95" customHeight="1">
      <c r="B23" s="10"/>
      <c r="C23" s="11"/>
      <c r="D23" s="11"/>
      <c r="E23" s="316"/>
      <c r="F23" s="336">
        <v>613700</v>
      </c>
      <c r="G23" s="362"/>
      <c r="H23" s="11" t="s">
        <v>86</v>
      </c>
      <c r="I23" s="741">
        <v>300</v>
      </c>
      <c r="J23" s="396">
        <v>300</v>
      </c>
      <c r="K23" s="741">
        <v>12</v>
      </c>
      <c r="L23" s="568">
        <v>300</v>
      </c>
      <c r="M23" s="396">
        <v>0</v>
      </c>
      <c r="N23" s="724">
        <f t="shared" si="5"/>
        <v>300</v>
      </c>
      <c r="O23" s="377">
        <f t="shared" si="2"/>
        <v>100</v>
      </c>
    </row>
    <row r="24" spans="1:15" ht="12.95" customHeight="1">
      <c r="B24" s="10"/>
      <c r="C24" s="11"/>
      <c r="D24" s="11"/>
      <c r="E24" s="316"/>
      <c r="F24" s="336">
        <v>613800</v>
      </c>
      <c r="G24" s="362"/>
      <c r="H24" s="11" t="s">
        <v>149</v>
      </c>
      <c r="I24" s="741">
        <v>0</v>
      </c>
      <c r="J24" s="396">
        <v>0</v>
      </c>
      <c r="K24" s="741">
        <v>0</v>
      </c>
      <c r="L24" s="568">
        <v>0</v>
      </c>
      <c r="M24" s="396">
        <v>0</v>
      </c>
      <c r="N24" s="724">
        <f t="shared" si="5"/>
        <v>0</v>
      </c>
      <c r="O24" s="377" t="str">
        <f t="shared" si="2"/>
        <v/>
      </c>
    </row>
    <row r="25" spans="1:15" ht="12.95" customHeight="1">
      <c r="B25" s="10"/>
      <c r="C25" s="11"/>
      <c r="D25" s="11"/>
      <c r="E25" s="316"/>
      <c r="F25" s="336">
        <v>613900</v>
      </c>
      <c r="G25" s="362"/>
      <c r="H25" s="11" t="s">
        <v>150</v>
      </c>
      <c r="I25" s="742">
        <v>55000</v>
      </c>
      <c r="J25" s="397">
        <v>55000</v>
      </c>
      <c r="K25" s="742">
        <v>6325</v>
      </c>
      <c r="L25" s="571">
        <v>40000</v>
      </c>
      <c r="M25" s="397">
        <v>0</v>
      </c>
      <c r="N25" s="724">
        <f t="shared" si="5"/>
        <v>40000</v>
      </c>
      <c r="O25" s="377">
        <f t="shared" si="2"/>
        <v>72.727272727272734</v>
      </c>
    </row>
    <row r="26" spans="1:15" ht="12.95" customHeight="1">
      <c r="B26" s="10"/>
      <c r="C26" s="11"/>
      <c r="D26" s="11"/>
      <c r="E26" s="316"/>
      <c r="F26" s="336">
        <v>613900</v>
      </c>
      <c r="G26" s="362"/>
      <c r="H26" s="210" t="s">
        <v>465</v>
      </c>
      <c r="I26" s="741">
        <v>0</v>
      </c>
      <c r="J26" s="396">
        <v>0</v>
      </c>
      <c r="K26" s="741">
        <v>0</v>
      </c>
      <c r="L26" s="568">
        <v>0</v>
      </c>
      <c r="M26" s="396">
        <v>0</v>
      </c>
      <c r="N26" s="724">
        <f t="shared" si="5"/>
        <v>0</v>
      </c>
      <c r="O26" s="377" t="str">
        <f t="shared" si="2"/>
        <v/>
      </c>
    </row>
    <row r="27" spans="1:15" ht="12.95" customHeight="1">
      <c r="B27" s="10"/>
      <c r="C27" s="11"/>
      <c r="D27" s="11"/>
      <c r="E27" s="316"/>
      <c r="F27" s="336"/>
      <c r="G27" s="362"/>
      <c r="H27" s="11"/>
      <c r="I27" s="632"/>
      <c r="J27" s="325"/>
      <c r="K27" s="744"/>
      <c r="L27" s="588"/>
      <c r="M27" s="325"/>
      <c r="N27" s="726"/>
      <c r="O27" s="377" t="str">
        <f t="shared" si="2"/>
        <v/>
      </c>
    </row>
    <row r="28" spans="1:15" s="1" customFormat="1" ht="12.95" customHeight="1">
      <c r="A28" s="311"/>
      <c r="B28" s="12"/>
      <c r="C28" s="8"/>
      <c r="D28" s="8"/>
      <c r="E28" s="8"/>
      <c r="F28" s="335">
        <v>614000</v>
      </c>
      <c r="G28" s="361"/>
      <c r="H28" s="8" t="s">
        <v>178</v>
      </c>
      <c r="I28" s="632">
        <f t="shared" ref="I28:J28" si="6">SUM(I29:I31)</f>
        <v>4130000</v>
      </c>
      <c r="J28" s="325">
        <f t="shared" si="6"/>
        <v>4130000</v>
      </c>
      <c r="K28" s="744">
        <f t="shared" ref="K28:L28" si="7">SUM(K29:K31)</f>
        <v>585604</v>
      </c>
      <c r="L28" s="588">
        <f t="shared" si="7"/>
        <v>3677500</v>
      </c>
      <c r="M28" s="325">
        <f t="shared" ref="M28" si="8">SUM(M29:M31)</f>
        <v>502500</v>
      </c>
      <c r="N28" s="726">
        <f t="shared" ref="N28" si="9">SUM(N29:N31)</f>
        <v>4180000</v>
      </c>
      <c r="O28" s="376">
        <f t="shared" si="2"/>
        <v>101.21065375302662</v>
      </c>
    </row>
    <row r="29" spans="1:15" ht="12.95" customHeight="1">
      <c r="B29" s="10"/>
      <c r="C29" s="11"/>
      <c r="D29" s="24"/>
      <c r="E29" s="24"/>
      <c r="F29" s="336">
        <v>614100</v>
      </c>
      <c r="G29" s="362" t="s">
        <v>577</v>
      </c>
      <c r="H29" s="544" t="s">
        <v>682</v>
      </c>
      <c r="I29" s="631">
        <v>450000</v>
      </c>
      <c r="J29" s="326">
        <v>450000</v>
      </c>
      <c r="K29" s="742">
        <v>0</v>
      </c>
      <c r="L29" s="622">
        <v>450000</v>
      </c>
      <c r="M29" s="326">
        <v>250000</v>
      </c>
      <c r="N29" s="724">
        <f t="shared" ref="N29:N31" si="10">SUM(L29:M29)</f>
        <v>700000</v>
      </c>
      <c r="O29" s="377">
        <f t="shared" si="2"/>
        <v>155.55555555555557</v>
      </c>
    </row>
    <row r="30" spans="1:15" s="314" customFormat="1" ht="12.95" customHeight="1">
      <c r="B30" s="315"/>
      <c r="C30" s="316"/>
      <c r="D30" s="316"/>
      <c r="E30" s="316"/>
      <c r="F30" s="336">
        <v>614200</v>
      </c>
      <c r="G30" s="365" t="s">
        <v>688</v>
      </c>
      <c r="H30" s="320" t="s">
        <v>596</v>
      </c>
      <c r="I30" s="631">
        <v>60000</v>
      </c>
      <c r="J30" s="326">
        <v>60000</v>
      </c>
      <c r="K30" s="742">
        <v>14250</v>
      </c>
      <c r="L30" s="622">
        <v>60000</v>
      </c>
      <c r="M30" s="326">
        <v>0</v>
      </c>
      <c r="N30" s="724">
        <f t="shared" si="10"/>
        <v>60000</v>
      </c>
      <c r="O30" s="377"/>
    </row>
    <row r="31" spans="1:15" s="314" customFormat="1" ht="12.95" customHeight="1">
      <c r="B31" s="315"/>
      <c r="C31" s="316"/>
      <c r="D31" s="316"/>
      <c r="E31" s="316"/>
      <c r="F31" s="336">
        <v>614200</v>
      </c>
      <c r="G31" s="365" t="s">
        <v>689</v>
      </c>
      <c r="H31" s="320" t="s">
        <v>597</v>
      </c>
      <c r="I31" s="631">
        <v>3620000</v>
      </c>
      <c r="J31" s="326">
        <v>3620000</v>
      </c>
      <c r="K31" s="742">
        <v>571354</v>
      </c>
      <c r="L31" s="622">
        <f>3420000-252500</f>
        <v>3167500</v>
      </c>
      <c r="M31" s="326">
        <v>252500</v>
      </c>
      <c r="N31" s="724">
        <f t="shared" si="10"/>
        <v>3420000</v>
      </c>
      <c r="O31" s="377"/>
    </row>
    <row r="32" spans="1:15" ht="12.95" customHeight="1">
      <c r="B32" s="10"/>
      <c r="C32" s="11"/>
      <c r="D32" s="11"/>
      <c r="E32" s="316"/>
      <c r="F32" s="336"/>
      <c r="G32" s="362"/>
      <c r="H32" s="11"/>
      <c r="I32" s="740"/>
      <c r="J32" s="310"/>
      <c r="K32" s="741"/>
      <c r="L32" s="583"/>
      <c r="M32" s="310"/>
      <c r="N32" s="725"/>
      <c r="O32" s="377" t="str">
        <f t="shared" si="2"/>
        <v/>
      </c>
    </row>
    <row r="33" spans="1:16" ht="12.95" customHeight="1">
      <c r="B33" s="12"/>
      <c r="C33" s="8"/>
      <c r="D33" s="8"/>
      <c r="E33" s="8"/>
      <c r="F33" s="335">
        <v>821000</v>
      </c>
      <c r="G33" s="361"/>
      <c r="H33" s="8" t="s">
        <v>89</v>
      </c>
      <c r="I33" s="632">
        <f t="shared" ref="I33:N33" si="11">I34+I35</f>
        <v>1500</v>
      </c>
      <c r="J33" s="325">
        <f t="shared" si="11"/>
        <v>1500</v>
      </c>
      <c r="K33" s="744">
        <f t="shared" si="11"/>
        <v>0</v>
      </c>
      <c r="L33" s="588">
        <f t="shared" si="11"/>
        <v>1500</v>
      </c>
      <c r="M33" s="325">
        <f t="shared" si="11"/>
        <v>0</v>
      </c>
      <c r="N33" s="726">
        <f t="shared" si="11"/>
        <v>1500</v>
      </c>
      <c r="O33" s="376">
        <f t="shared" si="2"/>
        <v>100</v>
      </c>
    </row>
    <row r="34" spans="1:16" s="1" customFormat="1" ht="12.95" customHeight="1">
      <c r="A34" s="311"/>
      <c r="B34" s="10"/>
      <c r="C34" s="11"/>
      <c r="D34" s="11"/>
      <c r="E34" s="316"/>
      <c r="F34" s="336">
        <v>821200</v>
      </c>
      <c r="G34" s="362"/>
      <c r="H34" s="11" t="s">
        <v>90</v>
      </c>
      <c r="I34" s="740">
        <v>0</v>
      </c>
      <c r="J34" s="310">
        <v>0</v>
      </c>
      <c r="K34" s="741">
        <v>0</v>
      </c>
      <c r="L34" s="583">
        <v>0</v>
      </c>
      <c r="M34" s="310">
        <v>0</v>
      </c>
      <c r="N34" s="724">
        <f t="shared" ref="N34:N35" si="12">SUM(L34:M34)</f>
        <v>0</v>
      </c>
      <c r="O34" s="377" t="str">
        <f t="shared" si="2"/>
        <v/>
      </c>
      <c r="P34" s="1" t="s">
        <v>151</v>
      </c>
    </row>
    <row r="35" spans="1:16" ht="12.95" customHeight="1">
      <c r="B35" s="10"/>
      <c r="C35" s="11"/>
      <c r="D35" s="11"/>
      <c r="E35" s="316"/>
      <c r="F35" s="336">
        <v>821300</v>
      </c>
      <c r="G35" s="362"/>
      <c r="H35" s="11" t="s">
        <v>91</v>
      </c>
      <c r="I35" s="740">
        <v>1500</v>
      </c>
      <c r="J35" s="310">
        <v>1500</v>
      </c>
      <c r="K35" s="741">
        <v>0</v>
      </c>
      <c r="L35" s="583">
        <v>1500</v>
      </c>
      <c r="M35" s="310">
        <v>0</v>
      </c>
      <c r="N35" s="724">
        <f t="shared" si="12"/>
        <v>1500</v>
      </c>
      <c r="O35" s="377">
        <f t="shared" si="2"/>
        <v>100</v>
      </c>
    </row>
    <row r="36" spans="1:16" ht="12.95" customHeight="1">
      <c r="B36" s="10"/>
      <c r="C36" s="11"/>
      <c r="D36" s="11"/>
      <c r="E36" s="316"/>
      <c r="F36" s="336"/>
      <c r="G36" s="362"/>
      <c r="H36" s="11"/>
      <c r="I36" s="740"/>
      <c r="J36" s="310"/>
      <c r="K36" s="741"/>
      <c r="L36" s="583"/>
      <c r="M36" s="310"/>
      <c r="N36" s="725"/>
      <c r="O36" s="377" t="str">
        <f t="shared" si="2"/>
        <v/>
      </c>
    </row>
    <row r="37" spans="1:16" ht="12.95" customHeight="1">
      <c r="B37" s="12"/>
      <c r="C37" s="8"/>
      <c r="D37" s="8"/>
      <c r="E37" s="8"/>
      <c r="F37" s="335"/>
      <c r="G37" s="361"/>
      <c r="H37" s="8" t="s">
        <v>92</v>
      </c>
      <c r="I37" s="743" t="s">
        <v>787</v>
      </c>
      <c r="J37" s="327" t="s">
        <v>787</v>
      </c>
      <c r="K37" s="746">
        <v>9</v>
      </c>
      <c r="L37" s="584" t="s">
        <v>787</v>
      </c>
      <c r="M37" s="327"/>
      <c r="N37" s="727" t="s">
        <v>787</v>
      </c>
      <c r="O37" s="377"/>
    </row>
    <row r="38" spans="1:16" s="1" customFormat="1" ht="12.95" customHeight="1">
      <c r="A38" s="311"/>
      <c r="B38" s="12"/>
      <c r="C38" s="8"/>
      <c r="D38" s="8"/>
      <c r="E38" s="8"/>
      <c r="F38" s="335"/>
      <c r="G38" s="361"/>
      <c r="H38" s="8" t="s">
        <v>110</v>
      </c>
      <c r="I38" s="575">
        <f t="shared" ref="I38:N38" si="13">I8+I13+I16+I28+I33</f>
        <v>4501140</v>
      </c>
      <c r="J38" s="318">
        <f t="shared" si="13"/>
        <v>4501140</v>
      </c>
      <c r="K38" s="575">
        <f t="shared" si="13"/>
        <v>660702</v>
      </c>
      <c r="L38" s="582">
        <f t="shared" si="13"/>
        <v>4016890</v>
      </c>
      <c r="M38" s="318">
        <f t="shared" si="13"/>
        <v>502500</v>
      </c>
      <c r="N38" s="726">
        <f t="shared" si="13"/>
        <v>4519390</v>
      </c>
      <c r="O38" s="376">
        <f t="shared" si="2"/>
        <v>100.40545284083589</v>
      </c>
    </row>
    <row r="39" spans="1:16" s="1" customFormat="1" ht="12.95" customHeight="1">
      <c r="A39" s="311"/>
      <c r="B39" s="12"/>
      <c r="C39" s="8"/>
      <c r="D39" s="8"/>
      <c r="E39" s="8"/>
      <c r="F39" s="335"/>
      <c r="G39" s="361"/>
      <c r="H39" s="8" t="s">
        <v>93</v>
      </c>
      <c r="I39" s="15">
        <f>I38</f>
        <v>4501140</v>
      </c>
      <c r="J39" s="15">
        <f>J38</f>
        <v>4501140</v>
      </c>
      <c r="K39" s="575">
        <f t="shared" ref="K39" si="14">K38</f>
        <v>660702</v>
      </c>
      <c r="L39" s="582">
        <f t="shared" ref="L39:N40" si="15">L38</f>
        <v>4016890</v>
      </c>
      <c r="M39" s="318">
        <f t="shared" si="15"/>
        <v>502500</v>
      </c>
      <c r="N39" s="726">
        <f t="shared" si="15"/>
        <v>4519390</v>
      </c>
      <c r="O39" s="376">
        <f t="shared" si="2"/>
        <v>100.40545284083589</v>
      </c>
    </row>
    <row r="40" spans="1:16" s="1" customFormat="1" ht="12.95" customHeight="1">
      <c r="A40" s="311"/>
      <c r="B40" s="12"/>
      <c r="C40" s="8"/>
      <c r="D40" s="8"/>
      <c r="E40" s="8"/>
      <c r="F40" s="335"/>
      <c r="G40" s="361"/>
      <c r="H40" s="8" t="s">
        <v>94</v>
      </c>
      <c r="I40" s="15">
        <f>I39</f>
        <v>4501140</v>
      </c>
      <c r="J40" s="15">
        <f>J39</f>
        <v>4501140</v>
      </c>
      <c r="K40" s="575">
        <f t="shared" ref="K40" si="16">K39</f>
        <v>660702</v>
      </c>
      <c r="L40" s="582">
        <f t="shared" si="15"/>
        <v>4016890</v>
      </c>
      <c r="M40" s="318">
        <f t="shared" si="15"/>
        <v>502500</v>
      </c>
      <c r="N40" s="726">
        <f t="shared" si="15"/>
        <v>4519390</v>
      </c>
      <c r="O40" s="376">
        <f t="shared" si="2"/>
        <v>100.40545284083589</v>
      </c>
    </row>
    <row r="41" spans="1:16" s="1" customFormat="1" ht="12.95" customHeight="1" thickBot="1">
      <c r="A41" s="311"/>
      <c r="B41" s="16"/>
      <c r="C41" s="17"/>
      <c r="D41" s="17"/>
      <c r="E41" s="17"/>
      <c r="F41" s="337"/>
      <c r="G41" s="363"/>
      <c r="H41" s="17"/>
      <c r="I41" s="17"/>
      <c r="J41" s="17"/>
      <c r="K41" s="27"/>
      <c r="L41" s="16"/>
      <c r="M41" s="17"/>
      <c r="N41" s="735"/>
      <c r="O41" s="379"/>
    </row>
    <row r="42" spans="1:16" ht="12.95" customHeight="1">
      <c r="F42" s="338"/>
      <c r="G42" s="364"/>
      <c r="N42" s="423"/>
    </row>
    <row r="43" spans="1:16" ht="12.95" customHeight="1">
      <c r="F43" s="338"/>
      <c r="G43" s="364"/>
      <c r="N43" s="423"/>
    </row>
    <row r="44" spans="1:16" ht="12.95" customHeight="1">
      <c r="B44" s="55"/>
      <c r="F44" s="338"/>
      <c r="G44" s="364"/>
      <c r="N44" s="423"/>
    </row>
    <row r="45" spans="1:16" ht="12.95" customHeight="1">
      <c r="B45" s="55"/>
      <c r="F45" s="338"/>
      <c r="G45" s="364"/>
      <c r="N45" s="423"/>
    </row>
    <row r="46" spans="1:16" ht="12.95" customHeight="1">
      <c r="B46" s="55"/>
      <c r="F46" s="338"/>
      <c r="G46" s="364"/>
      <c r="N46" s="423"/>
    </row>
    <row r="47" spans="1:16" ht="12.95" customHeight="1">
      <c r="B47" s="55"/>
      <c r="F47" s="338"/>
      <c r="G47" s="364"/>
      <c r="N47" s="423"/>
    </row>
    <row r="48" spans="1:16" ht="12.95" customHeight="1">
      <c r="B48" s="55"/>
      <c r="F48" s="338"/>
      <c r="G48" s="364"/>
      <c r="N48" s="423"/>
    </row>
    <row r="49" spans="6:14" ht="12.95" customHeight="1">
      <c r="F49" s="338"/>
      <c r="G49" s="364"/>
      <c r="N49" s="423"/>
    </row>
    <row r="50" spans="6:14" ht="12.95" customHeight="1">
      <c r="F50" s="338"/>
      <c r="G50" s="364"/>
      <c r="N50" s="423"/>
    </row>
    <row r="51" spans="6:14" ht="12.95" customHeight="1">
      <c r="F51" s="338"/>
      <c r="G51" s="364"/>
      <c r="N51" s="423"/>
    </row>
    <row r="52" spans="6:14" ht="12.95" customHeight="1">
      <c r="F52" s="338"/>
      <c r="G52" s="364"/>
      <c r="N52" s="423"/>
    </row>
    <row r="53" spans="6:14" ht="12.95" customHeight="1">
      <c r="F53" s="338"/>
      <c r="G53" s="364"/>
      <c r="N53" s="423"/>
    </row>
    <row r="54" spans="6:14" ht="12.95" customHeight="1">
      <c r="F54" s="338"/>
      <c r="G54" s="364"/>
      <c r="N54" s="423"/>
    </row>
    <row r="55" spans="6:14" ht="12.95" customHeight="1">
      <c r="F55" s="338"/>
      <c r="G55" s="364"/>
      <c r="N55" s="423"/>
    </row>
    <row r="56" spans="6:14" ht="12.95" customHeight="1">
      <c r="F56" s="338"/>
      <c r="G56" s="364"/>
      <c r="N56" s="423"/>
    </row>
    <row r="57" spans="6:14" ht="12.95" customHeight="1">
      <c r="F57" s="338"/>
      <c r="G57" s="364"/>
      <c r="N57" s="423"/>
    </row>
    <row r="58" spans="6:14" ht="12.95" customHeight="1">
      <c r="F58" s="338"/>
      <c r="G58" s="364"/>
      <c r="N58" s="423"/>
    </row>
    <row r="59" spans="6:14" ht="17.100000000000001" customHeight="1">
      <c r="F59" s="338"/>
      <c r="G59" s="364"/>
      <c r="N59" s="423"/>
    </row>
    <row r="60" spans="6:14" ht="17.100000000000001" customHeight="1">
      <c r="F60" s="338"/>
      <c r="G60" s="364"/>
      <c r="N60" s="423"/>
    </row>
    <row r="61" spans="6:14" ht="17.100000000000001" customHeight="1">
      <c r="F61" s="338"/>
      <c r="G61" s="364"/>
      <c r="N61" s="423"/>
    </row>
    <row r="62" spans="6:14" ht="14.25">
      <c r="F62" s="338"/>
      <c r="G62" s="364"/>
      <c r="N62" s="423"/>
    </row>
    <row r="63" spans="6:14" ht="14.25">
      <c r="F63" s="338"/>
      <c r="G63" s="364"/>
      <c r="N63" s="423"/>
    </row>
    <row r="64" spans="6:14" ht="14.25">
      <c r="F64" s="338"/>
      <c r="G64" s="364"/>
      <c r="N64" s="423"/>
    </row>
    <row r="65" spans="6:14" ht="14.25">
      <c r="F65" s="338"/>
      <c r="G65" s="364"/>
      <c r="N65" s="423"/>
    </row>
    <row r="66" spans="6:14" ht="14.25">
      <c r="F66" s="338"/>
      <c r="G66" s="364"/>
      <c r="N66" s="423"/>
    </row>
    <row r="67" spans="6:14" ht="14.25">
      <c r="F67" s="338"/>
      <c r="G67" s="364"/>
      <c r="N67" s="423"/>
    </row>
    <row r="68" spans="6:14" ht="14.25">
      <c r="F68" s="338"/>
      <c r="G68" s="364"/>
      <c r="N68" s="423"/>
    </row>
    <row r="69" spans="6:14" ht="14.25">
      <c r="F69" s="338"/>
      <c r="G69" s="364"/>
      <c r="N69" s="423"/>
    </row>
    <row r="70" spans="6:14" ht="14.25">
      <c r="F70" s="338"/>
      <c r="G70" s="364"/>
      <c r="N70" s="423"/>
    </row>
    <row r="71" spans="6:14" ht="14.25">
      <c r="F71" s="338"/>
      <c r="G71" s="364"/>
      <c r="N71" s="423"/>
    </row>
    <row r="72" spans="6:14" ht="14.25">
      <c r="F72" s="338"/>
      <c r="G72" s="364"/>
      <c r="N72" s="423"/>
    </row>
    <row r="73" spans="6:14" ht="14.25">
      <c r="F73" s="338"/>
      <c r="G73" s="338"/>
      <c r="N73" s="423"/>
    </row>
    <row r="74" spans="6:14" ht="14.25">
      <c r="F74" s="338"/>
      <c r="G74" s="338"/>
      <c r="N74" s="423"/>
    </row>
    <row r="75" spans="6:14" ht="14.25">
      <c r="F75" s="338"/>
      <c r="G75" s="338"/>
      <c r="N75" s="423"/>
    </row>
    <row r="76" spans="6:14" ht="14.25">
      <c r="F76" s="338"/>
      <c r="G76" s="338"/>
      <c r="N76" s="423"/>
    </row>
    <row r="77" spans="6:14" ht="14.25">
      <c r="F77" s="338"/>
      <c r="G77" s="338"/>
      <c r="N77" s="423"/>
    </row>
    <row r="78" spans="6:14" ht="14.25">
      <c r="F78" s="338"/>
      <c r="G78" s="338"/>
      <c r="N78" s="423"/>
    </row>
    <row r="79" spans="6:14" ht="14.25">
      <c r="F79" s="338"/>
      <c r="G79" s="338"/>
      <c r="N79" s="423"/>
    </row>
    <row r="80" spans="6:14" ht="14.25">
      <c r="F80" s="338"/>
      <c r="G80" s="338"/>
      <c r="N80" s="423"/>
    </row>
    <row r="81" spans="6:14" ht="14.25">
      <c r="F81" s="338"/>
      <c r="G81" s="338"/>
      <c r="N81" s="423"/>
    </row>
    <row r="82" spans="6:14" ht="14.25">
      <c r="F82" s="338"/>
      <c r="G82" s="338"/>
      <c r="N82" s="423"/>
    </row>
    <row r="83" spans="6:14" ht="14.25">
      <c r="F83" s="338"/>
      <c r="G83" s="338"/>
      <c r="N83" s="423"/>
    </row>
    <row r="84" spans="6:14" ht="14.25">
      <c r="F84" s="338"/>
      <c r="G84" s="338"/>
      <c r="N84" s="423"/>
    </row>
    <row r="85" spans="6:14" ht="14.25">
      <c r="F85" s="338"/>
      <c r="G85" s="338"/>
      <c r="N85" s="423"/>
    </row>
    <row r="86" spans="6:14" ht="14.25">
      <c r="F86" s="338"/>
      <c r="G86" s="338"/>
      <c r="N86" s="423"/>
    </row>
    <row r="87" spans="6:14" ht="14.25">
      <c r="F87" s="338"/>
      <c r="G87" s="338"/>
      <c r="N87" s="423"/>
    </row>
    <row r="88" spans="6:14" ht="14.25">
      <c r="F88" s="338"/>
      <c r="G88" s="338"/>
      <c r="N88" s="423"/>
    </row>
    <row r="89" spans="6:14" ht="14.25">
      <c r="F89" s="338"/>
      <c r="G89" s="338"/>
      <c r="N89" s="423"/>
    </row>
    <row r="90" spans="6:14">
      <c r="G90" s="338"/>
    </row>
    <row r="91" spans="6:14">
      <c r="G91" s="338"/>
    </row>
    <row r="92" spans="6:14">
      <c r="G92" s="338"/>
    </row>
    <row r="93" spans="6:14">
      <c r="G93" s="338"/>
    </row>
    <row r="94" spans="6:14">
      <c r="G94" s="338"/>
    </row>
    <row r="95" spans="6:14">
      <c r="G95" s="338"/>
    </row>
  </sheetData>
  <mergeCells count="14">
    <mergeCell ref="O4:O5"/>
    <mergeCell ref="H4:H5"/>
    <mergeCell ref="B2:N2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K4:K5"/>
    <mergeCell ref="E4:E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1"/>
  <dimension ref="A1:Q98"/>
  <sheetViews>
    <sheetView zoomScaleNormal="100" zoomScaleSheetLayoutView="100" workbookViewId="0">
      <selection activeCell="T38" sqref="T38"/>
    </sheetView>
  </sheetViews>
  <sheetFormatPr defaultRowHeight="12.75"/>
  <cols>
    <col min="1" max="1" width="9.140625" style="314"/>
    <col min="2" max="2" width="4.7109375" style="9" customWidth="1"/>
    <col min="3" max="3" width="5.140625" style="9" customWidth="1"/>
    <col min="4" max="4" width="5" style="9" customWidth="1"/>
    <col min="5" max="5" width="5" style="314" customWidth="1"/>
    <col min="6" max="6" width="8.7109375" style="18" customWidth="1"/>
    <col min="7" max="7" width="8.7109375" style="319" customWidth="1"/>
    <col min="8" max="8" width="50.7109375" style="9" customWidth="1"/>
    <col min="9" max="13" width="14.7109375" style="63" customWidth="1"/>
    <col min="14" max="14" width="15.7109375" style="63" customWidth="1"/>
    <col min="15" max="15" width="7.7109375" style="380" customWidth="1"/>
    <col min="16" max="16384" width="9.140625" style="9"/>
  </cols>
  <sheetData>
    <row r="1" spans="1:17" ht="13.5" thickBot="1"/>
    <row r="2" spans="1:17" s="113" customFormat="1" ht="20.100000000000001" customHeight="1" thickTop="1" thickBot="1">
      <c r="A2" s="408"/>
      <c r="B2" s="887" t="s">
        <v>759</v>
      </c>
      <c r="C2" s="888"/>
      <c r="D2" s="888"/>
      <c r="E2" s="888"/>
      <c r="F2" s="888"/>
      <c r="G2" s="888"/>
      <c r="H2" s="888"/>
      <c r="I2" s="888"/>
      <c r="J2" s="409"/>
      <c r="K2" s="409"/>
      <c r="L2" s="410"/>
      <c r="M2" s="410"/>
      <c r="N2" s="410"/>
      <c r="O2" s="413"/>
      <c r="Q2" s="408"/>
    </row>
    <row r="3" spans="1:17" s="1" customFormat="1" ht="8.1" customHeight="1" thickTop="1" thickBot="1">
      <c r="A3" s="311"/>
      <c r="E3" s="311"/>
      <c r="F3" s="2"/>
      <c r="G3" s="312"/>
      <c r="H3" s="890"/>
      <c r="I3" s="890"/>
      <c r="J3" s="282"/>
      <c r="K3" s="282"/>
      <c r="L3" s="107"/>
      <c r="M3" s="107"/>
      <c r="N3" s="107"/>
      <c r="O3" s="374"/>
    </row>
    <row r="4" spans="1:17" s="1" customFormat="1" ht="39" customHeight="1">
      <c r="A4" s="311"/>
      <c r="B4" s="894" t="s">
        <v>77</v>
      </c>
      <c r="C4" s="909" t="s">
        <v>78</v>
      </c>
      <c r="D4" s="910" t="s">
        <v>107</v>
      </c>
      <c r="E4" s="916" t="s">
        <v>828</v>
      </c>
      <c r="F4" s="911" t="s">
        <v>517</v>
      </c>
      <c r="G4" s="899" t="s">
        <v>556</v>
      </c>
      <c r="H4" s="900" t="s">
        <v>79</v>
      </c>
      <c r="I4" s="912" t="s">
        <v>697</v>
      </c>
      <c r="J4" s="913" t="s">
        <v>862</v>
      </c>
      <c r="K4" s="917" t="s">
        <v>863</v>
      </c>
      <c r="L4" s="908" t="s">
        <v>865</v>
      </c>
      <c r="M4" s="892"/>
      <c r="N4" s="893"/>
      <c r="O4" s="906" t="s">
        <v>866</v>
      </c>
      <c r="Q4" s="81"/>
    </row>
    <row r="5" spans="1:17" s="311" customFormat="1" ht="27" customHeight="1">
      <c r="B5" s="895"/>
      <c r="C5" s="897"/>
      <c r="D5" s="897"/>
      <c r="E5" s="897"/>
      <c r="F5" s="901"/>
      <c r="G5" s="897"/>
      <c r="H5" s="901"/>
      <c r="I5" s="901"/>
      <c r="J5" s="901"/>
      <c r="K5" s="905"/>
      <c r="L5" s="587" t="s">
        <v>601</v>
      </c>
      <c r="M5" s="404" t="s">
        <v>602</v>
      </c>
      <c r="N5" s="720" t="s">
        <v>349</v>
      </c>
      <c r="O5" s="907"/>
    </row>
    <row r="6" spans="1:17" s="2" customFormat="1" ht="12.95" customHeight="1">
      <c r="A6" s="312"/>
      <c r="B6" s="525">
        <v>1</v>
      </c>
      <c r="C6" s="361">
        <v>2</v>
      </c>
      <c r="D6" s="361">
        <v>3</v>
      </c>
      <c r="E6" s="361">
        <v>4</v>
      </c>
      <c r="F6" s="361">
        <v>5</v>
      </c>
      <c r="G6" s="361">
        <v>6</v>
      </c>
      <c r="H6" s="361">
        <v>7</v>
      </c>
      <c r="I6" s="361">
        <v>8</v>
      </c>
      <c r="J6" s="361">
        <v>9</v>
      </c>
      <c r="K6" s="526">
        <v>10</v>
      </c>
      <c r="L6" s="525">
        <v>11</v>
      </c>
      <c r="M6" s="361">
        <v>12</v>
      </c>
      <c r="N6" s="721" t="s">
        <v>830</v>
      </c>
      <c r="O6" s="527">
        <v>14</v>
      </c>
    </row>
    <row r="7" spans="1:17" s="2" customFormat="1" ht="12.95" customHeight="1">
      <c r="A7" s="312"/>
      <c r="B7" s="6" t="s">
        <v>129</v>
      </c>
      <c r="C7" s="7" t="s">
        <v>80</v>
      </c>
      <c r="D7" s="7" t="s">
        <v>81</v>
      </c>
      <c r="E7" s="667" t="s">
        <v>835</v>
      </c>
      <c r="F7" s="5"/>
      <c r="G7" s="313"/>
      <c r="H7" s="5"/>
      <c r="I7" s="592"/>
      <c r="J7" s="100"/>
      <c r="K7" s="592"/>
      <c r="L7" s="619"/>
      <c r="M7" s="100"/>
      <c r="N7" s="773"/>
      <c r="O7" s="375"/>
    </row>
    <row r="8" spans="1:17" s="1" customFormat="1" ht="12.95" customHeight="1">
      <c r="A8" s="311"/>
      <c r="B8" s="12"/>
      <c r="C8" s="8"/>
      <c r="D8" s="8"/>
      <c r="E8" s="8"/>
      <c r="F8" s="335">
        <v>611000</v>
      </c>
      <c r="G8" s="361"/>
      <c r="H8" s="8" t="s">
        <v>146</v>
      </c>
      <c r="I8" s="738">
        <f t="shared" ref="I8:N8" si="0">SUM(I9:I12)</f>
        <v>275590</v>
      </c>
      <c r="J8" s="236">
        <f t="shared" si="0"/>
        <v>275590</v>
      </c>
      <c r="K8" s="794">
        <f t="shared" si="0"/>
        <v>60648</v>
      </c>
      <c r="L8" s="578">
        <f t="shared" si="0"/>
        <v>269390</v>
      </c>
      <c r="M8" s="236">
        <f t="shared" si="0"/>
        <v>0</v>
      </c>
      <c r="N8" s="723">
        <f t="shared" si="0"/>
        <v>269390</v>
      </c>
      <c r="O8" s="376">
        <f>IF(J8=0,"",N8/J8*100)</f>
        <v>97.750281214848144</v>
      </c>
    </row>
    <row r="9" spans="1:17" ht="12.95" customHeight="1">
      <c r="B9" s="10"/>
      <c r="C9" s="11"/>
      <c r="D9" s="11"/>
      <c r="E9" s="316"/>
      <c r="F9" s="336">
        <v>611100</v>
      </c>
      <c r="G9" s="362"/>
      <c r="H9" s="20" t="s">
        <v>174</v>
      </c>
      <c r="I9" s="784">
        <f>207160+9*1140+1500+1000+5190</f>
        <v>225110</v>
      </c>
      <c r="J9" s="238">
        <f>207160+9*1140+1500+1000+5190</f>
        <v>225110</v>
      </c>
      <c r="K9" s="795">
        <v>51575</v>
      </c>
      <c r="L9" s="626">
        <f>211820+1500+5*1140+1500</f>
        <v>220520</v>
      </c>
      <c r="M9" s="238">
        <v>0</v>
      </c>
      <c r="N9" s="724">
        <f>SUM(L9:M9)</f>
        <v>220520</v>
      </c>
      <c r="O9" s="377">
        <f>IF(J9=0,"",N9/J9*100)</f>
        <v>97.960996845986401</v>
      </c>
    </row>
    <row r="10" spans="1:17" ht="12.95" customHeight="1">
      <c r="B10" s="10"/>
      <c r="C10" s="11"/>
      <c r="D10" s="11"/>
      <c r="E10" s="316"/>
      <c r="F10" s="336">
        <v>611200</v>
      </c>
      <c r="G10" s="362"/>
      <c r="H10" s="11" t="s">
        <v>175</v>
      </c>
      <c r="I10" s="784">
        <f>41890+9*21*15+400+5350+5</f>
        <v>50480</v>
      </c>
      <c r="J10" s="238">
        <f>41890+9*21*15+400+5350+5</f>
        <v>50480</v>
      </c>
      <c r="K10" s="795">
        <v>9073</v>
      </c>
      <c r="L10" s="626">
        <f>40790+1000+1580+5500</f>
        <v>48870</v>
      </c>
      <c r="M10" s="238">
        <v>0</v>
      </c>
      <c r="N10" s="724">
        <f t="shared" ref="N10:N11" si="1">SUM(L10:M10)</f>
        <v>48870</v>
      </c>
      <c r="O10" s="377">
        <f t="shared" ref="O10:O43" si="2">IF(J10=0,"",N10/J10*100)</f>
        <v>96.81061806656102</v>
      </c>
    </row>
    <row r="11" spans="1:17" ht="12.95" customHeight="1">
      <c r="B11" s="10"/>
      <c r="C11" s="11"/>
      <c r="D11" s="11"/>
      <c r="E11" s="316"/>
      <c r="F11" s="336">
        <v>611200</v>
      </c>
      <c r="G11" s="362"/>
      <c r="H11" s="210" t="s">
        <v>464</v>
      </c>
      <c r="I11" s="739">
        <v>0</v>
      </c>
      <c r="J11" s="235">
        <v>0</v>
      </c>
      <c r="K11" s="796">
        <v>0</v>
      </c>
      <c r="L11" s="579">
        <v>0</v>
      </c>
      <c r="M11" s="235">
        <v>0</v>
      </c>
      <c r="N11" s="724">
        <f t="shared" si="1"/>
        <v>0</v>
      </c>
      <c r="O11" s="377" t="str">
        <f t="shared" si="2"/>
        <v/>
      </c>
      <c r="Q11" s="62"/>
    </row>
    <row r="12" spans="1:17" ht="12.95" customHeight="1">
      <c r="B12" s="10"/>
      <c r="C12" s="11"/>
      <c r="D12" s="11"/>
      <c r="E12" s="316"/>
      <c r="F12" s="336"/>
      <c r="G12" s="362"/>
      <c r="H12" s="20"/>
      <c r="I12" s="784"/>
      <c r="J12" s="238"/>
      <c r="K12" s="795"/>
      <c r="L12" s="626"/>
      <c r="M12" s="238"/>
      <c r="N12" s="724"/>
      <c r="O12" s="377" t="str">
        <f t="shared" si="2"/>
        <v/>
      </c>
    </row>
    <row r="13" spans="1:17" s="1" customFormat="1" ht="12.95" customHeight="1">
      <c r="A13" s="311"/>
      <c r="B13" s="12"/>
      <c r="C13" s="8"/>
      <c r="D13" s="8"/>
      <c r="E13" s="8"/>
      <c r="F13" s="335">
        <v>612000</v>
      </c>
      <c r="G13" s="361"/>
      <c r="H13" s="8" t="s">
        <v>145</v>
      </c>
      <c r="I13" s="738">
        <f t="shared" ref="I13:N13" si="3">I14</f>
        <v>24150</v>
      </c>
      <c r="J13" s="236">
        <f t="shared" si="3"/>
        <v>24150</v>
      </c>
      <c r="K13" s="794">
        <f t="shared" si="3"/>
        <v>5634</v>
      </c>
      <c r="L13" s="578">
        <f t="shared" si="3"/>
        <v>23960</v>
      </c>
      <c r="M13" s="236">
        <f t="shared" si="3"/>
        <v>0</v>
      </c>
      <c r="N13" s="723">
        <f t="shared" si="3"/>
        <v>23960</v>
      </c>
      <c r="O13" s="376">
        <f t="shared" si="2"/>
        <v>99.21325051759834</v>
      </c>
    </row>
    <row r="14" spans="1:17" ht="12.95" customHeight="1">
      <c r="B14" s="10"/>
      <c r="C14" s="11"/>
      <c r="D14" s="11"/>
      <c r="E14" s="316"/>
      <c r="F14" s="336">
        <v>612100</v>
      </c>
      <c r="G14" s="362"/>
      <c r="H14" s="13" t="s">
        <v>82</v>
      </c>
      <c r="I14" s="784">
        <f>21930+9*130+500+550</f>
        <v>24150</v>
      </c>
      <c r="J14" s="238">
        <f>21930+9*130+500+550</f>
        <v>24150</v>
      </c>
      <c r="K14" s="795">
        <v>5634</v>
      </c>
      <c r="L14" s="626">
        <f>22510+800+5*130</f>
        <v>23960</v>
      </c>
      <c r="M14" s="238">
        <v>0</v>
      </c>
      <c r="N14" s="724">
        <f>SUM(L14:M14)</f>
        <v>23960</v>
      </c>
      <c r="O14" s="377">
        <f t="shared" si="2"/>
        <v>99.21325051759834</v>
      </c>
    </row>
    <row r="15" spans="1:17" ht="12.95" customHeight="1">
      <c r="B15" s="10"/>
      <c r="C15" s="11"/>
      <c r="D15" s="11"/>
      <c r="E15" s="316"/>
      <c r="F15" s="336"/>
      <c r="G15" s="362"/>
      <c r="H15" s="11"/>
      <c r="I15" s="777"/>
      <c r="J15" s="321"/>
      <c r="K15" s="797"/>
      <c r="L15" s="621"/>
      <c r="M15" s="321"/>
      <c r="N15" s="725"/>
      <c r="O15" s="377" t="str">
        <f t="shared" si="2"/>
        <v/>
      </c>
    </row>
    <row r="16" spans="1:17" s="1" customFormat="1" ht="12.95" customHeight="1">
      <c r="A16" s="311"/>
      <c r="B16" s="12"/>
      <c r="C16" s="8"/>
      <c r="D16" s="8"/>
      <c r="E16" s="8"/>
      <c r="F16" s="335">
        <v>613000</v>
      </c>
      <c r="G16" s="361"/>
      <c r="H16" s="8" t="s">
        <v>147</v>
      </c>
      <c r="I16" s="778">
        <f t="shared" ref="I16:N16" si="4">SUM(I17:I27)</f>
        <v>327800</v>
      </c>
      <c r="J16" s="323">
        <f t="shared" si="4"/>
        <v>327800</v>
      </c>
      <c r="K16" s="798">
        <f t="shared" si="4"/>
        <v>59972</v>
      </c>
      <c r="L16" s="581">
        <f t="shared" si="4"/>
        <v>25300</v>
      </c>
      <c r="M16" s="323">
        <f t="shared" si="4"/>
        <v>200000</v>
      </c>
      <c r="N16" s="726">
        <f t="shared" si="4"/>
        <v>225300</v>
      </c>
      <c r="O16" s="376">
        <f t="shared" si="2"/>
        <v>68.730933496034169</v>
      </c>
    </row>
    <row r="17" spans="1:16" ht="12.95" customHeight="1">
      <c r="B17" s="10"/>
      <c r="C17" s="11"/>
      <c r="D17" s="11"/>
      <c r="E17" s="316"/>
      <c r="F17" s="336">
        <v>613100</v>
      </c>
      <c r="G17" s="362"/>
      <c r="H17" s="11" t="s">
        <v>83</v>
      </c>
      <c r="I17" s="777">
        <v>3500</v>
      </c>
      <c r="J17" s="321">
        <v>3500</v>
      </c>
      <c r="K17" s="797">
        <v>377</v>
      </c>
      <c r="L17" s="622">
        <f>3500*80%</f>
        <v>2800</v>
      </c>
      <c r="M17" s="326">
        <v>0</v>
      </c>
      <c r="N17" s="724">
        <f t="shared" ref="N17:N27" si="5">SUM(L17:M17)</f>
        <v>2800</v>
      </c>
      <c r="O17" s="377">
        <f t="shared" si="2"/>
        <v>80</v>
      </c>
    </row>
    <row r="18" spans="1:16" ht="12.95" customHeight="1">
      <c r="B18" s="10"/>
      <c r="C18" s="11"/>
      <c r="D18" s="11"/>
      <c r="E18" s="316"/>
      <c r="F18" s="336">
        <v>613200</v>
      </c>
      <c r="G18" s="362"/>
      <c r="H18" s="11" t="s">
        <v>84</v>
      </c>
      <c r="I18" s="777">
        <v>0</v>
      </c>
      <c r="J18" s="321">
        <v>0</v>
      </c>
      <c r="K18" s="797">
        <v>0</v>
      </c>
      <c r="L18" s="622">
        <v>0</v>
      </c>
      <c r="M18" s="326">
        <v>0</v>
      </c>
      <c r="N18" s="724">
        <f t="shared" si="5"/>
        <v>0</v>
      </c>
      <c r="O18" s="377" t="str">
        <f t="shared" si="2"/>
        <v/>
      </c>
    </row>
    <row r="19" spans="1:16" ht="12.95" customHeight="1">
      <c r="B19" s="10"/>
      <c r="C19" s="11"/>
      <c r="D19" s="11"/>
      <c r="E19" s="316"/>
      <c r="F19" s="336">
        <v>613300</v>
      </c>
      <c r="G19" s="362"/>
      <c r="H19" s="20" t="s">
        <v>176</v>
      </c>
      <c r="I19" s="779">
        <v>6800</v>
      </c>
      <c r="J19" s="395">
        <v>6800</v>
      </c>
      <c r="K19" s="797">
        <v>1228</v>
      </c>
      <c r="L19" s="571">
        <v>6000</v>
      </c>
      <c r="M19" s="397">
        <v>0</v>
      </c>
      <c r="N19" s="724">
        <f t="shared" si="5"/>
        <v>6000</v>
      </c>
      <c r="O19" s="377">
        <f t="shared" si="2"/>
        <v>88.235294117647058</v>
      </c>
    </row>
    <row r="20" spans="1:16" ht="12.95" customHeight="1">
      <c r="B20" s="10"/>
      <c r="C20" s="11"/>
      <c r="D20" s="11"/>
      <c r="E20" s="316"/>
      <c r="F20" s="336">
        <v>613400</v>
      </c>
      <c r="G20" s="362"/>
      <c r="H20" s="11" t="s">
        <v>148</v>
      </c>
      <c r="I20" s="779">
        <v>0</v>
      </c>
      <c r="J20" s="395">
        <v>0</v>
      </c>
      <c r="K20" s="797">
        <v>0</v>
      </c>
      <c r="L20" s="571">
        <v>0</v>
      </c>
      <c r="M20" s="397">
        <v>0</v>
      </c>
      <c r="N20" s="724">
        <f t="shared" si="5"/>
        <v>0</v>
      </c>
      <c r="O20" s="377" t="str">
        <f t="shared" si="2"/>
        <v/>
      </c>
    </row>
    <row r="21" spans="1:16" ht="12.95" customHeight="1">
      <c r="B21" s="10"/>
      <c r="C21" s="11"/>
      <c r="D21" s="11"/>
      <c r="E21" s="316"/>
      <c r="F21" s="336">
        <v>613500</v>
      </c>
      <c r="G21" s="362"/>
      <c r="H21" s="11" t="s">
        <v>85</v>
      </c>
      <c r="I21" s="742">
        <v>0</v>
      </c>
      <c r="J21" s="397">
        <v>0</v>
      </c>
      <c r="K21" s="795">
        <v>0</v>
      </c>
      <c r="L21" s="571">
        <v>0</v>
      </c>
      <c r="M21" s="397">
        <v>0</v>
      </c>
      <c r="N21" s="724">
        <f t="shared" si="5"/>
        <v>0</v>
      </c>
      <c r="O21" s="377" t="str">
        <f t="shared" si="2"/>
        <v/>
      </c>
    </row>
    <row r="22" spans="1:16" ht="12.95" customHeight="1">
      <c r="B22" s="10"/>
      <c r="C22" s="11"/>
      <c r="D22" s="11"/>
      <c r="E22" s="316"/>
      <c r="F22" s="336">
        <v>613600</v>
      </c>
      <c r="G22" s="362"/>
      <c r="H22" s="20" t="s">
        <v>177</v>
      </c>
      <c r="I22" s="742">
        <v>0</v>
      </c>
      <c r="J22" s="397">
        <v>0</v>
      </c>
      <c r="K22" s="795">
        <v>0</v>
      </c>
      <c r="L22" s="571">
        <v>0</v>
      </c>
      <c r="M22" s="397">
        <v>0</v>
      </c>
      <c r="N22" s="724">
        <f t="shared" si="5"/>
        <v>0</v>
      </c>
      <c r="O22" s="377" t="str">
        <f t="shared" si="2"/>
        <v/>
      </c>
    </row>
    <row r="23" spans="1:16" ht="12.95" customHeight="1">
      <c r="B23" s="10"/>
      <c r="C23" s="11"/>
      <c r="D23" s="11"/>
      <c r="E23" s="663"/>
      <c r="F23" s="342">
        <v>613700</v>
      </c>
      <c r="G23" s="368"/>
      <c r="H23" s="11" t="s">
        <v>86</v>
      </c>
      <c r="I23" s="742">
        <v>1500</v>
      </c>
      <c r="J23" s="397">
        <v>1500</v>
      </c>
      <c r="K23" s="795">
        <v>183</v>
      </c>
      <c r="L23" s="571">
        <v>1500</v>
      </c>
      <c r="M23" s="397">
        <v>0</v>
      </c>
      <c r="N23" s="724">
        <f t="shared" si="5"/>
        <v>1500</v>
      </c>
      <c r="O23" s="377">
        <f t="shared" si="2"/>
        <v>100</v>
      </c>
    </row>
    <row r="24" spans="1:16" ht="12.95" customHeight="1">
      <c r="B24" s="10"/>
      <c r="C24" s="11"/>
      <c r="D24" s="24"/>
      <c r="E24" s="24"/>
      <c r="F24" s="336">
        <v>613700</v>
      </c>
      <c r="G24" s="359" t="s">
        <v>578</v>
      </c>
      <c r="H24" s="42" t="s">
        <v>87</v>
      </c>
      <c r="I24" s="742">
        <v>300000</v>
      </c>
      <c r="J24" s="397">
        <v>300000</v>
      </c>
      <c r="K24" s="795">
        <v>44230</v>
      </c>
      <c r="L24" s="571">
        <v>0</v>
      </c>
      <c r="M24" s="397">
        <v>200000</v>
      </c>
      <c r="N24" s="724">
        <f t="shared" si="5"/>
        <v>200000</v>
      </c>
      <c r="O24" s="377">
        <f t="shared" si="2"/>
        <v>66.666666666666657</v>
      </c>
    </row>
    <row r="25" spans="1:16" ht="12.95" customHeight="1">
      <c r="B25" s="10"/>
      <c r="C25" s="11"/>
      <c r="D25" s="11"/>
      <c r="E25" s="662"/>
      <c r="F25" s="344">
        <v>613800</v>
      </c>
      <c r="G25" s="369"/>
      <c r="H25" s="11" t="s">
        <v>149</v>
      </c>
      <c r="I25" s="742">
        <v>0</v>
      </c>
      <c r="J25" s="397">
        <v>0</v>
      </c>
      <c r="K25" s="795">
        <v>0</v>
      </c>
      <c r="L25" s="571">
        <v>0</v>
      </c>
      <c r="M25" s="397">
        <v>0</v>
      </c>
      <c r="N25" s="724">
        <f t="shared" si="5"/>
        <v>0</v>
      </c>
      <c r="O25" s="377" t="str">
        <f t="shared" si="2"/>
        <v/>
      </c>
    </row>
    <row r="26" spans="1:16" ht="12.95" customHeight="1">
      <c r="B26" s="10"/>
      <c r="C26" s="11"/>
      <c r="D26" s="11"/>
      <c r="E26" s="316"/>
      <c r="F26" s="336">
        <v>613900</v>
      </c>
      <c r="G26" s="362"/>
      <c r="H26" s="11" t="s">
        <v>150</v>
      </c>
      <c r="I26" s="742">
        <v>16000</v>
      </c>
      <c r="J26" s="397">
        <v>16000</v>
      </c>
      <c r="K26" s="795">
        <v>13954</v>
      </c>
      <c r="L26" s="571">
        <f>16000-1000</f>
        <v>15000</v>
      </c>
      <c r="M26" s="397">
        <v>0</v>
      </c>
      <c r="N26" s="724">
        <f t="shared" si="5"/>
        <v>15000</v>
      </c>
      <c r="O26" s="377">
        <f t="shared" si="2"/>
        <v>93.75</v>
      </c>
      <c r="P26" s="807"/>
    </row>
    <row r="27" spans="1:16" ht="12.95" customHeight="1">
      <c r="B27" s="10"/>
      <c r="C27" s="11"/>
      <c r="D27" s="11"/>
      <c r="E27" s="316"/>
      <c r="F27" s="336">
        <v>613900</v>
      </c>
      <c r="G27" s="362"/>
      <c r="H27" s="210" t="s">
        <v>465</v>
      </c>
      <c r="I27" s="742">
        <v>0</v>
      </c>
      <c r="J27" s="397">
        <v>0</v>
      </c>
      <c r="K27" s="795">
        <v>0</v>
      </c>
      <c r="L27" s="571">
        <v>0</v>
      </c>
      <c r="M27" s="397">
        <v>0</v>
      </c>
      <c r="N27" s="724">
        <f t="shared" si="5"/>
        <v>0</v>
      </c>
      <c r="O27" s="377" t="str">
        <f t="shared" si="2"/>
        <v/>
      </c>
    </row>
    <row r="28" spans="1:16" ht="12.95" customHeight="1">
      <c r="B28" s="10"/>
      <c r="C28" s="11"/>
      <c r="D28" s="11"/>
      <c r="E28" s="316"/>
      <c r="F28" s="336"/>
      <c r="G28" s="362"/>
      <c r="H28" s="11"/>
      <c r="I28" s="631"/>
      <c r="J28" s="326"/>
      <c r="K28" s="795"/>
      <c r="L28" s="622"/>
      <c r="M28" s="326"/>
      <c r="N28" s="725"/>
      <c r="O28" s="377" t="str">
        <f t="shared" si="2"/>
        <v/>
      </c>
    </row>
    <row r="29" spans="1:16" s="1" customFormat="1" ht="12.95" customHeight="1">
      <c r="A29" s="311"/>
      <c r="B29" s="12"/>
      <c r="C29" s="8"/>
      <c r="D29" s="8"/>
      <c r="E29" s="8"/>
      <c r="F29" s="335">
        <v>614000</v>
      </c>
      <c r="G29" s="361"/>
      <c r="H29" s="8" t="s">
        <v>178</v>
      </c>
      <c r="I29" s="632">
        <f t="shared" ref="I29:N29" si="6">SUM(I30:I31)</f>
        <v>440000</v>
      </c>
      <c r="J29" s="325">
        <f t="shared" si="6"/>
        <v>440000</v>
      </c>
      <c r="K29" s="794">
        <f t="shared" si="6"/>
        <v>0</v>
      </c>
      <c r="L29" s="588">
        <f t="shared" si="6"/>
        <v>0</v>
      </c>
      <c r="M29" s="325">
        <f t="shared" si="6"/>
        <v>300000</v>
      </c>
      <c r="N29" s="726">
        <f t="shared" si="6"/>
        <v>300000</v>
      </c>
      <c r="O29" s="376">
        <f t="shared" si="2"/>
        <v>68.181818181818173</v>
      </c>
    </row>
    <row r="30" spans="1:16" ht="12.95" customHeight="1">
      <c r="B30" s="10"/>
      <c r="C30" s="11"/>
      <c r="D30" s="24"/>
      <c r="E30" s="664"/>
      <c r="F30" s="344">
        <v>614100</v>
      </c>
      <c r="G30" s="369" t="s">
        <v>579</v>
      </c>
      <c r="H30" s="46" t="s">
        <v>152</v>
      </c>
      <c r="I30" s="631">
        <v>440000</v>
      </c>
      <c r="J30" s="326">
        <v>440000</v>
      </c>
      <c r="K30" s="795">
        <v>0</v>
      </c>
      <c r="L30" s="622">
        <v>0</v>
      </c>
      <c r="M30" s="326">
        <v>300000</v>
      </c>
      <c r="N30" s="724">
        <f t="shared" ref="N30:N31" si="7">SUM(L30:M30)</f>
        <v>300000</v>
      </c>
      <c r="O30" s="377">
        <f t="shared" si="2"/>
        <v>68.181818181818173</v>
      </c>
    </row>
    <row r="31" spans="1:16" ht="12.95" customHeight="1">
      <c r="B31" s="10"/>
      <c r="C31" s="11"/>
      <c r="D31" s="11"/>
      <c r="E31" s="316"/>
      <c r="F31" s="336">
        <v>614100</v>
      </c>
      <c r="G31" s="362" t="s">
        <v>580</v>
      </c>
      <c r="H31" s="20" t="s">
        <v>194</v>
      </c>
      <c r="I31" s="631">
        <v>0</v>
      </c>
      <c r="J31" s="326">
        <v>0</v>
      </c>
      <c r="K31" s="795">
        <v>0</v>
      </c>
      <c r="L31" s="622">
        <v>0</v>
      </c>
      <c r="M31" s="326">
        <v>0</v>
      </c>
      <c r="N31" s="724">
        <f t="shared" si="7"/>
        <v>0</v>
      </c>
      <c r="O31" s="377" t="str">
        <f t="shared" si="2"/>
        <v/>
      </c>
    </row>
    <row r="32" spans="1:16" ht="12.95" customHeight="1">
      <c r="B32" s="10"/>
      <c r="C32" s="11"/>
      <c r="D32" s="11"/>
      <c r="E32" s="316"/>
      <c r="F32" s="336"/>
      <c r="G32" s="362"/>
      <c r="H32" s="11"/>
      <c r="I32" s="631"/>
      <c r="J32" s="326"/>
      <c r="K32" s="795"/>
      <c r="L32" s="622"/>
      <c r="M32" s="326"/>
      <c r="N32" s="725"/>
      <c r="O32" s="377" t="str">
        <f t="shared" si="2"/>
        <v/>
      </c>
    </row>
    <row r="33" spans="1:17" s="1" customFormat="1" ht="12.95" customHeight="1">
      <c r="A33" s="311"/>
      <c r="B33" s="12"/>
      <c r="C33" s="8"/>
      <c r="D33" s="8"/>
      <c r="E33" s="8"/>
      <c r="F33" s="335">
        <v>821000</v>
      </c>
      <c r="G33" s="361"/>
      <c r="H33" s="8" t="s">
        <v>89</v>
      </c>
      <c r="I33" s="632">
        <f t="shared" ref="I33:J33" si="8">SUM(I34:I38)</f>
        <v>1257000</v>
      </c>
      <c r="J33" s="325">
        <f t="shared" si="8"/>
        <v>1257000</v>
      </c>
      <c r="K33" s="794">
        <f t="shared" ref="K33:L33" si="9">SUM(K34:K38)</f>
        <v>1362</v>
      </c>
      <c r="L33" s="588">
        <f t="shared" si="9"/>
        <v>5000</v>
      </c>
      <c r="M33" s="325">
        <f t="shared" ref="M33:N33" si="10">SUM(M34:M38)</f>
        <v>1150000</v>
      </c>
      <c r="N33" s="726">
        <f t="shared" si="10"/>
        <v>1155000</v>
      </c>
      <c r="O33" s="376">
        <f t="shared" si="2"/>
        <v>91.885441527446304</v>
      </c>
    </row>
    <row r="34" spans="1:17" ht="12.95" customHeight="1">
      <c r="B34" s="10"/>
      <c r="C34" s="11"/>
      <c r="D34" s="11"/>
      <c r="E34" s="316"/>
      <c r="F34" s="336">
        <v>821200</v>
      </c>
      <c r="G34" s="362"/>
      <c r="H34" s="11" t="s">
        <v>90</v>
      </c>
      <c r="I34" s="631">
        <v>0</v>
      </c>
      <c r="J34" s="326">
        <v>0</v>
      </c>
      <c r="K34" s="795">
        <v>0</v>
      </c>
      <c r="L34" s="622">
        <v>0</v>
      </c>
      <c r="M34" s="326">
        <v>0</v>
      </c>
      <c r="N34" s="724">
        <f t="shared" ref="N34:N37" si="11">SUM(L34:M34)</f>
        <v>0</v>
      </c>
      <c r="O34" s="377" t="str">
        <f t="shared" si="2"/>
        <v/>
      </c>
    </row>
    <row r="35" spans="1:17" ht="12.95" customHeight="1">
      <c r="B35" s="10"/>
      <c r="C35" s="11"/>
      <c r="D35" s="11"/>
      <c r="E35" s="316"/>
      <c r="F35" s="336">
        <v>821300</v>
      </c>
      <c r="G35" s="362"/>
      <c r="H35" s="11" t="s">
        <v>91</v>
      </c>
      <c r="I35" s="631">
        <v>7000</v>
      </c>
      <c r="J35" s="326">
        <v>7000</v>
      </c>
      <c r="K35" s="795">
        <v>1362</v>
      </c>
      <c r="L35" s="622">
        <v>5000</v>
      </c>
      <c r="M35" s="326">
        <v>0</v>
      </c>
      <c r="N35" s="724">
        <f t="shared" si="11"/>
        <v>5000</v>
      </c>
      <c r="O35" s="377">
        <f t="shared" si="2"/>
        <v>71.428571428571431</v>
      </c>
    </row>
    <row r="36" spans="1:17" s="314" customFormat="1" ht="12.95" customHeight="1">
      <c r="B36" s="315"/>
      <c r="C36" s="316"/>
      <c r="D36" s="316"/>
      <c r="E36" s="316"/>
      <c r="F36" s="339">
        <v>821500</v>
      </c>
      <c r="G36" s="365" t="s">
        <v>734</v>
      </c>
      <c r="H36" s="675" t="s">
        <v>733</v>
      </c>
      <c r="I36" s="631">
        <v>850000</v>
      </c>
      <c r="J36" s="326">
        <v>850000</v>
      </c>
      <c r="K36" s="795">
        <v>0</v>
      </c>
      <c r="L36" s="622">
        <v>0</v>
      </c>
      <c r="M36" s="326">
        <v>750000</v>
      </c>
      <c r="N36" s="724">
        <f t="shared" ref="N36" si="12">SUM(L36:M36)</f>
        <v>750000</v>
      </c>
      <c r="O36" s="377">
        <f t="shared" ref="O36" si="13">IF(J36=0,"",N36/J36*100)</f>
        <v>88.235294117647058</v>
      </c>
      <c r="Q36" s="63"/>
    </row>
    <row r="37" spans="1:17" ht="12.95" customHeight="1">
      <c r="B37" s="10"/>
      <c r="C37" s="11"/>
      <c r="D37" s="11"/>
      <c r="E37" s="316"/>
      <c r="F37" s="339">
        <v>821600</v>
      </c>
      <c r="G37" s="365"/>
      <c r="H37" s="78" t="s">
        <v>102</v>
      </c>
      <c r="I37" s="631">
        <v>0</v>
      </c>
      <c r="J37" s="326">
        <v>0</v>
      </c>
      <c r="K37" s="795">
        <v>0</v>
      </c>
      <c r="L37" s="622">
        <v>0</v>
      </c>
      <c r="M37" s="326">
        <v>0</v>
      </c>
      <c r="N37" s="724">
        <f t="shared" si="11"/>
        <v>0</v>
      </c>
      <c r="O37" s="377" t="str">
        <f t="shared" si="2"/>
        <v/>
      </c>
      <c r="Q37" s="63"/>
    </row>
    <row r="38" spans="1:17" s="314" customFormat="1" ht="12.95" customHeight="1">
      <c r="B38" s="315"/>
      <c r="C38" s="316"/>
      <c r="D38" s="316"/>
      <c r="E38" s="316"/>
      <c r="F38" s="339">
        <v>821600</v>
      </c>
      <c r="G38" s="365" t="s">
        <v>735</v>
      </c>
      <c r="H38" s="675" t="s">
        <v>732</v>
      </c>
      <c r="I38" s="631">
        <v>400000</v>
      </c>
      <c r="J38" s="326">
        <v>400000</v>
      </c>
      <c r="K38" s="795">
        <v>0</v>
      </c>
      <c r="L38" s="622">
        <v>0</v>
      </c>
      <c r="M38" s="326">
        <v>400000</v>
      </c>
      <c r="N38" s="724">
        <f t="shared" ref="N38" si="14">SUM(L38:M38)</f>
        <v>400000</v>
      </c>
      <c r="O38" s="377">
        <f t="shared" ref="O38" si="15">IF(J38=0,"",N38/J38*100)</f>
        <v>100</v>
      </c>
      <c r="Q38" s="63"/>
    </row>
    <row r="39" spans="1:17" ht="12.95" customHeight="1">
      <c r="B39" s="10"/>
      <c r="C39" s="11"/>
      <c r="D39" s="11"/>
      <c r="E39" s="316"/>
      <c r="F39" s="336"/>
      <c r="G39" s="362"/>
      <c r="H39" s="11"/>
      <c r="I39" s="632"/>
      <c r="J39" s="325"/>
      <c r="K39" s="794"/>
      <c r="L39" s="588"/>
      <c r="M39" s="325"/>
      <c r="N39" s="726"/>
      <c r="O39" s="377" t="str">
        <f t="shared" si="2"/>
        <v/>
      </c>
    </row>
    <row r="40" spans="1:17" s="1" customFormat="1" ht="12.95" customHeight="1">
      <c r="A40" s="311"/>
      <c r="B40" s="12"/>
      <c r="C40" s="8"/>
      <c r="D40" s="8"/>
      <c r="E40" s="8"/>
      <c r="F40" s="335"/>
      <c r="G40" s="361"/>
      <c r="H40" s="8" t="s">
        <v>92</v>
      </c>
      <c r="I40" s="743" t="s">
        <v>788</v>
      </c>
      <c r="J40" s="327" t="s">
        <v>788</v>
      </c>
      <c r="K40" s="799">
        <v>10</v>
      </c>
      <c r="L40" s="584" t="s">
        <v>788</v>
      </c>
      <c r="M40" s="325"/>
      <c r="N40" s="727" t="s">
        <v>788</v>
      </c>
      <c r="O40" s="377"/>
    </row>
    <row r="41" spans="1:17" s="1" customFormat="1" ht="12.95" customHeight="1">
      <c r="A41" s="311"/>
      <c r="B41" s="12"/>
      <c r="C41" s="8"/>
      <c r="D41" s="8"/>
      <c r="E41" s="8"/>
      <c r="F41" s="335"/>
      <c r="G41" s="361"/>
      <c r="H41" s="8" t="s">
        <v>110</v>
      </c>
      <c r="I41" s="575">
        <f>I8+I13+I16+I29+I33</f>
        <v>2324540</v>
      </c>
      <c r="J41" s="318">
        <f>J8+J13+J16+J29+J33</f>
        <v>2324540</v>
      </c>
      <c r="K41" s="575">
        <f t="shared" ref="K41" si="16">K8+K13+K16+K29+K33</f>
        <v>127616</v>
      </c>
      <c r="L41" s="582">
        <f>L8+L13+L16+L29+L33</f>
        <v>323650</v>
      </c>
      <c r="M41" s="318">
        <f>M8+M13+M16+M29+M33</f>
        <v>1650000</v>
      </c>
      <c r="N41" s="726">
        <f>N8+N13+N16+N29+N33</f>
        <v>1973650</v>
      </c>
      <c r="O41" s="376">
        <f t="shared" si="2"/>
        <v>84.904970445765613</v>
      </c>
    </row>
    <row r="42" spans="1:17" s="1" customFormat="1" ht="12.95" customHeight="1">
      <c r="A42" s="311"/>
      <c r="B42" s="12"/>
      <c r="C42" s="8"/>
      <c r="D42" s="8"/>
      <c r="E42" s="8"/>
      <c r="F42" s="335"/>
      <c r="G42" s="361"/>
      <c r="H42" s="8" t="s">
        <v>93</v>
      </c>
      <c r="I42" s="15">
        <f>I41</f>
        <v>2324540</v>
      </c>
      <c r="J42" s="15">
        <f>J41</f>
        <v>2324540</v>
      </c>
      <c r="K42" s="575">
        <f t="shared" ref="K42" si="17">K41</f>
        <v>127616</v>
      </c>
      <c r="L42" s="582">
        <f t="shared" ref="L42:N43" si="18">L41</f>
        <v>323650</v>
      </c>
      <c r="M42" s="318">
        <f t="shared" si="18"/>
        <v>1650000</v>
      </c>
      <c r="N42" s="726">
        <f t="shared" si="18"/>
        <v>1973650</v>
      </c>
      <c r="O42" s="376">
        <f t="shared" si="2"/>
        <v>84.904970445765613</v>
      </c>
    </row>
    <row r="43" spans="1:17" s="1" customFormat="1" ht="12.95" customHeight="1">
      <c r="A43" s="311"/>
      <c r="B43" s="12"/>
      <c r="C43" s="8"/>
      <c r="D43" s="8"/>
      <c r="E43" s="8"/>
      <c r="F43" s="335"/>
      <c r="G43" s="361"/>
      <c r="H43" s="8" t="s">
        <v>94</v>
      </c>
      <c r="I43" s="15">
        <f>I42</f>
        <v>2324540</v>
      </c>
      <c r="J43" s="15">
        <f>J42</f>
        <v>2324540</v>
      </c>
      <c r="K43" s="575">
        <f t="shared" ref="K43" si="19">K42</f>
        <v>127616</v>
      </c>
      <c r="L43" s="582">
        <f t="shared" si="18"/>
        <v>323650</v>
      </c>
      <c r="M43" s="318">
        <f t="shared" si="18"/>
        <v>1650000</v>
      </c>
      <c r="N43" s="726">
        <f t="shared" si="18"/>
        <v>1973650</v>
      </c>
      <c r="O43" s="376">
        <f t="shared" si="2"/>
        <v>84.904970445765613</v>
      </c>
    </row>
    <row r="44" spans="1:17" ht="12.95" customHeight="1" thickBot="1">
      <c r="B44" s="16"/>
      <c r="C44" s="17"/>
      <c r="D44" s="17"/>
      <c r="E44" s="17"/>
      <c r="F44" s="337"/>
      <c r="G44" s="363"/>
      <c r="H44" s="17"/>
      <c r="I44" s="32"/>
      <c r="J44" s="32"/>
      <c r="K44" s="576"/>
      <c r="L44" s="585"/>
      <c r="M44" s="32"/>
      <c r="N44" s="728"/>
      <c r="O44" s="379"/>
    </row>
    <row r="45" spans="1:17" ht="12.95" customHeight="1">
      <c r="F45" s="338"/>
      <c r="G45" s="364"/>
      <c r="N45" s="425"/>
    </row>
    <row r="46" spans="1:17" ht="12.95" customHeight="1">
      <c r="B46" s="55"/>
      <c r="F46" s="338"/>
      <c r="G46" s="364"/>
      <c r="N46" s="425"/>
    </row>
    <row r="47" spans="1:17" ht="12.95" customHeight="1">
      <c r="B47" s="55"/>
      <c r="F47" s="338"/>
      <c r="G47" s="364"/>
      <c r="N47" s="425"/>
    </row>
    <row r="48" spans="1:17" ht="12.95" customHeight="1">
      <c r="B48" s="55"/>
      <c r="F48" s="338"/>
      <c r="G48" s="364"/>
      <c r="N48" s="425"/>
    </row>
    <row r="49" spans="6:14" ht="12.95" customHeight="1">
      <c r="F49" s="338"/>
      <c r="G49" s="364"/>
      <c r="N49" s="425"/>
    </row>
    <row r="50" spans="6:14" ht="12.95" customHeight="1">
      <c r="F50" s="338"/>
      <c r="G50" s="364"/>
      <c r="N50" s="425"/>
    </row>
    <row r="51" spans="6:14" ht="12.95" customHeight="1">
      <c r="F51" s="338"/>
      <c r="G51" s="364"/>
      <c r="N51" s="425"/>
    </row>
    <row r="52" spans="6:14" ht="12.95" customHeight="1">
      <c r="F52" s="338"/>
      <c r="G52" s="364"/>
      <c r="N52" s="425"/>
    </row>
    <row r="53" spans="6:14" ht="12.95" customHeight="1">
      <c r="F53" s="338"/>
      <c r="G53" s="364"/>
      <c r="N53" s="425"/>
    </row>
    <row r="54" spans="6:14" ht="12.95" customHeight="1">
      <c r="F54" s="338"/>
      <c r="G54" s="364"/>
      <c r="N54" s="425"/>
    </row>
    <row r="55" spans="6:14" ht="12.95" customHeight="1">
      <c r="F55" s="338"/>
      <c r="G55" s="364"/>
      <c r="N55" s="425"/>
    </row>
    <row r="56" spans="6:14" ht="12.95" customHeight="1">
      <c r="F56" s="338"/>
      <c r="G56" s="364"/>
      <c r="N56" s="425"/>
    </row>
    <row r="57" spans="6:14" ht="12.95" customHeight="1">
      <c r="F57" s="338"/>
      <c r="G57" s="364"/>
      <c r="N57" s="425"/>
    </row>
    <row r="58" spans="6:14" ht="12.95" customHeight="1">
      <c r="F58" s="338"/>
      <c r="G58" s="364"/>
      <c r="N58" s="425"/>
    </row>
    <row r="59" spans="6:14" ht="12.95" customHeight="1">
      <c r="F59" s="338"/>
      <c r="G59" s="364"/>
      <c r="N59" s="425"/>
    </row>
    <row r="60" spans="6:14" ht="12.95" customHeight="1">
      <c r="F60" s="338"/>
      <c r="G60" s="364"/>
      <c r="N60" s="425"/>
    </row>
    <row r="61" spans="6:14" ht="12.95" customHeight="1">
      <c r="F61" s="338"/>
      <c r="G61" s="364"/>
      <c r="N61" s="425"/>
    </row>
    <row r="62" spans="6:14" ht="17.100000000000001" customHeight="1">
      <c r="F62" s="338"/>
      <c r="G62" s="364"/>
      <c r="N62" s="425"/>
    </row>
    <row r="63" spans="6:14" ht="14.25">
      <c r="F63" s="338"/>
      <c r="G63" s="364"/>
      <c r="N63" s="425"/>
    </row>
    <row r="64" spans="6:14" ht="14.25">
      <c r="F64" s="338"/>
      <c r="G64" s="364"/>
      <c r="N64" s="425"/>
    </row>
    <row r="65" spans="6:14" ht="14.25">
      <c r="F65" s="338"/>
      <c r="G65" s="364"/>
      <c r="N65" s="425"/>
    </row>
    <row r="66" spans="6:14" ht="14.25">
      <c r="F66" s="338"/>
      <c r="G66" s="364"/>
      <c r="N66" s="425"/>
    </row>
    <row r="67" spans="6:14" ht="14.25">
      <c r="F67" s="338"/>
      <c r="G67" s="364"/>
      <c r="N67" s="425"/>
    </row>
    <row r="68" spans="6:14" ht="14.25">
      <c r="F68" s="338"/>
      <c r="G68" s="364"/>
      <c r="N68" s="425"/>
    </row>
    <row r="69" spans="6:14" ht="14.25">
      <c r="F69" s="338"/>
      <c r="G69" s="364"/>
      <c r="N69" s="425"/>
    </row>
    <row r="70" spans="6:14" ht="14.25">
      <c r="F70" s="338"/>
      <c r="G70" s="364"/>
      <c r="N70" s="425"/>
    </row>
    <row r="71" spans="6:14" ht="14.25">
      <c r="F71" s="338"/>
      <c r="G71" s="364"/>
      <c r="N71" s="425"/>
    </row>
    <row r="72" spans="6:14" ht="14.25">
      <c r="F72" s="338"/>
      <c r="G72" s="364"/>
      <c r="N72" s="425"/>
    </row>
    <row r="73" spans="6:14" ht="14.25">
      <c r="F73" s="338"/>
      <c r="G73" s="364"/>
      <c r="N73" s="425"/>
    </row>
    <row r="74" spans="6:14" ht="14.25">
      <c r="F74" s="338"/>
      <c r="G74" s="364"/>
      <c r="N74" s="425"/>
    </row>
    <row r="75" spans="6:14" ht="14.25">
      <c r="F75" s="338"/>
      <c r="G75" s="364"/>
      <c r="N75" s="425"/>
    </row>
    <row r="76" spans="6:14" ht="14.25">
      <c r="F76" s="338"/>
      <c r="G76" s="338"/>
      <c r="N76" s="425"/>
    </row>
    <row r="77" spans="6:14" ht="14.25">
      <c r="F77" s="338"/>
      <c r="G77" s="338"/>
      <c r="N77" s="425"/>
    </row>
    <row r="78" spans="6:14" ht="14.25">
      <c r="F78" s="338"/>
      <c r="G78" s="338"/>
      <c r="N78" s="425"/>
    </row>
    <row r="79" spans="6:14" ht="14.25">
      <c r="F79" s="338"/>
      <c r="G79" s="338"/>
      <c r="N79" s="425"/>
    </row>
    <row r="80" spans="6:14" ht="14.25">
      <c r="F80" s="338"/>
      <c r="G80" s="338"/>
      <c r="N80" s="425"/>
    </row>
    <row r="81" spans="6:14" ht="14.25">
      <c r="F81" s="338"/>
      <c r="G81" s="338"/>
      <c r="N81" s="425"/>
    </row>
    <row r="82" spans="6:14" ht="14.25">
      <c r="F82" s="338"/>
      <c r="G82" s="338"/>
      <c r="N82" s="425"/>
    </row>
    <row r="83" spans="6:14" ht="14.25">
      <c r="F83" s="338"/>
      <c r="G83" s="338"/>
      <c r="N83" s="425"/>
    </row>
    <row r="84" spans="6:14" ht="14.25">
      <c r="F84" s="338"/>
      <c r="G84" s="338"/>
      <c r="N84" s="425"/>
    </row>
    <row r="85" spans="6:14" ht="14.25">
      <c r="F85" s="338"/>
      <c r="G85" s="338"/>
      <c r="N85" s="425"/>
    </row>
    <row r="86" spans="6:14" ht="14.25">
      <c r="F86" s="338"/>
      <c r="G86" s="338"/>
      <c r="N86" s="425"/>
    </row>
    <row r="87" spans="6:14" ht="14.25">
      <c r="F87" s="338"/>
      <c r="G87" s="338"/>
      <c r="N87" s="425"/>
    </row>
    <row r="88" spans="6:14" ht="14.25">
      <c r="F88" s="338"/>
      <c r="G88" s="338"/>
      <c r="N88" s="425"/>
    </row>
    <row r="89" spans="6:14" ht="14.25">
      <c r="F89" s="338"/>
      <c r="G89" s="338"/>
      <c r="N89" s="425"/>
    </row>
    <row r="90" spans="6:14" ht="14.25">
      <c r="F90" s="338"/>
      <c r="G90" s="338"/>
      <c r="N90" s="425"/>
    </row>
    <row r="91" spans="6:14" ht="14.25">
      <c r="F91" s="338"/>
      <c r="G91" s="338"/>
      <c r="N91" s="425"/>
    </row>
    <row r="92" spans="6:14" ht="14.25">
      <c r="F92" s="338"/>
      <c r="G92" s="338"/>
      <c r="N92" s="425"/>
    </row>
    <row r="93" spans="6:14">
      <c r="G93" s="338"/>
    </row>
    <row r="94" spans="6:14">
      <c r="G94" s="338"/>
    </row>
    <row r="95" spans="6:14">
      <c r="G95" s="338"/>
    </row>
    <row r="96" spans="6:14">
      <c r="G96" s="338"/>
    </row>
    <row r="97" spans="7:7">
      <c r="G97" s="338"/>
    </row>
    <row r="98" spans="7:7">
      <c r="G98" s="338"/>
    </row>
  </sheetData>
  <mergeCells count="14">
    <mergeCell ref="O4:O5"/>
    <mergeCell ref="H4:H5"/>
    <mergeCell ref="B2:I2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K4:K5"/>
    <mergeCell ref="E4:E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2"/>
  <dimension ref="A1:Q100"/>
  <sheetViews>
    <sheetView topLeftCell="A4" zoomScaleNormal="100" zoomScaleSheetLayoutView="100" workbookViewId="0">
      <selection activeCell="Q26" sqref="Q26"/>
    </sheetView>
  </sheetViews>
  <sheetFormatPr defaultRowHeight="12.75"/>
  <cols>
    <col min="1" max="1" width="9.140625" style="314"/>
    <col min="2" max="2" width="4.7109375" style="9" customWidth="1"/>
    <col min="3" max="3" width="5.140625" style="9" customWidth="1"/>
    <col min="4" max="4" width="5" style="9" customWidth="1"/>
    <col min="5" max="5" width="5" style="314" customWidth="1"/>
    <col min="6" max="6" width="8.7109375" style="18" customWidth="1"/>
    <col min="7" max="7" width="8.7109375" style="319" customWidth="1"/>
    <col min="8" max="8" width="50.7109375" style="9" customWidth="1"/>
    <col min="9" max="11" width="14.7109375" style="9" customWidth="1"/>
    <col min="12" max="13" width="14.7109375" style="314" customWidth="1"/>
    <col min="14" max="14" width="15.7109375" style="9" customWidth="1"/>
    <col min="15" max="15" width="7.7109375" style="380" customWidth="1"/>
    <col min="16" max="16384" width="9.140625" style="9"/>
  </cols>
  <sheetData>
    <row r="1" spans="1:17" ht="13.5" thickBot="1"/>
    <row r="2" spans="1:17" s="113" customFormat="1" ht="20.100000000000001" customHeight="1" thickTop="1" thickBot="1">
      <c r="A2" s="408"/>
      <c r="B2" s="887" t="s">
        <v>760</v>
      </c>
      <c r="C2" s="888"/>
      <c r="D2" s="888"/>
      <c r="E2" s="888"/>
      <c r="F2" s="888"/>
      <c r="G2" s="888"/>
      <c r="H2" s="888"/>
      <c r="I2" s="888"/>
      <c r="J2" s="888"/>
      <c r="K2" s="888"/>
      <c r="L2" s="888"/>
      <c r="M2" s="888"/>
      <c r="N2" s="888"/>
      <c r="O2" s="412"/>
      <c r="Q2" s="408"/>
    </row>
    <row r="3" spans="1:17" s="1" customFormat="1" ht="8.1" customHeight="1" thickTop="1" thickBot="1">
      <c r="A3" s="311"/>
      <c r="E3" s="311"/>
      <c r="F3" s="2"/>
      <c r="G3" s="312"/>
      <c r="H3" s="890"/>
      <c r="I3" s="890"/>
      <c r="J3" s="282"/>
      <c r="K3" s="282"/>
      <c r="L3" s="107"/>
      <c r="M3" s="107"/>
      <c r="N3" s="107"/>
      <c r="O3" s="374"/>
    </row>
    <row r="4" spans="1:17" s="1" customFormat="1" ht="39" customHeight="1">
      <c r="A4" s="311"/>
      <c r="B4" s="894" t="s">
        <v>77</v>
      </c>
      <c r="C4" s="909" t="s">
        <v>78</v>
      </c>
      <c r="D4" s="910" t="s">
        <v>107</v>
      </c>
      <c r="E4" s="916" t="s">
        <v>828</v>
      </c>
      <c r="F4" s="911" t="s">
        <v>517</v>
      </c>
      <c r="G4" s="899" t="s">
        <v>556</v>
      </c>
      <c r="H4" s="900" t="s">
        <v>79</v>
      </c>
      <c r="I4" s="912" t="s">
        <v>697</v>
      </c>
      <c r="J4" s="913" t="s">
        <v>862</v>
      </c>
      <c r="K4" s="917" t="s">
        <v>863</v>
      </c>
      <c r="L4" s="908" t="s">
        <v>865</v>
      </c>
      <c r="M4" s="892"/>
      <c r="N4" s="893"/>
      <c r="O4" s="906" t="s">
        <v>866</v>
      </c>
      <c r="Q4" s="81"/>
    </row>
    <row r="5" spans="1:17" s="311" customFormat="1" ht="27" customHeight="1">
      <c r="B5" s="895"/>
      <c r="C5" s="897"/>
      <c r="D5" s="897"/>
      <c r="E5" s="897"/>
      <c r="F5" s="901"/>
      <c r="G5" s="897"/>
      <c r="H5" s="901"/>
      <c r="I5" s="901"/>
      <c r="J5" s="901"/>
      <c r="K5" s="905"/>
      <c r="L5" s="587" t="s">
        <v>601</v>
      </c>
      <c r="M5" s="404" t="s">
        <v>602</v>
      </c>
      <c r="N5" s="720" t="s">
        <v>349</v>
      </c>
      <c r="O5" s="907"/>
    </row>
    <row r="6" spans="1:17" s="2" customFormat="1" ht="12.95" customHeight="1">
      <c r="A6" s="312"/>
      <c r="B6" s="525">
        <v>1</v>
      </c>
      <c r="C6" s="361">
        <v>2</v>
      </c>
      <c r="D6" s="361">
        <v>3</v>
      </c>
      <c r="E6" s="361">
        <v>4</v>
      </c>
      <c r="F6" s="361">
        <v>5</v>
      </c>
      <c r="G6" s="361">
        <v>6</v>
      </c>
      <c r="H6" s="361">
        <v>7</v>
      </c>
      <c r="I6" s="361">
        <v>8</v>
      </c>
      <c r="J6" s="361">
        <v>9</v>
      </c>
      <c r="K6" s="526">
        <v>10</v>
      </c>
      <c r="L6" s="525">
        <v>11</v>
      </c>
      <c r="M6" s="361">
        <v>12</v>
      </c>
      <c r="N6" s="721" t="s">
        <v>830</v>
      </c>
      <c r="O6" s="527">
        <v>14</v>
      </c>
    </row>
    <row r="7" spans="1:17" s="2" customFormat="1" ht="12.95" customHeight="1">
      <c r="A7" s="312"/>
      <c r="B7" s="6" t="s">
        <v>130</v>
      </c>
      <c r="C7" s="7" t="s">
        <v>80</v>
      </c>
      <c r="D7" s="7" t="s">
        <v>81</v>
      </c>
      <c r="E7" s="667" t="s">
        <v>838</v>
      </c>
      <c r="F7" s="5"/>
      <c r="G7" s="313"/>
      <c r="H7" s="5"/>
      <c r="I7" s="574"/>
      <c r="J7" s="313"/>
      <c r="K7" s="574"/>
      <c r="L7" s="4"/>
      <c r="M7" s="313"/>
      <c r="N7" s="722"/>
      <c r="O7" s="375"/>
    </row>
    <row r="8" spans="1:17" s="1" customFormat="1" ht="12.95" customHeight="1">
      <c r="A8" s="311"/>
      <c r="B8" s="12"/>
      <c r="C8" s="8"/>
      <c r="D8" s="8"/>
      <c r="E8" s="8"/>
      <c r="F8" s="335">
        <v>611000</v>
      </c>
      <c r="G8" s="361"/>
      <c r="H8" s="8" t="s">
        <v>146</v>
      </c>
      <c r="I8" s="738">
        <f t="shared" ref="I8:N8" si="0">SUM(I9:I12)</f>
        <v>656300</v>
      </c>
      <c r="J8" s="738">
        <f t="shared" si="0"/>
        <v>656300</v>
      </c>
      <c r="K8" s="744">
        <f t="shared" si="0"/>
        <v>149909</v>
      </c>
      <c r="L8" s="578">
        <f t="shared" si="0"/>
        <v>620880</v>
      </c>
      <c r="M8" s="236">
        <f t="shared" si="0"/>
        <v>0</v>
      </c>
      <c r="N8" s="723">
        <f t="shared" si="0"/>
        <v>620880</v>
      </c>
      <c r="O8" s="376">
        <f>IF(J8=0,"",N8/J8*100)</f>
        <v>94.603077860734416</v>
      </c>
    </row>
    <row r="9" spans="1:17" ht="12.95" customHeight="1">
      <c r="B9" s="10"/>
      <c r="C9" s="11"/>
      <c r="D9" s="11"/>
      <c r="E9" s="316"/>
      <c r="F9" s="336">
        <v>611100</v>
      </c>
      <c r="G9" s="362"/>
      <c r="H9" s="20" t="s">
        <v>174</v>
      </c>
      <c r="I9" s="739">
        <f>512910+9*1430+1*9*1140+3000+12830</f>
        <v>551870</v>
      </c>
      <c r="J9" s="739">
        <f>512910+9*1430+1*9*1140+3000+12830</f>
        <v>551870</v>
      </c>
      <c r="K9" s="741">
        <v>128213</v>
      </c>
      <c r="L9" s="579">
        <f>512630+4000+5*1140</f>
        <v>522330</v>
      </c>
      <c r="M9" s="235">
        <v>0</v>
      </c>
      <c r="N9" s="724">
        <f>SUM(L9:M9)</f>
        <v>522330</v>
      </c>
      <c r="O9" s="377">
        <f>IF(J9=0,"",N9/J9*100)</f>
        <v>94.647290122673823</v>
      </c>
    </row>
    <row r="10" spans="1:17" ht="12.95" customHeight="1">
      <c r="B10" s="10"/>
      <c r="C10" s="11"/>
      <c r="D10" s="11"/>
      <c r="E10" s="316"/>
      <c r="F10" s="336">
        <v>611200</v>
      </c>
      <c r="G10" s="362"/>
      <c r="H10" s="11" t="s">
        <v>175</v>
      </c>
      <c r="I10" s="800">
        <f>96460+2*9*21*15+2*400+1500</f>
        <v>104430</v>
      </c>
      <c r="J10" s="800">
        <f>96460+2*9*21*15+2*400+1500</f>
        <v>104430</v>
      </c>
      <c r="K10" s="557">
        <v>21696</v>
      </c>
      <c r="L10" s="629">
        <f>94970+2000+1580</f>
        <v>98550</v>
      </c>
      <c r="M10" s="239">
        <v>0</v>
      </c>
      <c r="N10" s="724">
        <f t="shared" ref="N10:N11" si="1">SUM(L10:M10)</f>
        <v>98550</v>
      </c>
      <c r="O10" s="377">
        <f t="shared" ref="O10:O45" si="2">IF(J10=0,"",N10/J10*100)</f>
        <v>94.369434070669342</v>
      </c>
    </row>
    <row r="11" spans="1:17" ht="12.95" customHeight="1">
      <c r="B11" s="10"/>
      <c r="C11" s="11"/>
      <c r="D11" s="11"/>
      <c r="E11" s="316"/>
      <c r="F11" s="336">
        <v>611200</v>
      </c>
      <c r="G11" s="362"/>
      <c r="H11" s="210" t="s">
        <v>464</v>
      </c>
      <c r="I11" s="739">
        <v>0</v>
      </c>
      <c r="J11" s="739">
        <v>0</v>
      </c>
      <c r="K11" s="741">
        <v>0</v>
      </c>
      <c r="L11" s="579">
        <v>0</v>
      </c>
      <c r="M11" s="235">
        <v>0</v>
      </c>
      <c r="N11" s="724">
        <f t="shared" si="1"/>
        <v>0</v>
      </c>
      <c r="O11" s="377" t="str">
        <f t="shared" si="2"/>
        <v/>
      </c>
      <c r="Q11" s="62"/>
    </row>
    <row r="12" spans="1:17" ht="12.95" customHeight="1">
      <c r="B12" s="10"/>
      <c r="C12" s="11"/>
      <c r="D12" s="11"/>
      <c r="E12" s="316"/>
      <c r="F12" s="336"/>
      <c r="G12" s="362"/>
      <c r="H12" s="20"/>
      <c r="I12" s="739"/>
      <c r="J12" s="739"/>
      <c r="K12" s="741"/>
      <c r="L12" s="579"/>
      <c r="M12" s="235"/>
      <c r="N12" s="724"/>
      <c r="O12" s="377" t="str">
        <f t="shared" si="2"/>
        <v/>
      </c>
    </row>
    <row r="13" spans="1:17" s="1" customFormat="1" ht="12.95" customHeight="1">
      <c r="A13" s="311"/>
      <c r="B13" s="12"/>
      <c r="C13" s="8"/>
      <c r="D13" s="8"/>
      <c r="E13" s="8"/>
      <c r="F13" s="335">
        <v>612000</v>
      </c>
      <c r="G13" s="361"/>
      <c r="H13" s="8" t="s">
        <v>145</v>
      </c>
      <c r="I13" s="738">
        <f t="shared" ref="I13:N13" si="3">I14</f>
        <v>58740</v>
      </c>
      <c r="J13" s="738">
        <f t="shared" si="3"/>
        <v>58740</v>
      </c>
      <c r="K13" s="744">
        <f t="shared" si="3"/>
        <v>13532</v>
      </c>
      <c r="L13" s="578">
        <f t="shared" si="3"/>
        <v>55690</v>
      </c>
      <c r="M13" s="236">
        <f t="shared" si="3"/>
        <v>0</v>
      </c>
      <c r="N13" s="723">
        <f t="shared" si="3"/>
        <v>55690</v>
      </c>
      <c r="O13" s="376">
        <f t="shared" si="2"/>
        <v>94.807626830098741</v>
      </c>
    </row>
    <row r="14" spans="1:17" ht="12.95" customHeight="1">
      <c r="B14" s="10"/>
      <c r="C14" s="11"/>
      <c r="D14" s="11"/>
      <c r="E14" s="316"/>
      <c r="F14" s="336">
        <v>612100</v>
      </c>
      <c r="G14" s="362"/>
      <c r="H14" s="13" t="s">
        <v>82</v>
      </c>
      <c r="I14" s="739">
        <f>54270+9*160+1*9*130+500+1360</f>
        <v>58740</v>
      </c>
      <c r="J14" s="739">
        <f>54270+9*160+1*9*130+500+1360</f>
        <v>58740</v>
      </c>
      <c r="K14" s="741">
        <v>13532</v>
      </c>
      <c r="L14" s="579">
        <f>54040+1000+5*130</f>
        <v>55690</v>
      </c>
      <c r="M14" s="235">
        <v>0</v>
      </c>
      <c r="N14" s="724">
        <f>SUM(L14:M14)</f>
        <v>55690</v>
      </c>
      <c r="O14" s="377">
        <f t="shared" si="2"/>
        <v>94.807626830098741</v>
      </c>
    </row>
    <row r="15" spans="1:17" ht="12.95" customHeight="1">
      <c r="B15" s="10"/>
      <c r="C15" s="11"/>
      <c r="D15" s="11"/>
      <c r="E15" s="316"/>
      <c r="F15" s="336"/>
      <c r="G15" s="362"/>
      <c r="H15" s="11"/>
      <c r="I15" s="586"/>
      <c r="J15" s="586"/>
      <c r="K15" s="791"/>
      <c r="L15" s="580"/>
      <c r="M15" s="309"/>
      <c r="N15" s="725"/>
      <c r="O15" s="377" t="str">
        <f t="shared" si="2"/>
        <v/>
      </c>
    </row>
    <row r="16" spans="1:17" s="1" customFormat="1" ht="12.95" customHeight="1">
      <c r="A16" s="311"/>
      <c r="B16" s="12"/>
      <c r="C16" s="8"/>
      <c r="D16" s="8"/>
      <c r="E16" s="8"/>
      <c r="F16" s="335">
        <v>613000</v>
      </c>
      <c r="G16" s="361"/>
      <c r="H16" s="8" t="s">
        <v>147</v>
      </c>
      <c r="I16" s="778">
        <f t="shared" ref="I16:N16" si="4">SUM(I17:I26)</f>
        <v>81270</v>
      </c>
      <c r="J16" s="778">
        <f t="shared" si="4"/>
        <v>81270</v>
      </c>
      <c r="K16" s="783">
        <f t="shared" si="4"/>
        <v>21930</v>
      </c>
      <c r="L16" s="581">
        <f t="shared" si="4"/>
        <v>77970</v>
      </c>
      <c r="M16" s="323">
        <f t="shared" si="4"/>
        <v>0</v>
      </c>
      <c r="N16" s="726">
        <f t="shared" si="4"/>
        <v>77970</v>
      </c>
      <c r="O16" s="376">
        <f t="shared" si="2"/>
        <v>95.939461055740125</v>
      </c>
    </row>
    <row r="17" spans="1:17" ht="12.95" customHeight="1">
      <c r="B17" s="10"/>
      <c r="C17" s="11"/>
      <c r="D17" s="11"/>
      <c r="E17" s="316"/>
      <c r="F17" s="336">
        <v>613100</v>
      </c>
      <c r="G17" s="362"/>
      <c r="H17" s="11" t="s">
        <v>83</v>
      </c>
      <c r="I17" s="741">
        <v>10500</v>
      </c>
      <c r="J17" s="741">
        <v>10500</v>
      </c>
      <c r="K17" s="741">
        <v>4476</v>
      </c>
      <c r="L17" s="568">
        <f>10500*80%</f>
        <v>8400</v>
      </c>
      <c r="M17" s="396">
        <v>0</v>
      </c>
      <c r="N17" s="724">
        <f t="shared" ref="N17:N26" si="5">SUM(L17:M17)</f>
        <v>8400</v>
      </c>
      <c r="O17" s="377">
        <f t="shared" si="2"/>
        <v>80</v>
      </c>
    </row>
    <row r="18" spans="1:17" ht="12.95" customHeight="1">
      <c r="B18" s="10"/>
      <c r="C18" s="11"/>
      <c r="D18" s="11"/>
      <c r="E18" s="316"/>
      <c r="F18" s="336">
        <v>613200</v>
      </c>
      <c r="G18" s="362"/>
      <c r="H18" s="11" t="s">
        <v>84</v>
      </c>
      <c r="I18" s="741">
        <v>0</v>
      </c>
      <c r="J18" s="741">
        <v>0</v>
      </c>
      <c r="K18" s="741">
        <v>0</v>
      </c>
      <c r="L18" s="568">
        <v>0</v>
      </c>
      <c r="M18" s="396">
        <v>0</v>
      </c>
      <c r="N18" s="724">
        <f t="shared" si="5"/>
        <v>0</v>
      </c>
      <c r="O18" s="377" t="str">
        <f t="shared" si="2"/>
        <v/>
      </c>
    </row>
    <row r="19" spans="1:17" ht="12.95" customHeight="1">
      <c r="B19" s="10"/>
      <c r="C19" s="11"/>
      <c r="D19" s="11"/>
      <c r="E19" s="316"/>
      <c r="F19" s="336">
        <v>613300</v>
      </c>
      <c r="G19" s="362"/>
      <c r="H19" s="20" t="s">
        <v>176</v>
      </c>
      <c r="I19" s="741">
        <v>5800</v>
      </c>
      <c r="J19" s="741">
        <v>5800</v>
      </c>
      <c r="K19" s="741">
        <v>1147</v>
      </c>
      <c r="L19" s="568">
        <v>5800</v>
      </c>
      <c r="M19" s="396">
        <v>0</v>
      </c>
      <c r="N19" s="724">
        <f t="shared" si="5"/>
        <v>5800</v>
      </c>
      <c r="O19" s="377">
        <f t="shared" si="2"/>
        <v>100</v>
      </c>
    </row>
    <row r="20" spans="1:17" ht="12.95" customHeight="1">
      <c r="B20" s="10"/>
      <c r="C20" s="11"/>
      <c r="D20" s="11"/>
      <c r="E20" s="316"/>
      <c r="F20" s="336">
        <v>613400</v>
      </c>
      <c r="G20" s="362"/>
      <c r="H20" s="11" t="s">
        <v>148</v>
      </c>
      <c r="I20" s="741">
        <v>3260</v>
      </c>
      <c r="J20" s="741">
        <v>3260</v>
      </c>
      <c r="K20" s="741">
        <v>1068</v>
      </c>
      <c r="L20" s="568">
        <v>3260</v>
      </c>
      <c r="M20" s="396">
        <v>0</v>
      </c>
      <c r="N20" s="724">
        <f t="shared" si="5"/>
        <v>3260</v>
      </c>
      <c r="O20" s="377">
        <f t="shared" si="2"/>
        <v>100</v>
      </c>
    </row>
    <row r="21" spans="1:17" ht="12.95" customHeight="1">
      <c r="B21" s="10"/>
      <c r="C21" s="11"/>
      <c r="D21" s="11"/>
      <c r="E21" s="316"/>
      <c r="F21" s="336">
        <v>613500</v>
      </c>
      <c r="G21" s="362"/>
      <c r="H21" s="11" t="s">
        <v>85</v>
      </c>
      <c r="I21" s="741">
        <v>500</v>
      </c>
      <c r="J21" s="741">
        <v>500</v>
      </c>
      <c r="K21" s="741">
        <v>10</v>
      </c>
      <c r="L21" s="568">
        <v>500</v>
      </c>
      <c r="M21" s="396">
        <v>0</v>
      </c>
      <c r="N21" s="724">
        <f t="shared" si="5"/>
        <v>500</v>
      </c>
      <c r="O21" s="377">
        <f t="shared" si="2"/>
        <v>100</v>
      </c>
    </row>
    <row r="22" spans="1:17" ht="12.95" customHeight="1">
      <c r="B22" s="10"/>
      <c r="C22" s="11"/>
      <c r="D22" s="11"/>
      <c r="E22" s="316"/>
      <c r="F22" s="336">
        <v>613600</v>
      </c>
      <c r="G22" s="362"/>
      <c r="H22" s="20" t="s">
        <v>177</v>
      </c>
      <c r="I22" s="741">
        <v>5500</v>
      </c>
      <c r="J22" s="741">
        <v>5500</v>
      </c>
      <c r="K22" s="741">
        <v>834</v>
      </c>
      <c r="L22" s="568">
        <v>5500</v>
      </c>
      <c r="M22" s="396">
        <v>0</v>
      </c>
      <c r="N22" s="724">
        <f t="shared" si="5"/>
        <v>5500</v>
      </c>
      <c r="O22" s="377">
        <f t="shared" si="2"/>
        <v>100</v>
      </c>
    </row>
    <row r="23" spans="1:17" ht="12.95" customHeight="1">
      <c r="B23" s="10"/>
      <c r="C23" s="11"/>
      <c r="D23" s="11"/>
      <c r="E23" s="316"/>
      <c r="F23" s="336">
        <v>613700</v>
      </c>
      <c r="G23" s="362"/>
      <c r="H23" s="11" t="s">
        <v>86</v>
      </c>
      <c r="I23" s="741">
        <v>10000</v>
      </c>
      <c r="J23" s="741">
        <v>10000</v>
      </c>
      <c r="K23" s="741">
        <v>1859</v>
      </c>
      <c r="L23" s="568">
        <v>10000</v>
      </c>
      <c r="M23" s="396">
        <v>0</v>
      </c>
      <c r="N23" s="724">
        <f t="shared" si="5"/>
        <v>10000</v>
      </c>
      <c r="O23" s="377">
        <f t="shared" si="2"/>
        <v>100</v>
      </c>
    </row>
    <row r="24" spans="1:17" ht="12.95" customHeight="1">
      <c r="B24" s="10"/>
      <c r="C24" s="11"/>
      <c r="D24" s="11"/>
      <c r="E24" s="316"/>
      <c r="F24" s="336">
        <v>613800</v>
      </c>
      <c r="G24" s="362"/>
      <c r="H24" s="11" t="s">
        <v>149</v>
      </c>
      <c r="I24" s="741">
        <v>710</v>
      </c>
      <c r="J24" s="741">
        <v>710</v>
      </c>
      <c r="K24" s="741">
        <v>0</v>
      </c>
      <c r="L24" s="568">
        <v>710</v>
      </c>
      <c r="M24" s="396">
        <v>0</v>
      </c>
      <c r="N24" s="724">
        <f t="shared" si="5"/>
        <v>710</v>
      </c>
      <c r="O24" s="377">
        <f t="shared" si="2"/>
        <v>100</v>
      </c>
    </row>
    <row r="25" spans="1:17" ht="12.95" customHeight="1">
      <c r="B25" s="10"/>
      <c r="C25" s="11"/>
      <c r="D25" s="11"/>
      <c r="E25" s="316"/>
      <c r="F25" s="336">
        <v>613900</v>
      </c>
      <c r="G25" s="362"/>
      <c r="H25" s="11" t="s">
        <v>150</v>
      </c>
      <c r="I25" s="741">
        <v>45000</v>
      </c>
      <c r="J25" s="741">
        <v>45000</v>
      </c>
      <c r="K25" s="741">
        <v>12536</v>
      </c>
      <c r="L25" s="568">
        <f>45000-1200</f>
        <v>43800</v>
      </c>
      <c r="M25" s="396">
        <v>0</v>
      </c>
      <c r="N25" s="724">
        <f t="shared" si="5"/>
        <v>43800</v>
      </c>
      <c r="O25" s="377">
        <f t="shared" si="2"/>
        <v>97.333333333333343</v>
      </c>
      <c r="P25" s="77"/>
    </row>
    <row r="26" spans="1:17" ht="12.95" customHeight="1">
      <c r="B26" s="10"/>
      <c r="C26" s="11"/>
      <c r="D26" s="11"/>
      <c r="E26" s="316"/>
      <c r="F26" s="336">
        <v>613900</v>
      </c>
      <c r="G26" s="362"/>
      <c r="H26" s="210" t="s">
        <v>465</v>
      </c>
      <c r="I26" s="741">
        <v>0</v>
      </c>
      <c r="J26" s="741">
        <v>0</v>
      </c>
      <c r="K26" s="741">
        <v>0</v>
      </c>
      <c r="L26" s="568">
        <v>0</v>
      </c>
      <c r="M26" s="396">
        <v>0</v>
      </c>
      <c r="N26" s="724">
        <f t="shared" si="5"/>
        <v>0</v>
      </c>
      <c r="O26" s="377" t="str">
        <f t="shared" si="2"/>
        <v/>
      </c>
    </row>
    <row r="27" spans="1:17" ht="12.95" customHeight="1">
      <c r="B27" s="10"/>
      <c r="C27" s="11"/>
      <c r="D27" s="11"/>
      <c r="E27" s="316"/>
      <c r="F27" s="336"/>
      <c r="G27" s="362"/>
      <c r="H27" s="11"/>
      <c r="I27" s="632"/>
      <c r="J27" s="632"/>
      <c r="K27" s="744"/>
      <c r="L27" s="588"/>
      <c r="M27" s="325"/>
      <c r="N27" s="726"/>
      <c r="O27" s="377" t="str">
        <f t="shared" si="2"/>
        <v/>
      </c>
    </row>
    <row r="28" spans="1:17" s="1" customFormat="1" ht="12.95" customHeight="1">
      <c r="A28" s="311"/>
      <c r="B28" s="12"/>
      <c r="C28" s="8"/>
      <c r="D28" s="8"/>
      <c r="E28" s="8"/>
      <c r="F28" s="335">
        <v>614000</v>
      </c>
      <c r="G28" s="361"/>
      <c r="H28" s="8" t="s">
        <v>178</v>
      </c>
      <c r="I28" s="632">
        <f t="shared" ref="I28:J28" si="6">SUM(I29:I32)</f>
        <v>1500000</v>
      </c>
      <c r="J28" s="632">
        <f t="shared" si="6"/>
        <v>1500000</v>
      </c>
      <c r="K28" s="744">
        <f t="shared" ref="K28:L28" si="7">SUM(K29:K32)</f>
        <v>0</v>
      </c>
      <c r="L28" s="588">
        <f t="shared" si="7"/>
        <v>1107050</v>
      </c>
      <c r="M28" s="325">
        <f t="shared" ref="M28:N28" si="8">SUM(M29:M32)</f>
        <v>362950</v>
      </c>
      <c r="N28" s="726">
        <f t="shared" si="8"/>
        <v>1470000</v>
      </c>
      <c r="O28" s="376">
        <f t="shared" si="2"/>
        <v>98</v>
      </c>
    </row>
    <row r="29" spans="1:17" s="1" customFormat="1" ht="12.95" customHeight="1">
      <c r="A29" s="311"/>
      <c r="B29" s="12"/>
      <c r="C29" s="8"/>
      <c r="D29" s="25"/>
      <c r="E29" s="25"/>
      <c r="F29" s="336">
        <v>614100</v>
      </c>
      <c r="G29" s="362" t="s">
        <v>582</v>
      </c>
      <c r="H29" s="13" t="s">
        <v>144</v>
      </c>
      <c r="I29" s="631">
        <v>150000</v>
      </c>
      <c r="J29" s="631">
        <v>150000</v>
      </c>
      <c r="K29" s="742">
        <v>0</v>
      </c>
      <c r="L29" s="622">
        <v>0</v>
      </c>
      <c r="M29" s="326">
        <v>120000</v>
      </c>
      <c r="N29" s="724">
        <f t="shared" ref="N29:N32" si="9">SUM(L29:M29)</f>
        <v>120000</v>
      </c>
      <c r="O29" s="377">
        <f t="shared" si="2"/>
        <v>80</v>
      </c>
    </row>
    <row r="30" spans="1:17" ht="12.95" customHeight="1">
      <c r="B30" s="10"/>
      <c r="C30" s="11"/>
      <c r="D30" s="11"/>
      <c r="E30" s="316"/>
      <c r="F30" s="336">
        <v>614500</v>
      </c>
      <c r="G30" s="362" t="s">
        <v>581</v>
      </c>
      <c r="H30" s="23" t="s">
        <v>338</v>
      </c>
      <c r="I30" s="631">
        <v>1100000</v>
      </c>
      <c r="J30" s="631">
        <v>1100000</v>
      </c>
      <c r="K30" s="742">
        <v>0</v>
      </c>
      <c r="L30" s="622">
        <v>1100000</v>
      </c>
      <c r="M30" s="326">
        <v>0</v>
      </c>
      <c r="N30" s="724">
        <f t="shared" si="9"/>
        <v>1100000</v>
      </c>
      <c r="O30" s="377">
        <f t="shared" si="2"/>
        <v>100</v>
      </c>
    </row>
    <row r="31" spans="1:17" ht="12.95" customHeight="1">
      <c r="B31" s="10"/>
      <c r="C31" s="11"/>
      <c r="D31" s="11"/>
      <c r="E31" s="316"/>
      <c r="F31" s="339">
        <v>614500</v>
      </c>
      <c r="G31" s="362" t="s">
        <v>583</v>
      </c>
      <c r="H31" s="23" t="s">
        <v>339</v>
      </c>
      <c r="I31" s="631">
        <v>150000</v>
      </c>
      <c r="J31" s="631">
        <v>150000</v>
      </c>
      <c r="K31" s="742">
        <v>0</v>
      </c>
      <c r="L31" s="622">
        <v>0</v>
      </c>
      <c r="M31" s="326">
        <v>150000</v>
      </c>
      <c r="N31" s="724">
        <f t="shared" si="9"/>
        <v>150000</v>
      </c>
      <c r="O31" s="377">
        <f t="shared" si="2"/>
        <v>100</v>
      </c>
      <c r="Q31" s="646"/>
    </row>
    <row r="32" spans="1:17" ht="12.95" customHeight="1">
      <c r="B32" s="10"/>
      <c r="C32" s="11"/>
      <c r="D32" s="11"/>
      <c r="E32" s="316"/>
      <c r="F32" s="339">
        <v>614500</v>
      </c>
      <c r="G32" s="362" t="s">
        <v>584</v>
      </c>
      <c r="H32" s="23" t="s">
        <v>340</v>
      </c>
      <c r="I32" s="631">
        <v>100000</v>
      </c>
      <c r="J32" s="631">
        <v>100000</v>
      </c>
      <c r="K32" s="742">
        <v>0</v>
      </c>
      <c r="L32" s="622">
        <v>7050</v>
      </c>
      <c r="M32" s="326">
        <f>100000-7050</f>
        <v>92950</v>
      </c>
      <c r="N32" s="724">
        <f t="shared" si="9"/>
        <v>100000</v>
      </c>
      <c r="O32" s="377">
        <f t="shared" si="2"/>
        <v>100</v>
      </c>
      <c r="Q32" s="80"/>
    </row>
    <row r="33" spans="1:17" s="314" customFormat="1" ht="12.95" customHeight="1">
      <c r="B33" s="315"/>
      <c r="C33" s="316"/>
      <c r="D33" s="316"/>
      <c r="E33" s="316"/>
      <c r="F33" s="336"/>
      <c r="G33" s="362"/>
      <c r="H33" s="316"/>
      <c r="I33" s="632"/>
      <c r="J33" s="632"/>
      <c r="K33" s="744"/>
      <c r="L33" s="588"/>
      <c r="M33" s="325"/>
      <c r="N33" s="726"/>
      <c r="O33" s="377" t="str">
        <f t="shared" ref="O33:O36" si="10">IF(J33=0,"",N33/J33*100)</f>
        <v/>
      </c>
      <c r="Q33" s="80"/>
    </row>
    <row r="34" spans="1:17" s="311" customFormat="1" ht="12.95" customHeight="1">
      <c r="B34" s="317"/>
      <c r="C34" s="8"/>
      <c r="D34" s="8"/>
      <c r="E34" s="8"/>
      <c r="F34" s="335">
        <v>615000</v>
      </c>
      <c r="G34" s="361"/>
      <c r="H34" s="8" t="s">
        <v>88</v>
      </c>
      <c r="I34" s="632">
        <f t="shared" ref="I34:K34" si="11">SUM(I35:I36)</f>
        <v>250000</v>
      </c>
      <c r="J34" s="632">
        <f t="shared" si="11"/>
        <v>250000</v>
      </c>
      <c r="K34" s="744">
        <f t="shared" si="11"/>
        <v>0</v>
      </c>
      <c r="L34" s="588">
        <f t="shared" ref="L34" si="12">SUM(L35:L36)</f>
        <v>0</v>
      </c>
      <c r="M34" s="325">
        <f t="shared" ref="M34:N34" si="13">SUM(M35:M36)</f>
        <v>80000</v>
      </c>
      <c r="N34" s="726">
        <f t="shared" si="13"/>
        <v>80000</v>
      </c>
      <c r="O34" s="376">
        <f t="shared" si="10"/>
        <v>32</v>
      </c>
    </row>
    <row r="35" spans="1:17" s="311" customFormat="1" ht="12.95" customHeight="1">
      <c r="B35" s="317"/>
      <c r="C35" s="8"/>
      <c r="D35" s="25"/>
      <c r="E35" s="25"/>
      <c r="F35" s="339">
        <v>615100</v>
      </c>
      <c r="G35" s="365" t="s">
        <v>855</v>
      </c>
      <c r="H35" s="84" t="s">
        <v>799</v>
      </c>
      <c r="I35" s="631">
        <v>150000</v>
      </c>
      <c r="J35" s="631">
        <v>150000</v>
      </c>
      <c r="K35" s="742">
        <v>0</v>
      </c>
      <c r="L35" s="622">
        <v>0</v>
      </c>
      <c r="M35" s="326">
        <v>30000</v>
      </c>
      <c r="N35" s="724">
        <f t="shared" ref="N35" si="14">SUM(L35:M35)</f>
        <v>30000</v>
      </c>
      <c r="O35" s="377">
        <f t="shared" ref="O35" si="15">IF(J35=0,"",N35/J35*100)</f>
        <v>20</v>
      </c>
    </row>
    <row r="36" spans="1:17" s="311" customFormat="1" ht="12.95" customHeight="1">
      <c r="B36" s="317"/>
      <c r="C36" s="8"/>
      <c r="D36" s="25"/>
      <c r="E36" s="25"/>
      <c r="F36" s="339">
        <v>615100</v>
      </c>
      <c r="G36" s="365" t="s">
        <v>856</v>
      </c>
      <c r="H36" s="84" t="s">
        <v>786</v>
      </c>
      <c r="I36" s="631">
        <v>100000</v>
      </c>
      <c r="J36" s="631">
        <v>100000</v>
      </c>
      <c r="K36" s="742">
        <v>0</v>
      </c>
      <c r="L36" s="622">
        <v>0</v>
      </c>
      <c r="M36" s="326">
        <v>50000</v>
      </c>
      <c r="N36" s="724">
        <f t="shared" ref="N36" si="16">SUM(L36:M36)</f>
        <v>50000</v>
      </c>
      <c r="O36" s="377">
        <f t="shared" si="10"/>
        <v>50</v>
      </c>
    </row>
    <row r="37" spans="1:17" ht="12.95" customHeight="1">
      <c r="B37" s="10"/>
      <c r="C37" s="11"/>
      <c r="D37" s="11"/>
      <c r="E37" s="316"/>
      <c r="F37" s="336"/>
      <c r="G37" s="362"/>
      <c r="H37" s="20"/>
      <c r="I37" s="740"/>
      <c r="J37" s="740"/>
      <c r="K37" s="741"/>
      <c r="L37" s="583"/>
      <c r="M37" s="310"/>
      <c r="N37" s="725"/>
      <c r="O37" s="377" t="str">
        <f t="shared" si="2"/>
        <v/>
      </c>
    </row>
    <row r="38" spans="1:17" s="1" customFormat="1" ht="12.95" customHeight="1">
      <c r="A38" s="311"/>
      <c r="B38" s="12"/>
      <c r="C38" s="8"/>
      <c r="D38" s="8"/>
      <c r="E38" s="8"/>
      <c r="F38" s="335">
        <v>821000</v>
      </c>
      <c r="G38" s="361"/>
      <c r="H38" s="8" t="s">
        <v>89</v>
      </c>
      <c r="I38" s="632">
        <f t="shared" ref="I38:N38" si="17">SUM(I39:I41)</f>
        <v>40000</v>
      </c>
      <c r="J38" s="632">
        <f t="shared" si="17"/>
        <v>40000</v>
      </c>
      <c r="K38" s="744">
        <f t="shared" si="17"/>
        <v>615</v>
      </c>
      <c r="L38" s="588">
        <f t="shared" si="17"/>
        <v>5000</v>
      </c>
      <c r="M38" s="325">
        <f t="shared" si="17"/>
        <v>30000</v>
      </c>
      <c r="N38" s="726">
        <f t="shared" si="17"/>
        <v>35000</v>
      </c>
      <c r="O38" s="376">
        <f t="shared" si="2"/>
        <v>87.5</v>
      </c>
    </row>
    <row r="39" spans="1:17" ht="12.95" customHeight="1">
      <c r="B39" s="10"/>
      <c r="C39" s="11"/>
      <c r="D39" s="11"/>
      <c r="E39" s="316"/>
      <c r="F39" s="336">
        <v>821200</v>
      </c>
      <c r="G39" s="362"/>
      <c r="H39" s="11" t="s">
        <v>90</v>
      </c>
      <c r="I39" s="740">
        <v>0</v>
      </c>
      <c r="J39" s="740">
        <v>0</v>
      </c>
      <c r="K39" s="741">
        <v>0</v>
      </c>
      <c r="L39" s="583">
        <v>0</v>
      </c>
      <c r="M39" s="310">
        <v>0</v>
      </c>
      <c r="N39" s="724">
        <f t="shared" ref="N39:N40" si="18">SUM(L39:M39)</f>
        <v>0</v>
      </c>
      <c r="O39" s="377" t="str">
        <f t="shared" si="2"/>
        <v/>
      </c>
    </row>
    <row r="40" spans="1:17" ht="12.95" customHeight="1">
      <c r="B40" s="10"/>
      <c r="C40" s="11"/>
      <c r="D40" s="11"/>
      <c r="E40" s="316"/>
      <c r="F40" s="336">
        <v>821300</v>
      </c>
      <c r="G40" s="362"/>
      <c r="H40" s="11" t="s">
        <v>91</v>
      </c>
      <c r="I40" s="740">
        <v>40000</v>
      </c>
      <c r="J40" s="740">
        <v>40000</v>
      </c>
      <c r="K40" s="741">
        <v>615</v>
      </c>
      <c r="L40" s="583">
        <v>5000</v>
      </c>
      <c r="M40" s="310">
        <v>30000</v>
      </c>
      <c r="N40" s="724">
        <f t="shared" si="18"/>
        <v>35000</v>
      </c>
      <c r="O40" s="377">
        <f t="shared" si="2"/>
        <v>87.5</v>
      </c>
    </row>
    <row r="41" spans="1:17" ht="12.95" customHeight="1">
      <c r="B41" s="10"/>
      <c r="C41" s="11"/>
      <c r="D41" s="11"/>
      <c r="E41" s="316"/>
      <c r="F41" s="336"/>
      <c r="G41" s="362"/>
      <c r="H41" s="20"/>
      <c r="I41" s="740"/>
      <c r="J41" s="740"/>
      <c r="K41" s="741"/>
      <c r="L41" s="583"/>
      <c r="M41" s="310"/>
      <c r="N41" s="725"/>
      <c r="O41" s="377" t="str">
        <f t="shared" si="2"/>
        <v/>
      </c>
    </row>
    <row r="42" spans="1:17" s="1" customFormat="1" ht="12.95" customHeight="1">
      <c r="A42" s="311"/>
      <c r="B42" s="12"/>
      <c r="C42" s="8"/>
      <c r="D42" s="8"/>
      <c r="E42" s="8"/>
      <c r="F42" s="335"/>
      <c r="G42" s="361"/>
      <c r="H42" s="8" t="s">
        <v>92</v>
      </c>
      <c r="I42" s="785" t="s">
        <v>798</v>
      </c>
      <c r="J42" s="785" t="s">
        <v>798</v>
      </c>
      <c r="K42" s="790">
        <v>24</v>
      </c>
      <c r="L42" s="627" t="s">
        <v>798</v>
      </c>
      <c r="M42" s="308"/>
      <c r="N42" s="727" t="s">
        <v>798</v>
      </c>
      <c r="O42" s="377"/>
    </row>
    <row r="43" spans="1:17" s="1" customFormat="1" ht="12.95" customHeight="1">
      <c r="A43" s="311"/>
      <c r="B43" s="12"/>
      <c r="C43" s="8"/>
      <c r="D43" s="8"/>
      <c r="E43" s="8"/>
      <c r="F43" s="335"/>
      <c r="G43" s="361"/>
      <c r="H43" s="8" t="s">
        <v>110</v>
      </c>
      <c r="I43" s="575">
        <f t="shared" ref="I43:N43" si="19">I8+I13+I16+I28+I34+I38</f>
        <v>2586310</v>
      </c>
      <c r="J43" s="318">
        <f t="shared" si="19"/>
        <v>2586310</v>
      </c>
      <c r="K43" s="575">
        <f t="shared" si="19"/>
        <v>185986</v>
      </c>
      <c r="L43" s="582">
        <f t="shared" si="19"/>
        <v>1866590</v>
      </c>
      <c r="M43" s="318">
        <f t="shared" si="19"/>
        <v>472950</v>
      </c>
      <c r="N43" s="726">
        <f t="shared" si="19"/>
        <v>2339540</v>
      </c>
      <c r="O43" s="376">
        <f t="shared" si="2"/>
        <v>90.458607050198935</v>
      </c>
    </row>
    <row r="44" spans="1:17" s="1" customFormat="1" ht="12.95" customHeight="1">
      <c r="A44" s="311"/>
      <c r="B44" s="12"/>
      <c r="C44" s="8"/>
      <c r="D44" s="8"/>
      <c r="E44" s="8"/>
      <c r="F44" s="335"/>
      <c r="G44" s="361"/>
      <c r="H44" s="8" t="s">
        <v>93</v>
      </c>
      <c r="I44" s="15">
        <f>I43</f>
        <v>2586310</v>
      </c>
      <c r="J44" s="15">
        <f>J43</f>
        <v>2586310</v>
      </c>
      <c r="K44" s="575">
        <f t="shared" ref="K44" si="20">K43</f>
        <v>185986</v>
      </c>
      <c r="L44" s="582">
        <f t="shared" ref="L44:N45" si="21">L43</f>
        <v>1866590</v>
      </c>
      <c r="M44" s="318">
        <f t="shared" si="21"/>
        <v>472950</v>
      </c>
      <c r="N44" s="726">
        <f t="shared" si="21"/>
        <v>2339540</v>
      </c>
      <c r="O44" s="376">
        <f t="shared" si="2"/>
        <v>90.458607050198935</v>
      </c>
    </row>
    <row r="45" spans="1:17" s="1" customFormat="1" ht="12.95" customHeight="1">
      <c r="A45" s="311"/>
      <c r="B45" s="12"/>
      <c r="C45" s="8"/>
      <c r="D45" s="8"/>
      <c r="E45" s="8"/>
      <c r="F45" s="335"/>
      <c r="G45" s="361"/>
      <c r="H45" s="8" t="s">
        <v>94</v>
      </c>
      <c r="I45" s="15">
        <f>I44</f>
        <v>2586310</v>
      </c>
      <c r="J45" s="15">
        <f>J44</f>
        <v>2586310</v>
      </c>
      <c r="K45" s="575">
        <f t="shared" ref="K45" si="22">K44</f>
        <v>185986</v>
      </c>
      <c r="L45" s="582">
        <f t="shared" si="21"/>
        <v>1866590</v>
      </c>
      <c r="M45" s="318">
        <f t="shared" si="21"/>
        <v>472950</v>
      </c>
      <c r="N45" s="726">
        <f t="shared" si="21"/>
        <v>2339540</v>
      </c>
      <c r="O45" s="376">
        <f t="shared" si="2"/>
        <v>90.458607050198935</v>
      </c>
    </row>
    <row r="46" spans="1:17" ht="12.95" customHeight="1" thickBot="1">
      <c r="B46" s="16"/>
      <c r="C46" s="17"/>
      <c r="D46" s="17"/>
      <c r="E46" s="17"/>
      <c r="F46" s="337"/>
      <c r="G46" s="363"/>
      <c r="H46" s="17"/>
      <c r="I46" s="32"/>
      <c r="J46" s="32"/>
      <c r="K46" s="576"/>
      <c r="L46" s="585"/>
      <c r="M46" s="32"/>
      <c r="N46" s="728"/>
      <c r="O46" s="379"/>
    </row>
    <row r="47" spans="1:17" ht="12.95" customHeight="1">
      <c r="F47" s="338"/>
      <c r="G47" s="364"/>
      <c r="N47" s="423"/>
    </row>
    <row r="48" spans="1:17" ht="12.95" customHeight="1">
      <c r="B48" s="55"/>
      <c r="F48" s="338"/>
      <c r="G48" s="364"/>
      <c r="N48" s="423"/>
    </row>
    <row r="49" spans="2:14" ht="12.95" customHeight="1">
      <c r="B49" s="55"/>
      <c r="F49" s="338"/>
      <c r="G49" s="364"/>
      <c r="N49" s="423"/>
    </row>
    <row r="50" spans="2:14" ht="12.95" customHeight="1">
      <c r="B50" s="55"/>
      <c r="F50" s="338"/>
      <c r="G50" s="364"/>
      <c r="N50" s="423"/>
    </row>
    <row r="51" spans="2:14" ht="12.95" customHeight="1">
      <c r="F51" s="338"/>
      <c r="G51" s="364"/>
      <c r="N51" s="423"/>
    </row>
    <row r="52" spans="2:14" ht="12.95" customHeight="1">
      <c r="F52" s="338"/>
      <c r="G52" s="364"/>
      <c r="N52" s="423"/>
    </row>
    <row r="53" spans="2:14" ht="12.95" customHeight="1">
      <c r="F53" s="338"/>
      <c r="G53" s="364"/>
      <c r="N53" s="423"/>
    </row>
    <row r="54" spans="2:14" ht="12.95" customHeight="1">
      <c r="F54" s="338"/>
      <c r="G54" s="364"/>
      <c r="N54" s="423"/>
    </row>
    <row r="55" spans="2:14" ht="12.95" customHeight="1">
      <c r="F55" s="338"/>
      <c r="G55" s="364"/>
      <c r="N55" s="423"/>
    </row>
    <row r="56" spans="2:14" ht="12.95" customHeight="1">
      <c r="F56" s="338"/>
      <c r="G56" s="364"/>
      <c r="N56" s="423"/>
    </row>
    <row r="57" spans="2:14" ht="12.95" customHeight="1">
      <c r="F57" s="338"/>
      <c r="G57" s="364"/>
      <c r="N57" s="423"/>
    </row>
    <row r="58" spans="2:14" ht="12.95" customHeight="1">
      <c r="F58" s="338"/>
      <c r="G58" s="364"/>
      <c r="N58" s="423"/>
    </row>
    <row r="59" spans="2:14" ht="12.95" customHeight="1">
      <c r="F59" s="338"/>
      <c r="G59" s="364"/>
      <c r="N59" s="423"/>
    </row>
    <row r="60" spans="2:14" ht="12.95" customHeight="1">
      <c r="F60" s="338"/>
      <c r="G60" s="364"/>
      <c r="N60" s="423"/>
    </row>
    <row r="61" spans="2:14" ht="12.95" customHeight="1">
      <c r="F61" s="338"/>
      <c r="G61" s="364"/>
      <c r="N61" s="423"/>
    </row>
    <row r="62" spans="2:14" ht="12.95" customHeight="1">
      <c r="F62" s="338"/>
      <c r="G62" s="364"/>
      <c r="N62" s="423"/>
    </row>
    <row r="63" spans="2:14" ht="12.95" customHeight="1">
      <c r="F63" s="338"/>
      <c r="G63" s="364"/>
      <c r="N63" s="423"/>
    </row>
    <row r="64" spans="2:14" ht="17.100000000000001" customHeight="1">
      <c r="F64" s="338"/>
      <c r="G64" s="364"/>
      <c r="N64" s="423"/>
    </row>
    <row r="65" spans="6:14" ht="14.25">
      <c r="F65" s="338"/>
      <c r="G65" s="364"/>
      <c r="N65" s="423"/>
    </row>
    <row r="66" spans="6:14" ht="14.25">
      <c r="F66" s="338"/>
      <c r="G66" s="364"/>
      <c r="N66" s="423"/>
    </row>
    <row r="67" spans="6:14" ht="14.25">
      <c r="F67" s="338"/>
      <c r="G67" s="364"/>
      <c r="N67" s="423"/>
    </row>
    <row r="68" spans="6:14" ht="14.25">
      <c r="F68" s="338"/>
      <c r="G68" s="364"/>
      <c r="N68" s="423"/>
    </row>
    <row r="69" spans="6:14" ht="14.25">
      <c r="F69" s="338"/>
      <c r="G69" s="364"/>
      <c r="N69" s="423"/>
    </row>
    <row r="70" spans="6:14" ht="14.25">
      <c r="F70" s="338"/>
      <c r="G70" s="364"/>
      <c r="N70" s="423"/>
    </row>
    <row r="71" spans="6:14" ht="14.25">
      <c r="F71" s="338"/>
      <c r="G71" s="364"/>
      <c r="N71" s="423"/>
    </row>
    <row r="72" spans="6:14" ht="14.25">
      <c r="F72" s="338"/>
      <c r="G72" s="364"/>
      <c r="N72" s="423"/>
    </row>
    <row r="73" spans="6:14" ht="14.25">
      <c r="F73" s="338"/>
      <c r="G73" s="364"/>
      <c r="N73" s="423"/>
    </row>
    <row r="74" spans="6:14" ht="14.25">
      <c r="F74" s="338"/>
      <c r="G74" s="364"/>
      <c r="N74" s="423"/>
    </row>
    <row r="75" spans="6:14" ht="14.25">
      <c r="F75" s="338"/>
      <c r="G75" s="364"/>
      <c r="N75" s="423"/>
    </row>
    <row r="76" spans="6:14" ht="14.25">
      <c r="F76" s="338"/>
      <c r="G76" s="364"/>
      <c r="N76" s="423"/>
    </row>
    <row r="77" spans="6:14" ht="14.25">
      <c r="F77" s="338"/>
      <c r="G77" s="364"/>
      <c r="N77" s="423"/>
    </row>
    <row r="78" spans="6:14" ht="14.25">
      <c r="F78" s="338"/>
      <c r="G78" s="338"/>
      <c r="N78" s="423"/>
    </row>
    <row r="79" spans="6:14" ht="14.25">
      <c r="F79" s="338"/>
      <c r="G79" s="338"/>
      <c r="N79" s="423"/>
    </row>
    <row r="80" spans="6:14" ht="14.25">
      <c r="F80" s="338"/>
      <c r="G80" s="338"/>
      <c r="N80" s="423"/>
    </row>
    <row r="81" spans="6:14" ht="14.25">
      <c r="F81" s="338"/>
      <c r="G81" s="338"/>
      <c r="N81" s="423"/>
    </row>
    <row r="82" spans="6:14" ht="14.25">
      <c r="F82" s="338"/>
      <c r="G82" s="338"/>
      <c r="N82" s="423"/>
    </row>
    <row r="83" spans="6:14" ht="14.25">
      <c r="F83" s="338"/>
      <c r="G83" s="338"/>
      <c r="N83" s="423"/>
    </row>
    <row r="84" spans="6:14" ht="14.25">
      <c r="F84" s="338"/>
      <c r="G84" s="338"/>
      <c r="N84" s="423"/>
    </row>
    <row r="85" spans="6:14" ht="14.25">
      <c r="F85" s="338"/>
      <c r="G85" s="338"/>
      <c r="N85" s="423"/>
    </row>
    <row r="86" spans="6:14" ht="14.25">
      <c r="F86" s="338"/>
      <c r="G86" s="338"/>
      <c r="N86" s="423"/>
    </row>
    <row r="87" spans="6:14" ht="14.25">
      <c r="F87" s="338"/>
      <c r="G87" s="338"/>
      <c r="N87" s="423"/>
    </row>
    <row r="88" spans="6:14" ht="14.25">
      <c r="F88" s="338"/>
      <c r="G88" s="338"/>
      <c r="N88" s="423"/>
    </row>
    <row r="89" spans="6:14" ht="14.25">
      <c r="F89" s="338"/>
      <c r="G89" s="338"/>
      <c r="N89" s="423"/>
    </row>
    <row r="90" spans="6:14" ht="14.25">
      <c r="F90" s="338"/>
      <c r="G90" s="338"/>
      <c r="N90" s="423"/>
    </row>
    <row r="91" spans="6:14" ht="14.25">
      <c r="F91" s="338"/>
      <c r="G91" s="338"/>
      <c r="N91" s="423"/>
    </row>
    <row r="92" spans="6:14" ht="14.25">
      <c r="F92" s="338"/>
      <c r="G92" s="338"/>
      <c r="N92" s="423"/>
    </row>
    <row r="93" spans="6:14" ht="14.25">
      <c r="F93" s="338"/>
      <c r="G93" s="338"/>
      <c r="N93" s="423"/>
    </row>
    <row r="94" spans="6:14" ht="14.25">
      <c r="F94" s="338"/>
      <c r="G94" s="338"/>
      <c r="N94" s="423"/>
    </row>
    <row r="95" spans="6:14">
      <c r="G95" s="338"/>
    </row>
    <row r="96" spans="6:14">
      <c r="G96" s="338"/>
    </row>
    <row r="97" spans="7:7">
      <c r="G97" s="338"/>
    </row>
    <row r="98" spans="7:7">
      <c r="G98" s="338"/>
    </row>
    <row r="99" spans="7:7">
      <c r="G99" s="338"/>
    </row>
    <row r="100" spans="7:7">
      <c r="G100" s="338"/>
    </row>
  </sheetData>
  <mergeCells count="14">
    <mergeCell ref="O4:O5"/>
    <mergeCell ref="H4:H5"/>
    <mergeCell ref="B2:N2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K4:K5"/>
    <mergeCell ref="E4:E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3"/>
  <dimension ref="A1:R94"/>
  <sheetViews>
    <sheetView topLeftCell="A4" zoomScaleNormal="100" zoomScaleSheetLayoutView="100" workbookViewId="0">
      <selection activeCell="R53" sqref="R53"/>
    </sheetView>
  </sheetViews>
  <sheetFormatPr defaultRowHeight="12.75"/>
  <cols>
    <col min="1" max="1" width="9.140625" style="314"/>
    <col min="2" max="2" width="4.7109375" style="9" customWidth="1"/>
    <col min="3" max="3" width="5.140625" style="9" customWidth="1"/>
    <col min="4" max="4" width="5" style="9" customWidth="1"/>
    <col min="5" max="5" width="5" style="314" customWidth="1"/>
    <col min="6" max="6" width="8.7109375" style="18" customWidth="1"/>
    <col min="7" max="7" width="8.7109375" style="319" customWidth="1"/>
    <col min="8" max="8" width="50.7109375" style="9" customWidth="1"/>
    <col min="9" max="11" width="14.7109375" style="9" customWidth="1"/>
    <col min="12" max="13" width="14.7109375" style="314" customWidth="1"/>
    <col min="14" max="14" width="15.7109375" style="9" customWidth="1"/>
    <col min="15" max="15" width="7.7109375" style="380" customWidth="1"/>
    <col min="16" max="16384" width="9.140625" style="9"/>
  </cols>
  <sheetData>
    <row r="1" spans="1:17" ht="13.5" thickBot="1"/>
    <row r="2" spans="1:17" s="113" customFormat="1" ht="20.100000000000001" customHeight="1" thickTop="1" thickBot="1">
      <c r="A2" s="408"/>
      <c r="B2" s="887" t="s">
        <v>761</v>
      </c>
      <c r="C2" s="888"/>
      <c r="D2" s="888"/>
      <c r="E2" s="888"/>
      <c r="F2" s="888"/>
      <c r="G2" s="888"/>
      <c r="H2" s="888"/>
      <c r="I2" s="888"/>
      <c r="J2" s="409"/>
      <c r="K2" s="409"/>
      <c r="L2" s="411"/>
      <c r="M2" s="411"/>
      <c r="N2" s="411"/>
      <c r="O2" s="413"/>
      <c r="Q2" s="408"/>
    </row>
    <row r="3" spans="1:17" s="1" customFormat="1" ht="8.1" customHeight="1" thickTop="1" thickBot="1">
      <c r="A3" s="311"/>
      <c r="E3" s="311"/>
      <c r="F3" s="2"/>
      <c r="G3" s="312"/>
      <c r="H3" s="890"/>
      <c r="I3" s="890"/>
      <c r="J3" s="282"/>
      <c r="K3" s="282"/>
      <c r="L3" s="107"/>
      <c r="M3" s="107"/>
      <c r="N3" s="107"/>
      <c r="O3" s="374"/>
    </row>
    <row r="4" spans="1:17" s="1" customFormat="1" ht="39" customHeight="1">
      <c r="A4" s="311"/>
      <c r="B4" s="894" t="s">
        <v>77</v>
      </c>
      <c r="C4" s="909" t="s">
        <v>78</v>
      </c>
      <c r="D4" s="910" t="s">
        <v>107</v>
      </c>
      <c r="E4" s="916" t="s">
        <v>828</v>
      </c>
      <c r="F4" s="911" t="s">
        <v>517</v>
      </c>
      <c r="G4" s="899" t="s">
        <v>556</v>
      </c>
      <c r="H4" s="900" t="s">
        <v>79</v>
      </c>
      <c r="I4" s="912" t="s">
        <v>697</v>
      </c>
      <c r="J4" s="913" t="s">
        <v>862</v>
      </c>
      <c r="K4" s="917" t="s">
        <v>863</v>
      </c>
      <c r="L4" s="908" t="s">
        <v>865</v>
      </c>
      <c r="M4" s="892"/>
      <c r="N4" s="893"/>
      <c r="O4" s="906" t="s">
        <v>866</v>
      </c>
      <c r="Q4" s="81"/>
    </row>
    <row r="5" spans="1:17" s="311" customFormat="1" ht="27" customHeight="1">
      <c r="B5" s="895"/>
      <c r="C5" s="897"/>
      <c r="D5" s="897"/>
      <c r="E5" s="897"/>
      <c r="F5" s="901"/>
      <c r="G5" s="897"/>
      <c r="H5" s="901"/>
      <c r="I5" s="901"/>
      <c r="J5" s="901"/>
      <c r="K5" s="905"/>
      <c r="L5" s="587" t="s">
        <v>601</v>
      </c>
      <c r="M5" s="404" t="s">
        <v>602</v>
      </c>
      <c r="N5" s="720" t="s">
        <v>349</v>
      </c>
      <c r="O5" s="907"/>
    </row>
    <row r="6" spans="1:17" s="542" customFormat="1" ht="11.1" customHeight="1">
      <c r="B6" s="525">
        <v>1</v>
      </c>
      <c r="C6" s="361">
        <v>2</v>
      </c>
      <c r="D6" s="361">
        <v>3</v>
      </c>
      <c r="E6" s="361">
        <v>4</v>
      </c>
      <c r="F6" s="361">
        <v>5</v>
      </c>
      <c r="G6" s="361">
        <v>6</v>
      </c>
      <c r="H6" s="361">
        <v>7</v>
      </c>
      <c r="I6" s="361">
        <v>8</v>
      </c>
      <c r="J6" s="361">
        <v>9</v>
      </c>
      <c r="K6" s="526">
        <v>10</v>
      </c>
      <c r="L6" s="525">
        <v>11</v>
      </c>
      <c r="M6" s="361">
        <v>12</v>
      </c>
      <c r="N6" s="721" t="s">
        <v>830</v>
      </c>
      <c r="O6" s="527">
        <v>14</v>
      </c>
    </row>
    <row r="7" spans="1:17" s="2" customFormat="1" ht="12.95" customHeight="1">
      <c r="A7" s="312"/>
      <c r="B7" s="6" t="s">
        <v>131</v>
      </c>
      <c r="C7" s="7" t="s">
        <v>80</v>
      </c>
      <c r="D7" s="7" t="s">
        <v>81</v>
      </c>
      <c r="E7" s="667" t="s">
        <v>839</v>
      </c>
      <c r="F7" s="5"/>
      <c r="G7" s="313"/>
      <c r="H7" s="5"/>
      <c r="I7" s="574"/>
      <c r="J7" s="313"/>
      <c r="K7" s="574"/>
      <c r="L7" s="4"/>
      <c r="M7" s="313"/>
      <c r="N7" s="722"/>
      <c r="O7" s="375"/>
    </row>
    <row r="8" spans="1:17" s="1" customFormat="1" ht="12.95" customHeight="1">
      <c r="A8" s="311"/>
      <c r="B8" s="12"/>
      <c r="C8" s="8"/>
      <c r="D8" s="8"/>
      <c r="E8" s="8"/>
      <c r="F8" s="335">
        <v>611000</v>
      </c>
      <c r="G8" s="361"/>
      <c r="H8" s="8" t="s">
        <v>146</v>
      </c>
      <c r="I8" s="774">
        <f t="shared" ref="I8:N8" si="0">SUM(I9:I12)</f>
        <v>327680</v>
      </c>
      <c r="J8" s="774">
        <f t="shared" si="0"/>
        <v>327680</v>
      </c>
      <c r="K8" s="780">
        <f t="shared" si="0"/>
        <v>74237</v>
      </c>
      <c r="L8" s="590">
        <f t="shared" si="0"/>
        <v>304290</v>
      </c>
      <c r="M8" s="249">
        <f t="shared" si="0"/>
        <v>0</v>
      </c>
      <c r="N8" s="723">
        <f t="shared" si="0"/>
        <v>304290</v>
      </c>
      <c r="O8" s="376">
        <f>IF(J8=0,"",N8/J8*100)</f>
        <v>92.8619384765625</v>
      </c>
    </row>
    <row r="9" spans="1:17" ht="12.95" customHeight="1">
      <c r="B9" s="10"/>
      <c r="C9" s="11"/>
      <c r="D9" s="11"/>
      <c r="E9" s="316"/>
      <c r="F9" s="336">
        <v>611100</v>
      </c>
      <c r="G9" s="362"/>
      <c r="H9" s="20" t="s">
        <v>174</v>
      </c>
      <c r="I9" s="775">
        <f>262050+9*1620+1000+6560</f>
        <v>284190</v>
      </c>
      <c r="J9" s="775">
        <f>262050+9*1620+1000+6560</f>
        <v>284190</v>
      </c>
      <c r="K9" s="781">
        <v>65557</v>
      </c>
      <c r="L9" s="620">
        <f>262150+1500</f>
        <v>263650</v>
      </c>
      <c r="M9" s="251">
        <v>0</v>
      </c>
      <c r="N9" s="724">
        <f>SUM(L9:M9)</f>
        <v>263650</v>
      </c>
      <c r="O9" s="377">
        <f>IF(J9=0,"",N9/J9*100)</f>
        <v>92.772440972588768</v>
      </c>
    </row>
    <row r="10" spans="1:17" ht="12.95" customHeight="1">
      <c r="B10" s="10"/>
      <c r="C10" s="11"/>
      <c r="D10" s="11"/>
      <c r="E10" s="316"/>
      <c r="F10" s="336">
        <v>611200</v>
      </c>
      <c r="G10" s="362"/>
      <c r="H10" s="11" t="s">
        <v>175</v>
      </c>
      <c r="I10" s="775">
        <f>39750+9*21*15+400+505</f>
        <v>43490</v>
      </c>
      <c r="J10" s="775">
        <f>39750+9*21*15+400+505</f>
        <v>43490</v>
      </c>
      <c r="K10" s="781">
        <v>8680</v>
      </c>
      <c r="L10" s="620">
        <f>39640+1000</f>
        <v>40640</v>
      </c>
      <c r="M10" s="251">
        <v>0</v>
      </c>
      <c r="N10" s="724">
        <f t="shared" ref="N10:N11" si="1">SUM(L10:M10)</f>
        <v>40640</v>
      </c>
      <c r="O10" s="377">
        <f t="shared" ref="O10:O53" si="2">IF(J10=0,"",N10/J10*100)</f>
        <v>93.446769372269486</v>
      </c>
      <c r="Q10" s="63"/>
    </row>
    <row r="11" spans="1:17" ht="12.95" customHeight="1">
      <c r="B11" s="10"/>
      <c r="C11" s="11"/>
      <c r="D11" s="11"/>
      <c r="E11" s="316"/>
      <c r="F11" s="336">
        <v>611200</v>
      </c>
      <c r="G11" s="362"/>
      <c r="H11" s="210" t="s">
        <v>464</v>
      </c>
      <c r="I11" s="776">
        <v>0</v>
      </c>
      <c r="J11" s="776">
        <v>0</v>
      </c>
      <c r="K11" s="782">
        <v>0</v>
      </c>
      <c r="L11" s="591">
        <v>0</v>
      </c>
      <c r="M11" s="250">
        <v>0</v>
      </c>
      <c r="N11" s="724">
        <f t="shared" si="1"/>
        <v>0</v>
      </c>
      <c r="O11" s="377" t="str">
        <f t="shared" si="2"/>
        <v/>
      </c>
      <c r="Q11" s="62"/>
    </row>
    <row r="12" spans="1:17" ht="8.1" customHeight="1">
      <c r="B12" s="10"/>
      <c r="C12" s="11"/>
      <c r="D12" s="11"/>
      <c r="E12" s="316"/>
      <c r="F12" s="336"/>
      <c r="G12" s="362"/>
      <c r="H12" s="20"/>
      <c r="I12" s="775"/>
      <c r="J12" s="775"/>
      <c r="K12" s="781"/>
      <c r="L12" s="620"/>
      <c r="M12" s="251"/>
      <c r="N12" s="724"/>
      <c r="O12" s="377" t="str">
        <f t="shared" si="2"/>
        <v/>
      </c>
    </row>
    <row r="13" spans="1:17" s="1" customFormat="1" ht="12.95" customHeight="1">
      <c r="A13" s="311"/>
      <c r="B13" s="12"/>
      <c r="C13" s="8"/>
      <c r="D13" s="8"/>
      <c r="E13" s="8"/>
      <c r="F13" s="335">
        <v>612000</v>
      </c>
      <c r="G13" s="361"/>
      <c r="H13" s="8" t="s">
        <v>145</v>
      </c>
      <c r="I13" s="774">
        <f t="shared" ref="I13:N13" si="3">I14</f>
        <v>30340</v>
      </c>
      <c r="J13" s="774">
        <f t="shared" si="3"/>
        <v>30340</v>
      </c>
      <c r="K13" s="780">
        <f t="shared" si="3"/>
        <v>6916</v>
      </c>
      <c r="L13" s="590">
        <f t="shared" si="3"/>
        <v>28410</v>
      </c>
      <c r="M13" s="249">
        <f t="shared" si="3"/>
        <v>0</v>
      </c>
      <c r="N13" s="723">
        <f t="shared" si="3"/>
        <v>28410</v>
      </c>
      <c r="O13" s="376">
        <f t="shared" si="2"/>
        <v>93.63876071193144</v>
      </c>
    </row>
    <row r="14" spans="1:17" ht="12.95" customHeight="1">
      <c r="B14" s="10"/>
      <c r="C14" s="11"/>
      <c r="D14" s="11"/>
      <c r="E14" s="316"/>
      <c r="F14" s="336">
        <v>612100</v>
      </c>
      <c r="G14" s="362"/>
      <c r="H14" s="13" t="s">
        <v>82</v>
      </c>
      <c r="I14" s="775">
        <f>27720+9*180+300+700</f>
        <v>30340</v>
      </c>
      <c r="J14" s="775">
        <f>27720+9*180+300+700</f>
        <v>30340</v>
      </c>
      <c r="K14" s="781">
        <v>6916</v>
      </c>
      <c r="L14" s="620">
        <f>27610+800</f>
        <v>28410</v>
      </c>
      <c r="M14" s="251">
        <v>0</v>
      </c>
      <c r="N14" s="724">
        <f>SUM(L14:M14)</f>
        <v>28410</v>
      </c>
      <c r="O14" s="377">
        <f t="shared" si="2"/>
        <v>93.63876071193144</v>
      </c>
    </row>
    <row r="15" spans="1:17" ht="8.1" customHeight="1">
      <c r="B15" s="10"/>
      <c r="C15" s="11"/>
      <c r="D15" s="11"/>
      <c r="E15" s="316"/>
      <c r="F15" s="336"/>
      <c r="G15" s="362"/>
      <c r="H15" s="11"/>
      <c r="I15" s="631"/>
      <c r="J15" s="631"/>
      <c r="K15" s="742"/>
      <c r="L15" s="622"/>
      <c r="M15" s="326"/>
      <c r="N15" s="725"/>
      <c r="O15" s="377" t="str">
        <f t="shared" si="2"/>
        <v/>
      </c>
    </row>
    <row r="16" spans="1:17" s="1" customFormat="1" ht="12.95" customHeight="1">
      <c r="A16" s="311"/>
      <c r="B16" s="12"/>
      <c r="C16" s="8"/>
      <c r="D16" s="8"/>
      <c r="E16" s="8"/>
      <c r="F16" s="335">
        <v>613000</v>
      </c>
      <c r="G16" s="361"/>
      <c r="H16" s="8" t="s">
        <v>147</v>
      </c>
      <c r="I16" s="632">
        <f t="shared" ref="I16:N16" si="4">SUM(I17:I28)</f>
        <v>93400</v>
      </c>
      <c r="J16" s="632">
        <f t="shared" si="4"/>
        <v>93400</v>
      </c>
      <c r="K16" s="744">
        <f t="shared" si="4"/>
        <v>16318</v>
      </c>
      <c r="L16" s="588">
        <f t="shared" si="4"/>
        <v>85400</v>
      </c>
      <c r="M16" s="325">
        <f t="shared" si="4"/>
        <v>0</v>
      </c>
      <c r="N16" s="726">
        <f t="shared" si="4"/>
        <v>85400</v>
      </c>
      <c r="O16" s="376">
        <f t="shared" si="2"/>
        <v>91.434689507494653</v>
      </c>
    </row>
    <row r="17" spans="1:16" ht="12.95" customHeight="1">
      <c r="B17" s="10"/>
      <c r="C17" s="11"/>
      <c r="D17" s="11"/>
      <c r="E17" s="316"/>
      <c r="F17" s="336">
        <v>613100</v>
      </c>
      <c r="G17" s="362"/>
      <c r="H17" s="11" t="s">
        <v>83</v>
      </c>
      <c r="I17" s="742">
        <v>5000</v>
      </c>
      <c r="J17" s="742">
        <v>5000</v>
      </c>
      <c r="K17" s="742">
        <v>1728</v>
      </c>
      <c r="L17" s="571">
        <f>5000*80%</f>
        <v>4000</v>
      </c>
      <c r="M17" s="397">
        <v>0</v>
      </c>
      <c r="N17" s="724">
        <f t="shared" ref="N17:N28" si="5">SUM(L17:M17)</f>
        <v>4000</v>
      </c>
      <c r="O17" s="377">
        <f t="shared" si="2"/>
        <v>80</v>
      </c>
    </row>
    <row r="18" spans="1:16" ht="12.95" customHeight="1">
      <c r="B18" s="10"/>
      <c r="C18" s="11"/>
      <c r="D18" s="11"/>
      <c r="E18" s="316"/>
      <c r="F18" s="336">
        <v>613200</v>
      </c>
      <c r="G18" s="362"/>
      <c r="H18" s="11" t="s">
        <v>84</v>
      </c>
      <c r="I18" s="742">
        <v>0</v>
      </c>
      <c r="J18" s="742">
        <v>0</v>
      </c>
      <c r="K18" s="742">
        <v>0</v>
      </c>
      <c r="L18" s="571">
        <v>0</v>
      </c>
      <c r="M18" s="397">
        <v>0</v>
      </c>
      <c r="N18" s="724">
        <f t="shared" si="5"/>
        <v>0</v>
      </c>
      <c r="O18" s="377" t="str">
        <f t="shared" si="2"/>
        <v/>
      </c>
    </row>
    <row r="19" spans="1:16" ht="12.95" customHeight="1">
      <c r="B19" s="10"/>
      <c r="C19" s="11"/>
      <c r="D19" s="11"/>
      <c r="E19" s="316"/>
      <c r="F19" s="336">
        <v>613300</v>
      </c>
      <c r="G19" s="362"/>
      <c r="H19" s="20" t="s">
        <v>176</v>
      </c>
      <c r="I19" s="742">
        <v>3700</v>
      </c>
      <c r="J19" s="742">
        <v>3700</v>
      </c>
      <c r="K19" s="742">
        <v>802</v>
      </c>
      <c r="L19" s="571">
        <v>3700</v>
      </c>
      <c r="M19" s="397">
        <v>0</v>
      </c>
      <c r="N19" s="724">
        <f t="shared" si="5"/>
        <v>3700</v>
      </c>
      <c r="O19" s="377">
        <f t="shared" si="2"/>
        <v>100</v>
      </c>
    </row>
    <row r="20" spans="1:16" ht="12.95" customHeight="1">
      <c r="B20" s="10"/>
      <c r="C20" s="11"/>
      <c r="D20" s="11"/>
      <c r="E20" s="316"/>
      <c r="F20" s="336">
        <v>613400</v>
      </c>
      <c r="G20" s="362"/>
      <c r="H20" s="11" t="s">
        <v>148</v>
      </c>
      <c r="I20" s="742">
        <v>7700</v>
      </c>
      <c r="J20" s="742">
        <v>7700</v>
      </c>
      <c r="K20" s="742">
        <v>1292</v>
      </c>
      <c r="L20" s="571">
        <v>7700</v>
      </c>
      <c r="M20" s="397">
        <v>0</v>
      </c>
      <c r="N20" s="724">
        <f t="shared" si="5"/>
        <v>7700</v>
      </c>
      <c r="O20" s="377">
        <f t="shared" si="2"/>
        <v>100</v>
      </c>
    </row>
    <row r="21" spans="1:16" ht="12.95" customHeight="1">
      <c r="B21" s="10"/>
      <c r="C21" s="11"/>
      <c r="D21" s="11"/>
      <c r="E21" s="316"/>
      <c r="F21" s="336">
        <v>613500</v>
      </c>
      <c r="G21" s="362"/>
      <c r="H21" s="11" t="s">
        <v>85</v>
      </c>
      <c r="I21" s="742">
        <v>0</v>
      </c>
      <c r="J21" s="742">
        <v>0</v>
      </c>
      <c r="K21" s="742">
        <v>0</v>
      </c>
      <c r="L21" s="571">
        <v>0</v>
      </c>
      <c r="M21" s="397">
        <v>0</v>
      </c>
      <c r="N21" s="724">
        <f t="shared" si="5"/>
        <v>0</v>
      </c>
      <c r="O21" s="377" t="str">
        <f t="shared" si="2"/>
        <v/>
      </c>
    </row>
    <row r="22" spans="1:16" ht="12.95" customHeight="1">
      <c r="B22" s="10"/>
      <c r="C22" s="11"/>
      <c r="D22" s="11"/>
      <c r="E22" s="316"/>
      <c r="F22" s="336">
        <v>613600</v>
      </c>
      <c r="G22" s="362"/>
      <c r="H22" s="20" t="s">
        <v>177</v>
      </c>
      <c r="I22" s="742">
        <v>0</v>
      </c>
      <c r="J22" s="742">
        <v>0</v>
      </c>
      <c r="K22" s="742">
        <v>0</v>
      </c>
      <c r="L22" s="571">
        <v>0</v>
      </c>
      <c r="M22" s="397">
        <v>0</v>
      </c>
      <c r="N22" s="724">
        <f t="shared" si="5"/>
        <v>0</v>
      </c>
      <c r="O22" s="377" t="str">
        <f t="shared" si="2"/>
        <v/>
      </c>
    </row>
    <row r="23" spans="1:16" ht="12.95" customHeight="1">
      <c r="B23" s="10"/>
      <c r="C23" s="11"/>
      <c r="D23" s="11"/>
      <c r="E23" s="316"/>
      <c r="F23" s="336">
        <v>613700</v>
      </c>
      <c r="G23" s="362"/>
      <c r="H23" s="11" t="s">
        <v>86</v>
      </c>
      <c r="I23" s="742">
        <v>2000</v>
      </c>
      <c r="J23" s="742">
        <v>2000</v>
      </c>
      <c r="K23" s="742">
        <v>242</v>
      </c>
      <c r="L23" s="571">
        <v>2000</v>
      </c>
      <c r="M23" s="397">
        <v>0</v>
      </c>
      <c r="N23" s="724">
        <f t="shared" si="5"/>
        <v>2000</v>
      </c>
      <c r="O23" s="377">
        <f t="shared" si="2"/>
        <v>100</v>
      </c>
    </row>
    <row r="24" spans="1:16" ht="12.95" customHeight="1">
      <c r="B24" s="10"/>
      <c r="C24" s="11"/>
      <c r="D24" s="11"/>
      <c r="E24" s="316"/>
      <c r="F24" s="336">
        <v>613800</v>
      </c>
      <c r="G24" s="362"/>
      <c r="H24" s="11" t="s">
        <v>149</v>
      </c>
      <c r="I24" s="742">
        <v>0</v>
      </c>
      <c r="J24" s="742">
        <v>0</v>
      </c>
      <c r="K24" s="742">
        <v>0</v>
      </c>
      <c r="L24" s="571">
        <v>0</v>
      </c>
      <c r="M24" s="397">
        <v>0</v>
      </c>
      <c r="N24" s="724">
        <f t="shared" si="5"/>
        <v>0</v>
      </c>
      <c r="O24" s="377" t="str">
        <f t="shared" si="2"/>
        <v/>
      </c>
    </row>
    <row r="25" spans="1:16" ht="12.95" customHeight="1">
      <c r="B25" s="10"/>
      <c r="C25" s="11"/>
      <c r="D25" s="11"/>
      <c r="E25" s="316"/>
      <c r="F25" s="336">
        <v>613800</v>
      </c>
      <c r="G25" s="362"/>
      <c r="H25" s="20" t="s">
        <v>159</v>
      </c>
      <c r="I25" s="742">
        <v>0</v>
      </c>
      <c r="J25" s="742">
        <v>0</v>
      </c>
      <c r="K25" s="742">
        <v>0</v>
      </c>
      <c r="L25" s="571">
        <v>0</v>
      </c>
      <c r="M25" s="397">
        <v>0</v>
      </c>
      <c r="N25" s="724">
        <f t="shared" si="5"/>
        <v>0</v>
      </c>
      <c r="O25" s="377" t="str">
        <f t="shared" si="2"/>
        <v/>
      </c>
    </row>
    <row r="26" spans="1:16" ht="12.95" customHeight="1">
      <c r="B26" s="10"/>
      <c r="C26" s="11"/>
      <c r="D26" s="11"/>
      <c r="E26" s="316"/>
      <c r="F26" s="336">
        <v>613900</v>
      </c>
      <c r="G26" s="362"/>
      <c r="H26" s="20" t="s">
        <v>150</v>
      </c>
      <c r="I26" s="742">
        <v>15000</v>
      </c>
      <c r="J26" s="742">
        <v>15000</v>
      </c>
      <c r="K26" s="742">
        <v>5416</v>
      </c>
      <c r="L26" s="571">
        <f>19000-1000</f>
        <v>18000</v>
      </c>
      <c r="M26" s="397">
        <v>0</v>
      </c>
      <c r="N26" s="724">
        <f t="shared" si="5"/>
        <v>18000</v>
      </c>
      <c r="O26" s="377">
        <f t="shared" si="2"/>
        <v>120</v>
      </c>
    </row>
    <row r="27" spans="1:16" ht="12.95" customHeight="1">
      <c r="B27" s="10"/>
      <c r="C27" s="11"/>
      <c r="D27" s="11"/>
      <c r="E27" s="316"/>
      <c r="F27" s="336">
        <v>613900</v>
      </c>
      <c r="G27" s="362" t="s">
        <v>585</v>
      </c>
      <c r="H27" s="20" t="s">
        <v>153</v>
      </c>
      <c r="I27" s="742">
        <v>60000</v>
      </c>
      <c r="J27" s="742">
        <v>60000</v>
      </c>
      <c r="K27" s="742">
        <v>6838</v>
      </c>
      <c r="L27" s="571">
        <v>50000</v>
      </c>
      <c r="M27" s="397">
        <v>0</v>
      </c>
      <c r="N27" s="724">
        <f t="shared" si="5"/>
        <v>50000</v>
      </c>
      <c r="O27" s="377">
        <f t="shared" si="2"/>
        <v>83.333333333333343</v>
      </c>
    </row>
    <row r="28" spans="1:16" ht="12.95" customHeight="1">
      <c r="B28" s="10"/>
      <c r="C28" s="11"/>
      <c r="D28" s="11"/>
      <c r="E28" s="316"/>
      <c r="F28" s="336">
        <v>613900</v>
      </c>
      <c r="G28" s="362"/>
      <c r="H28" s="210" t="s">
        <v>465</v>
      </c>
      <c r="I28" s="742"/>
      <c r="J28" s="742"/>
      <c r="K28" s="742">
        <v>0</v>
      </c>
      <c r="L28" s="571"/>
      <c r="M28" s="397">
        <v>0</v>
      </c>
      <c r="N28" s="724">
        <f t="shared" si="5"/>
        <v>0</v>
      </c>
      <c r="O28" s="377" t="str">
        <f t="shared" si="2"/>
        <v/>
      </c>
    </row>
    <row r="29" spans="1:16" ht="8.1" customHeight="1">
      <c r="B29" s="10"/>
      <c r="C29" s="11"/>
      <c r="D29" s="11"/>
      <c r="E29" s="316"/>
      <c r="F29" s="336"/>
      <c r="G29" s="362"/>
      <c r="H29" s="11"/>
      <c r="I29" s="631"/>
      <c r="J29" s="631"/>
      <c r="K29" s="742"/>
      <c r="L29" s="622"/>
      <c r="M29" s="326"/>
      <c r="N29" s="725"/>
      <c r="O29" s="377" t="str">
        <f t="shared" si="2"/>
        <v/>
      </c>
    </row>
    <row r="30" spans="1:16" s="1" customFormat="1" ht="12.95" customHeight="1">
      <c r="A30" s="311"/>
      <c r="B30" s="12"/>
      <c r="C30" s="8"/>
      <c r="D30" s="8"/>
      <c r="E30" s="669"/>
      <c r="F30" s="335">
        <v>614000</v>
      </c>
      <c r="G30" s="361"/>
      <c r="H30" s="8" t="s">
        <v>178</v>
      </c>
      <c r="I30" s="632">
        <f>SUM(I31:I40)</f>
        <v>1325000</v>
      </c>
      <c r="J30" s="632">
        <f>SUM(J31:J40)</f>
        <v>1325000</v>
      </c>
      <c r="K30" s="744">
        <f t="shared" ref="K30" si="6">SUM(K31:K40)</f>
        <v>112500</v>
      </c>
      <c r="L30" s="588">
        <f>SUM(L31:L40)</f>
        <v>1170000</v>
      </c>
      <c r="M30" s="325">
        <f>SUM(M31:M40)</f>
        <v>0</v>
      </c>
      <c r="N30" s="726">
        <f>SUM(N31:N40)</f>
        <v>1170000</v>
      </c>
      <c r="O30" s="376">
        <f t="shared" si="2"/>
        <v>88.301886792452834</v>
      </c>
    </row>
    <row r="31" spans="1:16" s="113" customFormat="1" ht="28.5" customHeight="1">
      <c r="B31" s="108"/>
      <c r="C31" s="109"/>
      <c r="D31" s="110"/>
      <c r="E31" s="670" t="s">
        <v>840</v>
      </c>
      <c r="F31" s="340">
        <v>614100</v>
      </c>
      <c r="G31" s="366" t="s">
        <v>586</v>
      </c>
      <c r="H31" s="111" t="s">
        <v>195</v>
      </c>
      <c r="I31" s="801">
        <v>130000</v>
      </c>
      <c r="J31" s="801">
        <v>130000</v>
      </c>
      <c r="K31" s="802">
        <v>0</v>
      </c>
      <c r="L31" s="630">
        <v>125000</v>
      </c>
      <c r="M31" s="305">
        <v>0</v>
      </c>
      <c r="N31" s="724">
        <f t="shared" ref="N31:N38" si="7">SUM(L31:M31)</f>
        <v>125000</v>
      </c>
      <c r="O31" s="377">
        <f t="shared" si="2"/>
        <v>96.15384615384616</v>
      </c>
      <c r="P31" s="112"/>
    </row>
    <row r="32" spans="1:16" s="314" customFormat="1" ht="12.95" customHeight="1">
      <c r="B32" s="315"/>
      <c r="C32" s="316"/>
      <c r="D32" s="316"/>
      <c r="E32" s="671"/>
      <c r="F32" s="341">
        <v>614100</v>
      </c>
      <c r="G32" s="367" t="s">
        <v>686</v>
      </c>
      <c r="H32" s="547" t="s">
        <v>701</v>
      </c>
      <c r="I32" s="631">
        <v>0</v>
      </c>
      <c r="J32" s="631">
        <v>0</v>
      </c>
      <c r="K32" s="742">
        <v>0</v>
      </c>
      <c r="L32" s="622">
        <v>0</v>
      </c>
      <c r="M32" s="326">
        <v>0</v>
      </c>
      <c r="N32" s="724">
        <f t="shared" si="7"/>
        <v>0</v>
      </c>
      <c r="O32" s="377" t="str">
        <f t="shared" si="2"/>
        <v/>
      </c>
    </row>
    <row r="33" spans="1:18" s="314" customFormat="1" ht="12.95" customHeight="1">
      <c r="B33" s="315"/>
      <c r="C33" s="316"/>
      <c r="D33" s="316"/>
      <c r="E33" s="671"/>
      <c r="F33" s="341">
        <v>614100</v>
      </c>
      <c r="G33" s="367" t="s">
        <v>687</v>
      </c>
      <c r="H33" s="265" t="s">
        <v>587</v>
      </c>
      <c r="I33" s="631">
        <v>0</v>
      </c>
      <c r="J33" s="631">
        <v>0</v>
      </c>
      <c r="K33" s="742">
        <v>0</v>
      </c>
      <c r="L33" s="622">
        <v>0</v>
      </c>
      <c r="M33" s="326">
        <v>0</v>
      </c>
      <c r="N33" s="724">
        <f t="shared" si="7"/>
        <v>0</v>
      </c>
      <c r="O33" s="377"/>
    </row>
    <row r="34" spans="1:18" ht="12.95" customHeight="1">
      <c r="B34" s="10"/>
      <c r="C34" s="11"/>
      <c r="D34" s="11"/>
      <c r="E34" s="671"/>
      <c r="F34" s="341">
        <v>614100</v>
      </c>
      <c r="G34" s="367" t="s">
        <v>588</v>
      </c>
      <c r="H34" s="83" t="s">
        <v>341</v>
      </c>
      <c r="I34" s="631">
        <v>300000</v>
      </c>
      <c r="J34" s="631">
        <v>300000</v>
      </c>
      <c r="K34" s="742">
        <v>0</v>
      </c>
      <c r="L34" s="622">
        <v>240000</v>
      </c>
      <c r="M34" s="326">
        <v>0</v>
      </c>
      <c r="N34" s="724">
        <f t="shared" si="7"/>
        <v>240000</v>
      </c>
      <c r="O34" s="377">
        <f t="shared" si="2"/>
        <v>80</v>
      </c>
    </row>
    <row r="35" spans="1:18" ht="12.95" customHeight="1">
      <c r="B35" s="10"/>
      <c r="C35" s="11"/>
      <c r="D35" s="11"/>
      <c r="E35" s="672" t="s">
        <v>840</v>
      </c>
      <c r="F35" s="336">
        <v>614200</v>
      </c>
      <c r="G35" s="362" t="s">
        <v>589</v>
      </c>
      <c r="H35" s="23" t="s">
        <v>109</v>
      </c>
      <c r="I35" s="631">
        <v>150000</v>
      </c>
      <c r="J35" s="631">
        <v>150000</v>
      </c>
      <c r="K35" s="742">
        <v>29700</v>
      </c>
      <c r="L35" s="622">
        <v>150000</v>
      </c>
      <c r="M35" s="326">
        <v>0</v>
      </c>
      <c r="N35" s="724">
        <f t="shared" si="7"/>
        <v>150000</v>
      </c>
      <c r="O35" s="377">
        <f t="shared" si="2"/>
        <v>100</v>
      </c>
    </row>
    <row r="36" spans="1:18" s="113" customFormat="1" ht="27.75" customHeight="1">
      <c r="B36" s="108"/>
      <c r="C36" s="109"/>
      <c r="D36" s="109"/>
      <c r="E36" s="673" t="s">
        <v>843</v>
      </c>
      <c r="F36" s="340">
        <v>614200</v>
      </c>
      <c r="G36" s="366" t="s">
        <v>590</v>
      </c>
      <c r="H36" s="114" t="s">
        <v>676</v>
      </c>
      <c r="I36" s="801">
        <v>15000</v>
      </c>
      <c r="J36" s="801">
        <v>15000</v>
      </c>
      <c r="K36" s="802">
        <v>0</v>
      </c>
      <c r="L36" s="630">
        <v>15000</v>
      </c>
      <c r="M36" s="305">
        <v>0</v>
      </c>
      <c r="N36" s="724">
        <f t="shared" si="7"/>
        <v>15000</v>
      </c>
      <c r="O36" s="377">
        <f t="shared" si="2"/>
        <v>100</v>
      </c>
    </row>
    <row r="37" spans="1:18" ht="12.95" customHeight="1">
      <c r="B37" s="10"/>
      <c r="C37" s="11"/>
      <c r="D37" s="11"/>
      <c r="E37" s="672" t="s">
        <v>844</v>
      </c>
      <c r="F37" s="336">
        <v>614300</v>
      </c>
      <c r="G37" s="362" t="s">
        <v>591</v>
      </c>
      <c r="H37" s="23" t="s">
        <v>99</v>
      </c>
      <c r="I37" s="631">
        <v>100000</v>
      </c>
      <c r="J37" s="631">
        <v>100000</v>
      </c>
      <c r="K37" s="742">
        <v>25000</v>
      </c>
      <c r="L37" s="622">
        <v>100000</v>
      </c>
      <c r="M37" s="326">
        <v>0</v>
      </c>
      <c r="N37" s="724">
        <f t="shared" si="7"/>
        <v>100000</v>
      </c>
      <c r="O37" s="377">
        <f t="shared" si="2"/>
        <v>100</v>
      </c>
    </row>
    <row r="38" spans="1:18" ht="12.95" customHeight="1">
      <c r="B38" s="10"/>
      <c r="C38" s="11"/>
      <c r="D38" s="11"/>
      <c r="E38" s="672" t="s">
        <v>845</v>
      </c>
      <c r="F38" s="336">
        <v>614300</v>
      </c>
      <c r="G38" s="362" t="s">
        <v>592</v>
      </c>
      <c r="H38" s="23" t="s">
        <v>100</v>
      </c>
      <c r="I38" s="631">
        <v>250000</v>
      </c>
      <c r="J38" s="631">
        <v>250000</v>
      </c>
      <c r="K38" s="742">
        <v>0</v>
      </c>
      <c r="L38" s="622">
        <v>220000</v>
      </c>
      <c r="M38" s="326">
        <v>0</v>
      </c>
      <c r="N38" s="724">
        <f t="shared" si="7"/>
        <v>220000</v>
      </c>
      <c r="O38" s="377">
        <f t="shared" si="2"/>
        <v>88</v>
      </c>
      <c r="P38" s="77"/>
    </row>
    <row r="39" spans="1:18" s="314" customFormat="1" ht="12.95" customHeight="1">
      <c r="B39" s="315"/>
      <c r="C39" s="316"/>
      <c r="D39" s="316"/>
      <c r="E39" s="671" t="s">
        <v>842</v>
      </c>
      <c r="F39" s="341">
        <v>614300</v>
      </c>
      <c r="G39" s="367" t="s">
        <v>726</v>
      </c>
      <c r="H39" s="547" t="s">
        <v>701</v>
      </c>
      <c r="I39" s="631">
        <v>280000</v>
      </c>
      <c r="J39" s="631">
        <v>280000</v>
      </c>
      <c r="K39" s="742">
        <v>57800</v>
      </c>
      <c r="L39" s="622">
        <v>240000</v>
      </c>
      <c r="M39" s="326">
        <v>0</v>
      </c>
      <c r="N39" s="724">
        <f t="shared" ref="N39:N40" si="8">SUM(L39:M39)</f>
        <v>240000</v>
      </c>
      <c r="O39" s="377">
        <f t="shared" ref="O39" si="9">IF(J39=0,"",N39/J39*100)</f>
        <v>85.714285714285708</v>
      </c>
    </row>
    <row r="40" spans="1:18" s="314" customFormat="1" ht="12.95" customHeight="1">
      <c r="B40" s="315"/>
      <c r="C40" s="316"/>
      <c r="D40" s="316"/>
      <c r="E40" s="671" t="s">
        <v>841</v>
      </c>
      <c r="F40" s="341">
        <v>614300</v>
      </c>
      <c r="G40" s="367" t="s">
        <v>727</v>
      </c>
      <c r="H40" s="547" t="s">
        <v>587</v>
      </c>
      <c r="I40" s="631">
        <v>100000</v>
      </c>
      <c r="J40" s="631">
        <v>100000</v>
      </c>
      <c r="K40" s="742">
        <v>0</v>
      </c>
      <c r="L40" s="622">
        <v>80000</v>
      </c>
      <c r="M40" s="326">
        <v>0</v>
      </c>
      <c r="N40" s="724">
        <f t="shared" si="8"/>
        <v>80000</v>
      </c>
      <c r="O40" s="377"/>
    </row>
    <row r="41" spans="1:18" ht="8.1" customHeight="1">
      <c r="B41" s="10"/>
      <c r="C41" s="11"/>
      <c r="D41" s="11"/>
      <c r="E41" s="672"/>
      <c r="F41" s="336"/>
      <c r="G41" s="362"/>
      <c r="H41" s="23"/>
      <c r="I41" s="631"/>
      <c r="J41" s="631"/>
      <c r="K41" s="742"/>
      <c r="L41" s="622"/>
      <c r="M41" s="326"/>
      <c r="N41" s="725"/>
      <c r="O41" s="377" t="str">
        <f t="shared" si="2"/>
        <v/>
      </c>
      <c r="P41" s="77"/>
    </row>
    <row r="42" spans="1:18" ht="12.95" customHeight="1">
      <c r="B42" s="10"/>
      <c r="C42" s="11"/>
      <c r="D42" s="11"/>
      <c r="E42" s="672"/>
      <c r="F42" s="335">
        <v>616000</v>
      </c>
      <c r="G42" s="361"/>
      <c r="H42" s="26" t="s">
        <v>179</v>
      </c>
      <c r="I42" s="632">
        <f t="shared" ref="I42:N42" si="10">I43</f>
        <v>0</v>
      </c>
      <c r="J42" s="632">
        <f t="shared" si="10"/>
        <v>0</v>
      </c>
      <c r="K42" s="744">
        <f t="shared" si="10"/>
        <v>0</v>
      </c>
      <c r="L42" s="588">
        <f t="shared" si="10"/>
        <v>0</v>
      </c>
      <c r="M42" s="325">
        <f t="shared" si="10"/>
        <v>0</v>
      </c>
      <c r="N42" s="726">
        <f t="shared" si="10"/>
        <v>0</v>
      </c>
      <c r="O42" s="376" t="str">
        <f t="shared" si="2"/>
        <v/>
      </c>
    </row>
    <row r="43" spans="1:18" ht="12.95" customHeight="1">
      <c r="B43" s="10"/>
      <c r="C43" s="11"/>
      <c r="D43" s="11"/>
      <c r="E43" s="672"/>
      <c r="F43" s="336">
        <v>616300</v>
      </c>
      <c r="G43" s="362"/>
      <c r="H43" s="44" t="s">
        <v>188</v>
      </c>
      <c r="I43" s="631">
        <v>0</v>
      </c>
      <c r="J43" s="631">
        <v>0</v>
      </c>
      <c r="K43" s="742">
        <v>0</v>
      </c>
      <c r="L43" s="622">
        <v>0</v>
      </c>
      <c r="M43" s="326">
        <v>0</v>
      </c>
      <c r="N43" s="724">
        <f>SUM(L43:M43)</f>
        <v>0</v>
      </c>
      <c r="O43" s="377" t="str">
        <f t="shared" si="2"/>
        <v/>
      </c>
    </row>
    <row r="44" spans="1:18" ht="8.1" customHeight="1">
      <c r="B44" s="10"/>
      <c r="C44" s="11"/>
      <c r="D44" s="11"/>
      <c r="E44" s="672"/>
      <c r="F44" s="336"/>
      <c r="G44" s="362"/>
      <c r="H44" s="11"/>
      <c r="I44" s="740"/>
      <c r="J44" s="740"/>
      <c r="K44" s="741"/>
      <c r="L44" s="583"/>
      <c r="M44" s="310"/>
      <c r="N44" s="725"/>
      <c r="O44" s="377" t="str">
        <f t="shared" si="2"/>
        <v/>
      </c>
    </row>
    <row r="45" spans="1:18" s="1" customFormat="1" ht="12.95" customHeight="1">
      <c r="A45" s="311"/>
      <c r="B45" s="12"/>
      <c r="C45" s="8"/>
      <c r="D45" s="8"/>
      <c r="E45" s="669"/>
      <c r="F45" s="335">
        <v>821000</v>
      </c>
      <c r="G45" s="361"/>
      <c r="H45" s="8" t="s">
        <v>89</v>
      </c>
      <c r="I45" s="632">
        <f t="shared" ref="I45:N45" si="11">SUM(I46:I47)</f>
        <v>159500</v>
      </c>
      <c r="J45" s="632">
        <f t="shared" si="11"/>
        <v>309893</v>
      </c>
      <c r="K45" s="744">
        <f t="shared" si="11"/>
        <v>114904</v>
      </c>
      <c r="L45" s="588">
        <f t="shared" si="11"/>
        <v>154517</v>
      </c>
      <c r="M45" s="325">
        <f t="shared" si="11"/>
        <v>350393</v>
      </c>
      <c r="N45" s="726">
        <f t="shared" si="11"/>
        <v>504910</v>
      </c>
      <c r="O45" s="376">
        <f t="shared" si="2"/>
        <v>162.93043082612385</v>
      </c>
    </row>
    <row r="46" spans="1:18" ht="12.95" customHeight="1">
      <c r="B46" s="10"/>
      <c r="C46" s="11"/>
      <c r="D46" s="11"/>
      <c r="E46" s="672"/>
      <c r="F46" s="336">
        <v>821200</v>
      </c>
      <c r="G46" s="362"/>
      <c r="H46" s="11" t="s">
        <v>90</v>
      </c>
      <c r="I46" s="740">
        <v>158000</v>
      </c>
      <c r="J46" s="740">
        <v>290942</v>
      </c>
      <c r="K46" s="741">
        <v>103120</v>
      </c>
      <c r="L46" s="583">
        <f>58008+95000</f>
        <v>153008</v>
      </c>
      <c r="M46" s="310">
        <f>290942-58000+100000</f>
        <v>332942</v>
      </c>
      <c r="N46" s="724">
        <f t="shared" ref="N46:N47" si="12">SUM(L46:M46)</f>
        <v>485950</v>
      </c>
      <c r="O46" s="377">
        <f t="shared" si="2"/>
        <v>167.02641763650487</v>
      </c>
      <c r="Q46" s="80"/>
      <c r="R46" s="807"/>
    </row>
    <row r="47" spans="1:18" ht="12.95" customHeight="1">
      <c r="B47" s="10"/>
      <c r="C47" s="11"/>
      <c r="D47" s="11"/>
      <c r="E47" s="672"/>
      <c r="F47" s="336">
        <v>821300</v>
      </c>
      <c r="G47" s="362"/>
      <c r="H47" s="11" t="s">
        <v>91</v>
      </c>
      <c r="I47" s="631">
        <v>1500</v>
      </c>
      <c r="J47" s="631">
        <v>18951</v>
      </c>
      <c r="K47" s="742">
        <v>11784</v>
      </c>
      <c r="L47" s="622">
        <v>1509</v>
      </c>
      <c r="M47" s="326">
        <f>18951-1500</f>
        <v>17451</v>
      </c>
      <c r="N47" s="724">
        <f t="shared" si="12"/>
        <v>18960</v>
      </c>
      <c r="O47" s="377">
        <f t="shared" si="2"/>
        <v>100.04749089757796</v>
      </c>
    </row>
    <row r="48" spans="1:18" ht="8.1" customHeight="1">
      <c r="B48" s="10"/>
      <c r="C48" s="11"/>
      <c r="D48" s="11"/>
      <c r="E48" s="316"/>
      <c r="F48" s="336"/>
      <c r="G48" s="362"/>
      <c r="H48" s="11"/>
      <c r="I48" s="740"/>
      <c r="J48" s="740"/>
      <c r="K48" s="741"/>
      <c r="L48" s="583"/>
      <c r="M48" s="310"/>
      <c r="N48" s="725"/>
      <c r="O48" s="377" t="str">
        <f t="shared" si="2"/>
        <v/>
      </c>
    </row>
    <row r="49" spans="1:15" ht="12.95" customHeight="1">
      <c r="B49" s="10"/>
      <c r="C49" s="11"/>
      <c r="D49" s="11"/>
      <c r="E49" s="316"/>
      <c r="F49" s="335">
        <v>823000</v>
      </c>
      <c r="G49" s="361"/>
      <c r="H49" s="8" t="s">
        <v>180</v>
      </c>
      <c r="I49" s="632">
        <f t="shared" ref="I49:N49" si="13">I50</f>
        <v>0</v>
      </c>
      <c r="J49" s="632">
        <f t="shared" si="13"/>
        <v>0</v>
      </c>
      <c r="K49" s="744">
        <f t="shared" si="13"/>
        <v>0</v>
      </c>
      <c r="L49" s="588">
        <f t="shared" si="13"/>
        <v>0</v>
      </c>
      <c r="M49" s="325">
        <f t="shared" si="13"/>
        <v>0</v>
      </c>
      <c r="N49" s="726">
        <f t="shared" si="13"/>
        <v>0</v>
      </c>
      <c r="O49" s="376" t="str">
        <f t="shared" si="2"/>
        <v/>
      </c>
    </row>
    <row r="50" spans="1:15" ht="12.95" customHeight="1">
      <c r="B50" s="10"/>
      <c r="C50" s="11"/>
      <c r="D50" s="11"/>
      <c r="E50" s="316"/>
      <c r="F50" s="336">
        <v>823300</v>
      </c>
      <c r="G50" s="362"/>
      <c r="H50" s="20" t="s">
        <v>158</v>
      </c>
      <c r="I50" s="631">
        <v>0</v>
      </c>
      <c r="J50" s="631">
        <v>0</v>
      </c>
      <c r="K50" s="742">
        <v>0</v>
      </c>
      <c r="L50" s="622">
        <v>0</v>
      </c>
      <c r="M50" s="326"/>
      <c r="N50" s="724">
        <f>SUM(L50:M50)</f>
        <v>0</v>
      </c>
      <c r="O50" s="377" t="str">
        <f t="shared" si="2"/>
        <v/>
      </c>
    </row>
    <row r="51" spans="1:15" ht="8.1" customHeight="1">
      <c r="B51" s="10"/>
      <c r="C51" s="11"/>
      <c r="D51" s="11"/>
      <c r="E51" s="316"/>
      <c r="F51" s="336"/>
      <c r="G51" s="362"/>
      <c r="H51" s="20"/>
      <c r="I51" s="740"/>
      <c r="J51" s="740"/>
      <c r="K51" s="741"/>
      <c r="L51" s="583"/>
      <c r="M51" s="310"/>
      <c r="N51" s="725"/>
      <c r="O51" s="377" t="str">
        <f t="shared" si="2"/>
        <v/>
      </c>
    </row>
    <row r="52" spans="1:15" s="1" customFormat="1" ht="12.95" customHeight="1">
      <c r="A52" s="311"/>
      <c r="B52" s="12"/>
      <c r="C52" s="8"/>
      <c r="D52" s="8"/>
      <c r="E52" s="8"/>
      <c r="F52" s="335"/>
      <c r="G52" s="361"/>
      <c r="H52" s="8" t="s">
        <v>92</v>
      </c>
      <c r="I52" s="575">
        <v>12</v>
      </c>
      <c r="J52" s="575">
        <v>12</v>
      </c>
      <c r="K52" s="745">
        <v>11</v>
      </c>
      <c r="L52" s="582">
        <v>12</v>
      </c>
      <c r="M52" s="318"/>
      <c r="N52" s="726">
        <v>12</v>
      </c>
      <c r="O52" s="377"/>
    </row>
    <row r="53" spans="1:15" s="1" customFormat="1" ht="12.95" customHeight="1">
      <c r="A53" s="311"/>
      <c r="B53" s="12"/>
      <c r="C53" s="8"/>
      <c r="D53" s="8"/>
      <c r="E53" s="8"/>
      <c r="F53" s="335"/>
      <c r="G53" s="361"/>
      <c r="H53" s="8" t="s">
        <v>110</v>
      </c>
      <c r="I53" s="575">
        <f t="shared" ref="I53:N53" si="14">I8+I13+I16+I30+I42+I45+I49</f>
        <v>1935920</v>
      </c>
      <c r="J53" s="318">
        <f t="shared" si="14"/>
        <v>2086313</v>
      </c>
      <c r="K53" s="575">
        <f t="shared" si="14"/>
        <v>324875</v>
      </c>
      <c r="L53" s="582">
        <f t="shared" si="14"/>
        <v>1742617</v>
      </c>
      <c r="M53" s="318">
        <f t="shared" si="14"/>
        <v>350393</v>
      </c>
      <c r="N53" s="726">
        <f t="shared" si="14"/>
        <v>2093010</v>
      </c>
      <c r="O53" s="376">
        <f t="shared" si="2"/>
        <v>100.32099689739746</v>
      </c>
    </row>
    <row r="54" spans="1:15" s="1" customFormat="1" ht="12.95" customHeight="1">
      <c r="A54" s="311"/>
      <c r="B54" s="12"/>
      <c r="C54" s="8"/>
      <c r="D54" s="8"/>
      <c r="E54" s="8"/>
      <c r="F54" s="335"/>
      <c r="G54" s="361"/>
      <c r="H54" s="8" t="s">
        <v>93</v>
      </c>
      <c r="I54" s="11"/>
      <c r="J54" s="11"/>
      <c r="K54" s="24"/>
      <c r="L54" s="315"/>
      <c r="M54" s="316"/>
      <c r="N54" s="734"/>
      <c r="O54" s="378"/>
    </row>
    <row r="55" spans="1:15" s="1" customFormat="1" ht="12.95" customHeight="1">
      <c r="A55" s="311"/>
      <c r="B55" s="12"/>
      <c r="C55" s="8"/>
      <c r="D55" s="8"/>
      <c r="E55" s="8"/>
      <c r="F55" s="335"/>
      <c r="G55" s="361"/>
      <c r="H55" s="8" t="s">
        <v>94</v>
      </c>
      <c r="I55" s="11"/>
      <c r="J55" s="11"/>
      <c r="K55" s="24"/>
      <c r="L55" s="315"/>
      <c r="M55" s="316"/>
      <c r="N55" s="734"/>
      <c r="O55" s="378"/>
    </row>
    <row r="56" spans="1:15" ht="8.1" customHeight="1" thickBot="1">
      <c r="B56" s="16"/>
      <c r="C56" s="17"/>
      <c r="D56" s="17"/>
      <c r="E56" s="17"/>
      <c r="F56" s="337"/>
      <c r="G56" s="363"/>
      <c r="H56" s="17"/>
      <c r="I56" s="17"/>
      <c r="J56" s="17"/>
      <c r="K56" s="27"/>
      <c r="L56" s="16"/>
      <c r="M56" s="17"/>
      <c r="N56" s="735"/>
      <c r="O56" s="379"/>
    </row>
    <row r="57" spans="1:15" ht="12.95" customHeight="1">
      <c r="F57" s="338"/>
      <c r="G57" s="364"/>
      <c r="N57" s="423"/>
    </row>
    <row r="58" spans="1:15" ht="17.100000000000001" customHeight="1">
      <c r="F58" s="338"/>
      <c r="G58" s="364"/>
      <c r="N58" s="423"/>
    </row>
    <row r="59" spans="1:15" ht="17.100000000000001" customHeight="1">
      <c r="B59" s="55"/>
      <c r="F59" s="338"/>
      <c r="G59" s="364"/>
      <c r="N59" s="423"/>
    </row>
    <row r="60" spans="1:15" ht="17.100000000000001" customHeight="1">
      <c r="B60" s="55"/>
      <c r="F60" s="338"/>
      <c r="G60" s="364"/>
      <c r="N60" s="423"/>
    </row>
    <row r="61" spans="1:15" ht="14.25">
      <c r="B61" s="55"/>
      <c r="F61" s="338"/>
      <c r="G61" s="364"/>
      <c r="N61" s="423"/>
    </row>
    <row r="62" spans="1:15" ht="14.25">
      <c r="B62" s="55"/>
      <c r="F62" s="338"/>
      <c r="G62" s="364"/>
      <c r="N62" s="423"/>
    </row>
    <row r="63" spans="1:15" ht="14.25">
      <c r="F63" s="338"/>
      <c r="G63" s="364"/>
      <c r="N63" s="423"/>
    </row>
    <row r="64" spans="1:15" ht="14.25">
      <c r="F64" s="338"/>
      <c r="G64" s="364"/>
      <c r="N64" s="423"/>
    </row>
    <row r="65" spans="6:14" ht="14.25">
      <c r="F65" s="338"/>
      <c r="G65" s="364"/>
      <c r="N65" s="423"/>
    </row>
    <row r="66" spans="6:14" ht="14.25">
      <c r="F66" s="338"/>
      <c r="G66" s="364"/>
      <c r="N66" s="423"/>
    </row>
    <row r="67" spans="6:14" ht="14.25">
      <c r="F67" s="338"/>
      <c r="G67" s="364"/>
      <c r="N67" s="423"/>
    </row>
    <row r="68" spans="6:14" ht="14.25">
      <c r="F68" s="338"/>
      <c r="G68" s="364"/>
      <c r="N68" s="423"/>
    </row>
    <row r="69" spans="6:14" ht="14.25">
      <c r="F69" s="338"/>
      <c r="G69" s="364"/>
      <c r="N69" s="423"/>
    </row>
    <row r="70" spans="6:14" ht="14.25">
      <c r="F70" s="338"/>
      <c r="G70" s="364"/>
      <c r="N70" s="423"/>
    </row>
    <row r="71" spans="6:14" ht="14.25">
      <c r="F71" s="338"/>
      <c r="G71" s="364"/>
      <c r="N71" s="423"/>
    </row>
    <row r="72" spans="6:14" ht="14.25">
      <c r="F72" s="338"/>
      <c r="G72" s="338"/>
      <c r="N72" s="423"/>
    </row>
    <row r="73" spans="6:14" ht="14.25">
      <c r="F73" s="338"/>
      <c r="G73" s="338"/>
      <c r="N73" s="423"/>
    </row>
    <row r="74" spans="6:14" ht="14.25">
      <c r="F74" s="338"/>
      <c r="G74" s="338"/>
      <c r="N74" s="423"/>
    </row>
    <row r="75" spans="6:14" ht="14.25">
      <c r="F75" s="338"/>
      <c r="G75" s="338"/>
      <c r="N75" s="423"/>
    </row>
    <row r="76" spans="6:14" ht="14.25">
      <c r="F76" s="338"/>
      <c r="G76" s="338"/>
      <c r="N76" s="423"/>
    </row>
    <row r="77" spans="6:14" ht="14.25">
      <c r="F77" s="338"/>
      <c r="G77" s="338"/>
      <c r="N77" s="423"/>
    </row>
    <row r="78" spans="6:14" ht="14.25">
      <c r="F78" s="338"/>
      <c r="G78" s="338"/>
      <c r="N78" s="423"/>
    </row>
    <row r="79" spans="6:14" ht="14.25">
      <c r="F79" s="338"/>
      <c r="G79" s="338"/>
      <c r="N79" s="423"/>
    </row>
    <row r="80" spans="6:14" ht="14.25">
      <c r="F80" s="338"/>
      <c r="G80" s="338"/>
      <c r="N80" s="423"/>
    </row>
    <row r="81" spans="6:14" ht="14.25">
      <c r="F81" s="338"/>
      <c r="G81" s="338"/>
      <c r="N81" s="423"/>
    </row>
    <row r="82" spans="6:14" ht="14.25">
      <c r="F82" s="338"/>
      <c r="G82" s="338"/>
      <c r="N82" s="423"/>
    </row>
    <row r="83" spans="6:14" ht="14.25">
      <c r="F83" s="338"/>
      <c r="G83" s="338"/>
      <c r="N83" s="423"/>
    </row>
    <row r="84" spans="6:14" ht="14.25">
      <c r="F84" s="338"/>
      <c r="G84" s="338"/>
      <c r="N84" s="423"/>
    </row>
    <row r="85" spans="6:14" ht="14.25">
      <c r="F85" s="338"/>
      <c r="G85" s="338"/>
      <c r="N85" s="423"/>
    </row>
    <row r="86" spans="6:14" ht="14.25">
      <c r="F86" s="338"/>
      <c r="G86" s="338"/>
      <c r="N86" s="423"/>
    </row>
    <row r="87" spans="6:14" ht="14.25">
      <c r="F87" s="338"/>
      <c r="G87" s="338"/>
      <c r="N87" s="423"/>
    </row>
    <row r="88" spans="6:14" ht="14.25">
      <c r="F88" s="338"/>
      <c r="G88" s="338"/>
      <c r="N88" s="423"/>
    </row>
    <row r="89" spans="6:14">
      <c r="G89" s="338"/>
    </row>
    <row r="90" spans="6:14">
      <c r="G90" s="338"/>
    </row>
    <row r="91" spans="6:14">
      <c r="G91" s="338"/>
    </row>
    <row r="92" spans="6:14">
      <c r="G92" s="338"/>
    </row>
    <row r="93" spans="6:14">
      <c r="G93" s="338"/>
    </row>
    <row r="94" spans="6:14">
      <c r="G94" s="338"/>
    </row>
  </sheetData>
  <mergeCells count="14">
    <mergeCell ref="O4:O5"/>
    <mergeCell ref="H4:H5"/>
    <mergeCell ref="B2:I2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K4:K5"/>
    <mergeCell ref="E4:E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5"/>
  <dimension ref="A1:R96"/>
  <sheetViews>
    <sheetView topLeftCell="A4" zoomScaleNormal="100" zoomScaleSheetLayoutView="100" workbookViewId="0">
      <selection activeCell="P25" sqref="P25"/>
    </sheetView>
  </sheetViews>
  <sheetFormatPr defaultRowHeight="12.75"/>
  <cols>
    <col min="1" max="1" width="9.140625" style="314"/>
    <col min="2" max="2" width="4.7109375" style="9" customWidth="1"/>
    <col min="3" max="3" width="5.140625" style="9" customWidth="1"/>
    <col min="4" max="4" width="5" style="9" customWidth="1"/>
    <col min="5" max="5" width="5" style="314" customWidth="1"/>
    <col min="6" max="6" width="8.7109375" style="18" customWidth="1"/>
    <col min="7" max="7" width="8.7109375" style="319" customWidth="1"/>
    <col min="8" max="8" width="50.7109375" style="9" customWidth="1"/>
    <col min="9" max="13" width="14.7109375" style="63" customWidth="1"/>
    <col min="14" max="14" width="15.7109375" style="63" customWidth="1"/>
    <col min="15" max="15" width="7.7109375" style="380" customWidth="1"/>
    <col min="16" max="16" width="9.140625" style="9"/>
    <col min="17" max="17" width="10.140625" style="9" bestFit="1" customWidth="1"/>
    <col min="18" max="16384" width="9.140625" style="9"/>
  </cols>
  <sheetData>
    <row r="1" spans="1:18" ht="13.5" thickBot="1"/>
    <row r="2" spans="1:18" s="113" customFormat="1" ht="20.100000000000001" customHeight="1" thickTop="1" thickBot="1">
      <c r="B2" s="887" t="s">
        <v>802</v>
      </c>
      <c r="C2" s="925"/>
      <c r="D2" s="925"/>
      <c r="E2" s="925"/>
      <c r="F2" s="925"/>
      <c r="G2" s="925"/>
      <c r="H2" s="925"/>
      <c r="I2" s="925"/>
      <c r="J2" s="925"/>
      <c r="K2" s="925"/>
      <c r="L2" s="925"/>
      <c r="M2" s="925"/>
      <c r="N2" s="925"/>
      <c r="O2" s="926"/>
      <c r="Q2" s="408"/>
    </row>
    <row r="3" spans="1:18" s="1" customFormat="1" ht="8.1" customHeight="1" thickTop="1" thickBot="1">
      <c r="A3" s="311"/>
      <c r="B3" s="639"/>
      <c r="C3" s="639"/>
      <c r="D3" s="639"/>
      <c r="E3" s="639"/>
      <c r="F3" s="639"/>
      <c r="G3" s="639"/>
      <c r="H3" s="639"/>
      <c r="I3" s="639"/>
      <c r="J3" s="639"/>
      <c r="K3" s="639"/>
      <c r="L3" s="639"/>
      <c r="M3" s="639"/>
      <c r="N3" s="639"/>
      <c r="O3" s="639"/>
    </row>
    <row r="4" spans="1:18" s="1" customFormat="1" ht="39" customHeight="1">
      <c r="A4" s="311"/>
      <c r="B4" s="894" t="s">
        <v>77</v>
      </c>
      <c r="C4" s="909" t="s">
        <v>78</v>
      </c>
      <c r="D4" s="910" t="s">
        <v>107</v>
      </c>
      <c r="E4" s="916" t="s">
        <v>828</v>
      </c>
      <c r="F4" s="911" t="s">
        <v>517</v>
      </c>
      <c r="G4" s="899" t="s">
        <v>556</v>
      </c>
      <c r="H4" s="900" t="s">
        <v>79</v>
      </c>
      <c r="I4" s="917" t="s">
        <v>697</v>
      </c>
      <c r="J4" s="913" t="s">
        <v>862</v>
      </c>
      <c r="K4" s="917" t="s">
        <v>863</v>
      </c>
      <c r="L4" s="908" t="s">
        <v>865</v>
      </c>
      <c r="M4" s="892"/>
      <c r="N4" s="893"/>
      <c r="O4" s="906" t="s">
        <v>866</v>
      </c>
      <c r="Q4" s="81"/>
    </row>
    <row r="5" spans="1:18" s="311" customFormat="1" ht="27" customHeight="1">
      <c r="B5" s="895"/>
      <c r="C5" s="897"/>
      <c r="D5" s="897"/>
      <c r="E5" s="897"/>
      <c r="F5" s="901"/>
      <c r="G5" s="897"/>
      <c r="H5" s="901"/>
      <c r="I5" s="905"/>
      <c r="J5" s="901"/>
      <c r="K5" s="905"/>
      <c r="L5" s="587" t="s">
        <v>601</v>
      </c>
      <c r="M5" s="404" t="s">
        <v>602</v>
      </c>
      <c r="N5" s="720" t="s">
        <v>349</v>
      </c>
      <c r="O5" s="907"/>
    </row>
    <row r="6" spans="1:18" s="2" customFormat="1" ht="12.95" customHeight="1">
      <c r="A6" s="312"/>
      <c r="B6" s="525">
        <v>1</v>
      </c>
      <c r="C6" s="361">
        <v>2</v>
      </c>
      <c r="D6" s="361">
        <v>3</v>
      </c>
      <c r="E6" s="361">
        <v>4</v>
      </c>
      <c r="F6" s="361">
        <v>5</v>
      </c>
      <c r="G6" s="361">
        <v>6</v>
      </c>
      <c r="H6" s="361">
        <v>7</v>
      </c>
      <c r="I6" s="526">
        <v>8</v>
      </c>
      <c r="J6" s="361">
        <v>9</v>
      </c>
      <c r="K6" s="526">
        <v>10</v>
      </c>
      <c r="L6" s="525">
        <v>11</v>
      </c>
      <c r="M6" s="361">
        <v>12</v>
      </c>
      <c r="N6" s="721" t="s">
        <v>830</v>
      </c>
      <c r="O6" s="527">
        <v>14</v>
      </c>
    </row>
    <row r="7" spans="1:18" s="2" customFormat="1" ht="12.95" customHeight="1">
      <c r="A7" s="312"/>
      <c r="B7" s="6" t="s">
        <v>131</v>
      </c>
      <c r="C7" s="7" t="s">
        <v>124</v>
      </c>
      <c r="D7" s="7" t="s">
        <v>113</v>
      </c>
      <c r="E7" s="667" t="s">
        <v>846</v>
      </c>
      <c r="F7" s="5"/>
      <c r="G7" s="313"/>
      <c r="H7" s="5"/>
      <c r="I7" s="592"/>
      <c r="J7" s="100"/>
      <c r="K7" s="592"/>
      <c r="L7" s="619"/>
      <c r="M7" s="100"/>
      <c r="N7" s="773"/>
      <c r="O7" s="375"/>
    </row>
    <row r="8" spans="1:18" s="1" customFormat="1" ht="12.95" customHeight="1">
      <c r="A8" s="311"/>
      <c r="B8" s="12"/>
      <c r="C8" s="8"/>
      <c r="D8" s="8"/>
      <c r="E8" s="8"/>
      <c r="F8" s="335">
        <v>611000</v>
      </c>
      <c r="G8" s="361"/>
      <c r="H8" s="8" t="s">
        <v>146</v>
      </c>
      <c r="I8" s="738">
        <f t="shared" ref="I8:N8" si="0">SUM(I9:I12)</f>
        <v>1097330</v>
      </c>
      <c r="J8" s="236">
        <f t="shared" si="0"/>
        <v>1097330</v>
      </c>
      <c r="K8" s="744">
        <f t="shared" si="0"/>
        <v>248747</v>
      </c>
      <c r="L8" s="578">
        <f t="shared" si="0"/>
        <v>1039350</v>
      </c>
      <c r="M8" s="236">
        <f t="shared" si="0"/>
        <v>0</v>
      </c>
      <c r="N8" s="723">
        <f t="shared" si="0"/>
        <v>1039350</v>
      </c>
      <c r="O8" s="376">
        <f>IF(J8=0,"",N8/J8*100)</f>
        <v>94.716265845278997</v>
      </c>
      <c r="Q8" s="64"/>
      <c r="R8" s="64"/>
    </row>
    <row r="9" spans="1:18" ht="12.95" customHeight="1">
      <c r="B9" s="10"/>
      <c r="C9" s="11"/>
      <c r="D9" s="11"/>
      <c r="E9" s="316"/>
      <c r="F9" s="336">
        <v>611100</v>
      </c>
      <c r="G9" s="362"/>
      <c r="H9" s="20" t="s">
        <v>174</v>
      </c>
      <c r="I9" s="784">
        <f>869630+2*420+730+14500+2000+21740-6200</f>
        <v>903240</v>
      </c>
      <c r="J9" s="238">
        <f>869630+2*420+730+14500+2000+21740-6200</f>
        <v>903240</v>
      </c>
      <c r="K9" s="742">
        <v>209604</v>
      </c>
      <c r="L9" s="626">
        <f>849270+1000+3370+2*420+760</f>
        <v>855240</v>
      </c>
      <c r="M9" s="238">
        <v>0</v>
      </c>
      <c r="N9" s="724">
        <f>SUM(L9:M9)</f>
        <v>855240</v>
      </c>
      <c r="O9" s="377">
        <f>IF(J9=0,"",N9/J9*100)</f>
        <v>94.685797794606088</v>
      </c>
    </row>
    <row r="10" spans="1:18" ht="12.95" customHeight="1">
      <c r="B10" s="10"/>
      <c r="C10" s="11"/>
      <c r="D10" s="11"/>
      <c r="E10" s="316"/>
      <c r="F10" s="336">
        <v>611200</v>
      </c>
      <c r="G10" s="362"/>
      <c r="H10" s="11" t="s">
        <v>175</v>
      </c>
      <c r="I10" s="784">
        <f>182160+2*930+1500+8000+2000-1430</f>
        <v>194090</v>
      </c>
      <c r="J10" s="238">
        <f>182160+2*930+1500+8000+2000-1430</f>
        <v>194090</v>
      </c>
      <c r="K10" s="742">
        <v>39143</v>
      </c>
      <c r="L10" s="626">
        <f>175860+1000+3700+2*950+1650</f>
        <v>184110</v>
      </c>
      <c r="M10" s="238">
        <v>0</v>
      </c>
      <c r="N10" s="724">
        <f t="shared" ref="N10:N11" si="1">SUM(L10:M10)</f>
        <v>184110</v>
      </c>
      <c r="O10" s="377">
        <f t="shared" ref="O10:O35" si="2">IF(J10=0,"",N10/J10*100)</f>
        <v>94.858055541243758</v>
      </c>
      <c r="Q10" s="63"/>
    </row>
    <row r="11" spans="1:18" ht="12.95" customHeight="1">
      <c r="B11" s="10"/>
      <c r="C11" s="11"/>
      <c r="D11" s="11"/>
      <c r="E11" s="316"/>
      <c r="F11" s="336">
        <v>611200</v>
      </c>
      <c r="G11" s="362"/>
      <c r="H11" s="210" t="s">
        <v>464</v>
      </c>
      <c r="I11" s="739">
        <v>0</v>
      </c>
      <c r="J11" s="235">
        <v>0</v>
      </c>
      <c r="K11" s="741">
        <v>0</v>
      </c>
      <c r="L11" s="579">
        <v>0</v>
      </c>
      <c r="M11" s="235">
        <v>0</v>
      </c>
      <c r="N11" s="724">
        <f t="shared" si="1"/>
        <v>0</v>
      </c>
      <c r="O11" s="377" t="str">
        <f t="shared" si="2"/>
        <v/>
      </c>
      <c r="Q11" s="62"/>
    </row>
    <row r="12" spans="1:18" ht="12.95" customHeight="1">
      <c r="B12" s="10"/>
      <c r="C12" s="11"/>
      <c r="D12" s="11"/>
      <c r="E12" s="316"/>
      <c r="F12" s="336"/>
      <c r="G12" s="362"/>
      <c r="H12" s="20"/>
      <c r="I12" s="784"/>
      <c r="J12" s="238"/>
      <c r="K12" s="742"/>
      <c r="L12" s="626"/>
      <c r="M12" s="238"/>
      <c r="N12" s="724"/>
      <c r="O12" s="377" t="str">
        <f t="shared" si="2"/>
        <v/>
      </c>
    </row>
    <row r="13" spans="1:18" s="1" customFormat="1" ht="12.95" customHeight="1">
      <c r="A13" s="311"/>
      <c r="B13" s="12"/>
      <c r="C13" s="8"/>
      <c r="D13" s="8"/>
      <c r="E13" s="8"/>
      <c r="F13" s="335">
        <v>612000</v>
      </c>
      <c r="G13" s="361"/>
      <c r="H13" s="8" t="s">
        <v>145</v>
      </c>
      <c r="I13" s="738">
        <f t="shared" ref="I13:N13" si="3">I14</f>
        <v>95280</v>
      </c>
      <c r="J13" s="236">
        <f t="shared" si="3"/>
        <v>95280</v>
      </c>
      <c r="K13" s="744">
        <f t="shared" si="3"/>
        <v>22266</v>
      </c>
      <c r="L13" s="578">
        <f t="shared" si="3"/>
        <v>90900</v>
      </c>
      <c r="M13" s="236">
        <f t="shared" si="3"/>
        <v>0</v>
      </c>
      <c r="N13" s="723">
        <f t="shared" si="3"/>
        <v>90900</v>
      </c>
      <c r="O13" s="376">
        <f t="shared" si="2"/>
        <v>95.40302267002518</v>
      </c>
    </row>
    <row r="14" spans="1:18" ht="12.95" customHeight="1">
      <c r="B14" s="10"/>
      <c r="C14" s="11"/>
      <c r="D14" s="11"/>
      <c r="E14" s="316"/>
      <c r="F14" s="336">
        <v>612100</v>
      </c>
      <c r="G14" s="362"/>
      <c r="H14" s="13" t="s">
        <v>82</v>
      </c>
      <c r="I14" s="784">
        <f>92200+2*150+250+900+2310-680</f>
        <v>95280</v>
      </c>
      <c r="J14" s="238">
        <f>92200+2*150+250+900+2310-680</f>
        <v>95280</v>
      </c>
      <c r="K14" s="742">
        <v>22266</v>
      </c>
      <c r="L14" s="626">
        <f>89930+400+2*150+270</f>
        <v>90900</v>
      </c>
      <c r="M14" s="238">
        <v>0</v>
      </c>
      <c r="N14" s="724">
        <f>SUM(L14:M14)</f>
        <v>90900</v>
      </c>
      <c r="O14" s="377">
        <f t="shared" si="2"/>
        <v>95.40302267002518</v>
      </c>
    </row>
    <row r="15" spans="1:18" ht="12.95" customHeight="1">
      <c r="B15" s="10"/>
      <c r="C15" s="11"/>
      <c r="D15" s="11"/>
      <c r="E15" s="316"/>
      <c r="F15" s="336"/>
      <c r="G15" s="362"/>
      <c r="H15" s="11"/>
      <c r="I15" s="777"/>
      <c r="J15" s="321"/>
      <c r="K15" s="779"/>
      <c r="L15" s="621"/>
      <c r="M15" s="321"/>
      <c r="N15" s="725"/>
      <c r="O15" s="377" t="str">
        <f t="shared" si="2"/>
        <v/>
      </c>
    </row>
    <row r="16" spans="1:18" s="1" customFormat="1" ht="12.95" customHeight="1">
      <c r="A16" s="311"/>
      <c r="B16" s="12"/>
      <c r="C16" s="8"/>
      <c r="D16" s="8"/>
      <c r="E16" s="8"/>
      <c r="F16" s="335">
        <v>613000</v>
      </c>
      <c r="G16" s="361"/>
      <c r="H16" s="8" t="s">
        <v>147</v>
      </c>
      <c r="I16" s="778">
        <f t="shared" ref="I16:N16" si="4">SUM(I17:I26)</f>
        <v>183400</v>
      </c>
      <c r="J16" s="323">
        <f t="shared" si="4"/>
        <v>183400</v>
      </c>
      <c r="K16" s="783">
        <f t="shared" si="4"/>
        <v>56129</v>
      </c>
      <c r="L16" s="581">
        <f t="shared" si="4"/>
        <v>158140</v>
      </c>
      <c r="M16" s="323">
        <f t="shared" si="4"/>
        <v>0</v>
      </c>
      <c r="N16" s="726">
        <f t="shared" si="4"/>
        <v>158140</v>
      </c>
      <c r="O16" s="376">
        <f t="shared" si="2"/>
        <v>86.226826608506002</v>
      </c>
    </row>
    <row r="17" spans="1:16" ht="12.95" customHeight="1">
      <c r="B17" s="10"/>
      <c r="C17" s="11"/>
      <c r="D17" s="11"/>
      <c r="E17" s="316"/>
      <c r="F17" s="336">
        <v>613100</v>
      </c>
      <c r="G17" s="362"/>
      <c r="H17" s="11" t="s">
        <v>83</v>
      </c>
      <c r="I17" s="779">
        <v>5000</v>
      </c>
      <c r="J17" s="395">
        <v>5000</v>
      </c>
      <c r="K17" s="779">
        <v>0</v>
      </c>
      <c r="L17" s="571">
        <v>3000</v>
      </c>
      <c r="M17" s="395">
        <v>0</v>
      </c>
      <c r="N17" s="724">
        <f t="shared" ref="N17:N26" si="5">SUM(L17:M17)</f>
        <v>3000</v>
      </c>
      <c r="O17" s="377">
        <f t="shared" si="2"/>
        <v>60</v>
      </c>
    </row>
    <row r="18" spans="1:16" ht="12.95" customHeight="1">
      <c r="B18" s="10"/>
      <c r="C18" s="11"/>
      <c r="D18" s="11"/>
      <c r="E18" s="316"/>
      <c r="F18" s="336">
        <v>613200</v>
      </c>
      <c r="G18" s="362"/>
      <c r="H18" s="11" t="s">
        <v>84</v>
      </c>
      <c r="I18" s="779">
        <f>56300+33700</f>
        <v>90000</v>
      </c>
      <c r="J18" s="395">
        <f>56300+33700</f>
        <v>90000</v>
      </c>
      <c r="K18" s="779">
        <v>37349</v>
      </c>
      <c r="L18" s="571">
        <v>80000</v>
      </c>
      <c r="M18" s="395">
        <v>0</v>
      </c>
      <c r="N18" s="724">
        <f t="shared" si="5"/>
        <v>80000</v>
      </c>
      <c r="O18" s="377">
        <f t="shared" si="2"/>
        <v>88.888888888888886</v>
      </c>
    </row>
    <row r="19" spans="1:16" ht="12.95" customHeight="1">
      <c r="B19" s="10"/>
      <c r="C19" s="11"/>
      <c r="D19" s="11"/>
      <c r="E19" s="316"/>
      <c r="F19" s="336">
        <v>613300</v>
      </c>
      <c r="G19" s="362"/>
      <c r="H19" s="20" t="s">
        <v>176</v>
      </c>
      <c r="I19" s="779">
        <v>10500</v>
      </c>
      <c r="J19" s="395">
        <v>10500</v>
      </c>
      <c r="K19" s="779">
        <v>1175</v>
      </c>
      <c r="L19" s="571">
        <v>8500</v>
      </c>
      <c r="M19" s="395">
        <v>0</v>
      </c>
      <c r="N19" s="724">
        <f t="shared" si="5"/>
        <v>8500</v>
      </c>
      <c r="O19" s="377">
        <f t="shared" si="2"/>
        <v>80.952380952380949</v>
      </c>
    </row>
    <row r="20" spans="1:16" ht="12.95" customHeight="1">
      <c r="B20" s="10"/>
      <c r="C20" s="11"/>
      <c r="D20" s="11"/>
      <c r="E20" s="316"/>
      <c r="F20" s="336">
        <v>613400</v>
      </c>
      <c r="G20" s="362"/>
      <c r="H20" s="11" t="s">
        <v>148</v>
      </c>
      <c r="I20" s="779">
        <v>22000</v>
      </c>
      <c r="J20" s="395">
        <v>22000</v>
      </c>
      <c r="K20" s="779">
        <v>4478</v>
      </c>
      <c r="L20" s="571">
        <v>15000</v>
      </c>
      <c r="M20" s="395">
        <v>0</v>
      </c>
      <c r="N20" s="724">
        <f t="shared" si="5"/>
        <v>15000</v>
      </c>
      <c r="O20" s="377">
        <f t="shared" si="2"/>
        <v>68.181818181818173</v>
      </c>
    </row>
    <row r="21" spans="1:16" ht="12.95" customHeight="1">
      <c r="B21" s="10"/>
      <c r="C21" s="11"/>
      <c r="D21" s="11"/>
      <c r="E21" s="316"/>
      <c r="F21" s="336">
        <v>613500</v>
      </c>
      <c r="G21" s="362"/>
      <c r="H21" s="11" t="s">
        <v>85</v>
      </c>
      <c r="I21" s="742">
        <v>3000</v>
      </c>
      <c r="J21" s="397">
        <v>3000</v>
      </c>
      <c r="K21" s="742">
        <v>632</v>
      </c>
      <c r="L21" s="571">
        <v>2000</v>
      </c>
      <c r="M21" s="397">
        <v>0</v>
      </c>
      <c r="N21" s="724">
        <f t="shared" si="5"/>
        <v>2000</v>
      </c>
      <c r="O21" s="377">
        <f t="shared" si="2"/>
        <v>66.666666666666657</v>
      </c>
    </row>
    <row r="22" spans="1:16" ht="12.95" customHeight="1">
      <c r="B22" s="10"/>
      <c r="C22" s="11"/>
      <c r="D22" s="11"/>
      <c r="E22" s="316"/>
      <c r="F22" s="336">
        <v>613600</v>
      </c>
      <c r="G22" s="362"/>
      <c r="H22" s="20" t="s">
        <v>177</v>
      </c>
      <c r="I22" s="779">
        <v>0</v>
      </c>
      <c r="J22" s="395">
        <v>0</v>
      </c>
      <c r="K22" s="779">
        <v>0</v>
      </c>
      <c r="L22" s="571">
        <v>0</v>
      </c>
      <c r="M22" s="395">
        <v>0</v>
      </c>
      <c r="N22" s="724">
        <f t="shared" si="5"/>
        <v>0</v>
      </c>
      <c r="O22" s="377" t="str">
        <f t="shared" si="2"/>
        <v/>
      </c>
    </row>
    <row r="23" spans="1:16" ht="12.95" customHeight="1">
      <c r="B23" s="10"/>
      <c r="C23" s="11"/>
      <c r="D23" s="11"/>
      <c r="E23" s="316"/>
      <c r="F23" s="336">
        <v>613700</v>
      </c>
      <c r="G23" s="362"/>
      <c r="H23" s="11" t="s">
        <v>86</v>
      </c>
      <c r="I23" s="779">
        <v>17900</v>
      </c>
      <c r="J23" s="395">
        <v>17900</v>
      </c>
      <c r="K23" s="779">
        <v>5481</v>
      </c>
      <c r="L23" s="571">
        <v>15000</v>
      </c>
      <c r="M23" s="395">
        <v>0</v>
      </c>
      <c r="N23" s="724">
        <f t="shared" si="5"/>
        <v>15000</v>
      </c>
      <c r="O23" s="377">
        <f t="shared" si="2"/>
        <v>83.798882681564251</v>
      </c>
    </row>
    <row r="24" spans="1:16" ht="12.95" customHeight="1">
      <c r="B24" s="10"/>
      <c r="C24" s="11"/>
      <c r="D24" s="11"/>
      <c r="E24" s="316"/>
      <c r="F24" s="336">
        <v>613800</v>
      </c>
      <c r="G24" s="362"/>
      <c r="H24" s="11" t="s">
        <v>149</v>
      </c>
      <c r="I24" s="779">
        <v>0</v>
      </c>
      <c r="J24" s="395">
        <v>0</v>
      </c>
      <c r="K24" s="779">
        <v>0</v>
      </c>
      <c r="L24" s="571">
        <v>0</v>
      </c>
      <c r="M24" s="395">
        <v>0</v>
      </c>
      <c r="N24" s="724">
        <f t="shared" si="5"/>
        <v>0</v>
      </c>
      <c r="O24" s="377" t="str">
        <f t="shared" si="2"/>
        <v/>
      </c>
    </row>
    <row r="25" spans="1:16" ht="12.95" customHeight="1">
      <c r="B25" s="10"/>
      <c r="C25" s="11"/>
      <c r="D25" s="11"/>
      <c r="E25" s="316"/>
      <c r="F25" s="336">
        <v>613900</v>
      </c>
      <c r="G25" s="362"/>
      <c r="H25" s="11" t="s">
        <v>150</v>
      </c>
      <c r="I25" s="742">
        <v>35000</v>
      </c>
      <c r="J25" s="397">
        <v>35000</v>
      </c>
      <c r="K25" s="742">
        <v>7014</v>
      </c>
      <c r="L25" s="571">
        <f>35000-360</f>
        <v>34640</v>
      </c>
      <c r="M25" s="397">
        <v>0</v>
      </c>
      <c r="N25" s="724">
        <f t="shared" si="5"/>
        <v>34640</v>
      </c>
      <c r="O25" s="377">
        <f t="shared" si="2"/>
        <v>98.971428571428575</v>
      </c>
    </row>
    <row r="26" spans="1:16" ht="12.95" customHeight="1">
      <c r="B26" s="10"/>
      <c r="C26" s="11"/>
      <c r="D26" s="11"/>
      <c r="E26" s="316"/>
      <c r="F26" s="336">
        <v>613900</v>
      </c>
      <c r="G26" s="362"/>
      <c r="H26" s="210" t="s">
        <v>465</v>
      </c>
      <c r="I26" s="803">
        <v>0</v>
      </c>
      <c r="J26" s="390">
        <v>0</v>
      </c>
      <c r="K26" s="803">
        <v>0</v>
      </c>
      <c r="L26" s="572">
        <v>0</v>
      </c>
      <c r="M26" s="390">
        <v>0</v>
      </c>
      <c r="N26" s="724">
        <f t="shared" si="5"/>
        <v>0</v>
      </c>
      <c r="O26" s="377" t="str">
        <f t="shared" si="2"/>
        <v/>
      </c>
    </row>
    <row r="27" spans="1:16" s="1" customFormat="1" ht="12.95" customHeight="1">
      <c r="A27" s="311"/>
      <c r="B27" s="12"/>
      <c r="C27" s="8"/>
      <c r="D27" s="8"/>
      <c r="E27" s="8"/>
      <c r="F27" s="335"/>
      <c r="G27" s="361"/>
      <c r="H27" s="8"/>
      <c r="I27" s="777"/>
      <c r="J27" s="321"/>
      <c r="K27" s="779"/>
      <c r="L27" s="622"/>
      <c r="M27" s="321"/>
      <c r="N27" s="725"/>
      <c r="O27" s="377" t="str">
        <f t="shared" si="2"/>
        <v/>
      </c>
    </row>
    <row r="28" spans="1:16" s="1" customFormat="1" ht="12.95" customHeight="1">
      <c r="A28" s="311"/>
      <c r="B28" s="12"/>
      <c r="C28" s="8"/>
      <c r="D28" s="8"/>
      <c r="E28" s="8"/>
      <c r="F28" s="335">
        <v>821000</v>
      </c>
      <c r="G28" s="361"/>
      <c r="H28" s="8" t="s">
        <v>89</v>
      </c>
      <c r="I28" s="575">
        <f t="shared" ref="I28:N28" si="6">SUM(I29:I31)</f>
        <v>15000</v>
      </c>
      <c r="J28" s="318">
        <f t="shared" si="6"/>
        <v>15000</v>
      </c>
      <c r="K28" s="745">
        <f t="shared" si="6"/>
        <v>0</v>
      </c>
      <c r="L28" s="588">
        <f t="shared" si="6"/>
        <v>5000</v>
      </c>
      <c r="M28" s="318">
        <f t="shared" si="6"/>
        <v>0</v>
      </c>
      <c r="N28" s="726">
        <f t="shared" si="6"/>
        <v>5000</v>
      </c>
      <c r="O28" s="376">
        <f t="shared" si="2"/>
        <v>33.333333333333329</v>
      </c>
    </row>
    <row r="29" spans="1:16" ht="12.95" customHeight="1">
      <c r="B29" s="10"/>
      <c r="C29" s="11"/>
      <c r="D29" s="11"/>
      <c r="E29" s="316"/>
      <c r="F29" s="336">
        <v>821200</v>
      </c>
      <c r="G29" s="362"/>
      <c r="H29" s="11" t="s">
        <v>90</v>
      </c>
      <c r="I29" s="631">
        <v>5000</v>
      </c>
      <c r="J29" s="326">
        <v>5000</v>
      </c>
      <c r="K29" s="742">
        <v>0</v>
      </c>
      <c r="L29" s="622">
        <v>0</v>
      </c>
      <c r="M29" s="326">
        <v>0</v>
      </c>
      <c r="N29" s="724">
        <f t="shared" ref="N29:N30" si="7">SUM(L29:M29)</f>
        <v>0</v>
      </c>
      <c r="O29" s="377">
        <f t="shared" si="2"/>
        <v>0</v>
      </c>
      <c r="P29" s="55"/>
    </row>
    <row r="30" spans="1:16" ht="12.95" customHeight="1">
      <c r="B30" s="10"/>
      <c r="C30" s="11"/>
      <c r="D30" s="11"/>
      <c r="E30" s="316"/>
      <c r="F30" s="336">
        <v>821300</v>
      </c>
      <c r="G30" s="362"/>
      <c r="H30" s="11" t="s">
        <v>91</v>
      </c>
      <c r="I30" s="631">
        <v>10000</v>
      </c>
      <c r="J30" s="326">
        <v>10000</v>
      </c>
      <c r="K30" s="742">
        <v>0</v>
      </c>
      <c r="L30" s="622">
        <v>5000</v>
      </c>
      <c r="M30" s="326">
        <v>0</v>
      </c>
      <c r="N30" s="724">
        <f t="shared" si="7"/>
        <v>5000</v>
      </c>
      <c r="O30" s="377">
        <f t="shared" si="2"/>
        <v>50</v>
      </c>
    </row>
    <row r="31" spans="1:16" ht="12.95" customHeight="1">
      <c r="B31" s="10"/>
      <c r="C31" s="11"/>
      <c r="D31" s="11"/>
      <c r="E31" s="316"/>
      <c r="F31" s="336"/>
      <c r="G31" s="362"/>
      <c r="H31" s="20"/>
      <c r="I31" s="777"/>
      <c r="J31" s="321"/>
      <c r="K31" s="779"/>
      <c r="L31" s="622"/>
      <c r="M31" s="321"/>
      <c r="N31" s="725"/>
      <c r="O31" s="377" t="str">
        <f t="shared" si="2"/>
        <v/>
      </c>
    </row>
    <row r="32" spans="1:16" s="1" customFormat="1" ht="12.95" customHeight="1">
      <c r="A32" s="311"/>
      <c r="B32" s="12"/>
      <c r="C32" s="8"/>
      <c r="D32" s="8"/>
      <c r="E32" s="8"/>
      <c r="F32" s="335"/>
      <c r="G32" s="361"/>
      <c r="H32" s="8" t="s">
        <v>92</v>
      </c>
      <c r="I32" s="785" t="s">
        <v>720</v>
      </c>
      <c r="J32" s="308" t="s">
        <v>720</v>
      </c>
      <c r="K32" s="790" t="s">
        <v>893</v>
      </c>
      <c r="L32" s="627" t="s">
        <v>893</v>
      </c>
      <c r="M32" s="308"/>
      <c r="N32" s="727" t="s">
        <v>893</v>
      </c>
      <c r="O32" s="377"/>
    </row>
    <row r="33" spans="1:18" s="1" customFormat="1" ht="12.95" customHeight="1">
      <c r="A33" s="311"/>
      <c r="B33" s="12"/>
      <c r="C33" s="8"/>
      <c r="D33" s="8"/>
      <c r="E33" s="8"/>
      <c r="F33" s="335"/>
      <c r="G33" s="361"/>
      <c r="H33" s="8" t="s">
        <v>110</v>
      </c>
      <c r="I33" s="575">
        <f>I8+I13+I16+I28</f>
        <v>1391010</v>
      </c>
      <c r="J33" s="318">
        <f>J8+J13+J16+J28</f>
        <v>1391010</v>
      </c>
      <c r="K33" s="575">
        <f t="shared" ref="K33" si="8">K8+K13+K16+K28</f>
        <v>327142</v>
      </c>
      <c r="L33" s="582">
        <f>L8+L13+L16+L28</f>
        <v>1293390</v>
      </c>
      <c r="M33" s="318">
        <f>M8+M13+M16+M28</f>
        <v>0</v>
      </c>
      <c r="N33" s="726">
        <f>N8+N13+N16+N28</f>
        <v>1293390</v>
      </c>
      <c r="O33" s="376">
        <f t="shared" si="2"/>
        <v>92.982077770828383</v>
      </c>
    </row>
    <row r="34" spans="1:18" s="1" customFormat="1" ht="12.95" customHeight="1">
      <c r="A34" s="311"/>
      <c r="B34" s="12"/>
      <c r="C34" s="8"/>
      <c r="D34" s="8"/>
      <c r="E34" s="8"/>
      <c r="F34" s="335"/>
      <c r="G34" s="361"/>
      <c r="H34" s="8" t="s">
        <v>93</v>
      </c>
      <c r="I34" s="575"/>
      <c r="J34" s="318"/>
      <c r="K34" s="575"/>
      <c r="L34" s="582"/>
      <c r="M34" s="318"/>
      <c r="N34" s="726"/>
      <c r="O34" s="377" t="str">
        <f>IF(J34=0,"",N34/J34*100)</f>
        <v/>
      </c>
      <c r="R34" s="1" t="s">
        <v>151</v>
      </c>
    </row>
    <row r="35" spans="1:18" s="1" customFormat="1" ht="12.95" customHeight="1">
      <c r="A35" s="311"/>
      <c r="B35" s="12"/>
      <c r="C35" s="8"/>
      <c r="D35" s="8"/>
      <c r="E35" s="8"/>
      <c r="F35" s="335"/>
      <c r="G35" s="361"/>
      <c r="H35" s="8" t="s">
        <v>94</v>
      </c>
      <c r="I35" s="586"/>
      <c r="J35" s="309"/>
      <c r="K35" s="586"/>
      <c r="L35" s="580"/>
      <c r="M35" s="309"/>
      <c r="N35" s="725"/>
      <c r="O35" s="377" t="str">
        <f t="shared" si="2"/>
        <v/>
      </c>
    </row>
    <row r="36" spans="1:18" ht="12.95" customHeight="1" thickBot="1">
      <c r="B36" s="16"/>
      <c r="C36" s="17"/>
      <c r="D36" s="17"/>
      <c r="E36" s="17"/>
      <c r="F36" s="337"/>
      <c r="G36" s="363"/>
      <c r="H36" s="17"/>
      <c r="I36" s="32"/>
      <c r="J36" s="32"/>
      <c r="K36" s="576"/>
      <c r="L36" s="585"/>
      <c r="M36" s="32"/>
      <c r="N36" s="728"/>
      <c r="O36" s="379"/>
    </row>
    <row r="37" spans="1:18" ht="12.95" customHeight="1">
      <c r="F37" s="338"/>
      <c r="G37" s="364"/>
      <c r="N37" s="425"/>
    </row>
    <row r="38" spans="1:18" ht="12.95" customHeight="1">
      <c r="B38" s="55"/>
      <c r="F38" s="338"/>
      <c r="G38" s="364"/>
      <c r="N38" s="425"/>
    </row>
    <row r="39" spans="1:18" ht="12.95" customHeight="1">
      <c r="B39" s="55"/>
      <c r="F39" s="338"/>
      <c r="G39" s="364"/>
      <c r="N39" s="425"/>
    </row>
    <row r="40" spans="1:18" ht="12.95" customHeight="1">
      <c r="B40" s="55"/>
      <c r="F40" s="338"/>
      <c r="G40" s="364"/>
      <c r="N40" s="425"/>
    </row>
    <row r="41" spans="1:18" ht="12.95" customHeight="1">
      <c r="B41" s="55"/>
      <c r="F41" s="338"/>
      <c r="G41" s="364"/>
      <c r="N41" s="425"/>
    </row>
    <row r="42" spans="1:18" ht="12.95" customHeight="1">
      <c r="B42" s="55"/>
      <c r="F42" s="338"/>
      <c r="G42" s="364"/>
      <c r="N42" s="425"/>
    </row>
    <row r="43" spans="1:18" ht="12.95" customHeight="1">
      <c r="B43" s="55"/>
      <c r="F43" s="338"/>
      <c r="G43" s="364"/>
      <c r="N43" s="425"/>
    </row>
    <row r="44" spans="1:18" ht="12.95" customHeight="1">
      <c r="B44" s="55"/>
      <c r="F44" s="338"/>
      <c r="G44" s="364"/>
      <c r="N44" s="425"/>
    </row>
    <row r="45" spans="1:18" ht="12.95" customHeight="1">
      <c r="B45" s="55"/>
      <c r="F45" s="338"/>
      <c r="G45" s="364"/>
      <c r="N45" s="425"/>
    </row>
    <row r="46" spans="1:18" ht="12.95" customHeight="1">
      <c r="B46" s="55"/>
      <c r="F46" s="338"/>
      <c r="G46" s="364"/>
      <c r="N46" s="425"/>
    </row>
    <row r="47" spans="1:18" ht="12.95" customHeight="1">
      <c r="B47" s="55"/>
      <c r="F47" s="338"/>
      <c r="G47" s="364"/>
      <c r="N47" s="425"/>
    </row>
    <row r="48" spans="1:18" ht="12.95" customHeight="1">
      <c r="B48" s="55"/>
      <c r="F48" s="338"/>
      <c r="G48" s="364"/>
      <c r="N48" s="425"/>
    </row>
    <row r="49" spans="2:14" ht="12.95" customHeight="1">
      <c r="B49" s="55"/>
      <c r="F49" s="338"/>
      <c r="G49" s="364"/>
      <c r="N49" s="425"/>
    </row>
    <row r="50" spans="2:14" ht="12.95" customHeight="1">
      <c r="B50" s="55"/>
      <c r="F50" s="338"/>
      <c r="G50" s="364"/>
      <c r="N50" s="425"/>
    </row>
    <row r="51" spans="2:14" ht="12.95" customHeight="1">
      <c r="B51" s="55"/>
      <c r="F51" s="338"/>
      <c r="G51" s="364"/>
      <c r="N51" s="425"/>
    </row>
    <row r="52" spans="2:14" ht="12.95" customHeight="1">
      <c r="F52" s="338"/>
      <c r="G52" s="364"/>
      <c r="N52" s="425"/>
    </row>
    <row r="53" spans="2:14" ht="12.95" customHeight="1">
      <c r="F53" s="338"/>
      <c r="G53" s="364"/>
      <c r="N53" s="425"/>
    </row>
    <row r="54" spans="2:14" ht="12.95" customHeight="1">
      <c r="F54" s="338"/>
      <c r="G54" s="364"/>
      <c r="N54" s="425"/>
    </row>
    <row r="55" spans="2:14" ht="12.95" customHeight="1">
      <c r="F55" s="338"/>
      <c r="G55" s="364"/>
      <c r="N55" s="425"/>
    </row>
    <row r="56" spans="2:14" ht="12.95" customHeight="1">
      <c r="F56" s="338"/>
      <c r="G56" s="364"/>
      <c r="N56" s="425"/>
    </row>
    <row r="57" spans="2:14" ht="12.95" customHeight="1">
      <c r="F57" s="338"/>
      <c r="G57" s="364"/>
      <c r="N57" s="425"/>
    </row>
    <row r="58" spans="2:14" ht="12.95" customHeight="1">
      <c r="F58" s="338"/>
      <c r="G58" s="364"/>
      <c r="N58" s="425"/>
    </row>
    <row r="59" spans="2:14" ht="12.95" customHeight="1">
      <c r="F59" s="338"/>
      <c r="G59" s="364"/>
      <c r="N59" s="425"/>
    </row>
    <row r="60" spans="2:14" ht="17.100000000000001" customHeight="1">
      <c r="F60" s="338"/>
      <c r="G60" s="364"/>
      <c r="N60" s="425"/>
    </row>
    <row r="61" spans="2:14" ht="14.25">
      <c r="F61" s="338"/>
      <c r="G61" s="364"/>
      <c r="N61" s="425"/>
    </row>
    <row r="62" spans="2:14" ht="14.25">
      <c r="F62" s="338"/>
      <c r="G62" s="364"/>
      <c r="N62" s="425"/>
    </row>
    <row r="63" spans="2:14" ht="14.25">
      <c r="F63" s="338"/>
      <c r="G63" s="364"/>
      <c r="N63" s="425"/>
    </row>
    <row r="64" spans="2:14" ht="14.25">
      <c r="F64" s="338"/>
      <c r="G64" s="364"/>
      <c r="N64" s="425"/>
    </row>
    <row r="65" spans="6:14" ht="14.25">
      <c r="F65" s="338"/>
      <c r="G65" s="364"/>
      <c r="N65" s="425"/>
    </row>
    <row r="66" spans="6:14" ht="14.25">
      <c r="F66" s="338"/>
      <c r="G66" s="364"/>
      <c r="N66" s="425"/>
    </row>
    <row r="67" spans="6:14" ht="14.25">
      <c r="F67" s="338"/>
      <c r="G67" s="364"/>
      <c r="N67" s="425"/>
    </row>
    <row r="68" spans="6:14" ht="14.25">
      <c r="F68" s="338"/>
      <c r="G68" s="364"/>
      <c r="N68" s="425"/>
    </row>
    <row r="69" spans="6:14" ht="14.25">
      <c r="F69" s="338"/>
      <c r="G69" s="364"/>
      <c r="N69" s="425"/>
    </row>
    <row r="70" spans="6:14" ht="14.25">
      <c r="F70" s="338"/>
      <c r="G70" s="364"/>
      <c r="N70" s="425"/>
    </row>
    <row r="71" spans="6:14" ht="14.25">
      <c r="F71" s="338"/>
      <c r="G71" s="364"/>
      <c r="N71" s="425"/>
    </row>
    <row r="72" spans="6:14" ht="14.25">
      <c r="F72" s="338"/>
      <c r="G72" s="364"/>
      <c r="N72" s="425"/>
    </row>
    <row r="73" spans="6:14" ht="14.25">
      <c r="F73" s="338"/>
      <c r="G73" s="364"/>
      <c r="N73" s="425"/>
    </row>
    <row r="74" spans="6:14" ht="14.25">
      <c r="F74" s="338"/>
      <c r="G74" s="338"/>
      <c r="N74" s="425"/>
    </row>
    <row r="75" spans="6:14" ht="14.25">
      <c r="F75" s="338"/>
      <c r="G75" s="338"/>
      <c r="N75" s="425"/>
    </row>
    <row r="76" spans="6:14" ht="14.25">
      <c r="F76" s="338"/>
      <c r="G76" s="338"/>
      <c r="N76" s="425"/>
    </row>
    <row r="77" spans="6:14" ht="14.25">
      <c r="F77" s="338"/>
      <c r="G77" s="338"/>
      <c r="N77" s="425"/>
    </row>
    <row r="78" spans="6:14" ht="14.25">
      <c r="F78" s="338"/>
      <c r="G78" s="338"/>
      <c r="N78" s="425"/>
    </row>
    <row r="79" spans="6:14" ht="14.25">
      <c r="F79" s="338"/>
      <c r="G79" s="338"/>
      <c r="N79" s="425"/>
    </row>
    <row r="80" spans="6:14" ht="14.25">
      <c r="F80" s="338"/>
      <c r="G80" s="338"/>
      <c r="N80" s="425"/>
    </row>
    <row r="81" spans="6:14" ht="14.25">
      <c r="F81" s="338"/>
      <c r="G81" s="338"/>
      <c r="N81" s="425"/>
    </row>
    <row r="82" spans="6:14" ht="14.25">
      <c r="F82" s="338"/>
      <c r="G82" s="338"/>
      <c r="N82" s="425"/>
    </row>
    <row r="83" spans="6:14" ht="14.25">
      <c r="F83" s="338"/>
      <c r="G83" s="338"/>
      <c r="N83" s="425"/>
    </row>
    <row r="84" spans="6:14" ht="14.25">
      <c r="F84" s="338"/>
      <c r="G84" s="338"/>
      <c r="N84" s="425"/>
    </row>
    <row r="85" spans="6:14" ht="14.25">
      <c r="F85" s="338"/>
      <c r="G85" s="338"/>
      <c r="N85" s="425"/>
    </row>
    <row r="86" spans="6:14" ht="14.25">
      <c r="F86" s="338"/>
      <c r="G86" s="338"/>
      <c r="N86" s="425"/>
    </row>
    <row r="87" spans="6:14" ht="14.25">
      <c r="F87" s="338"/>
      <c r="G87" s="338"/>
      <c r="N87" s="425"/>
    </row>
    <row r="88" spans="6:14" ht="14.25">
      <c r="F88" s="338"/>
      <c r="G88" s="338"/>
      <c r="N88" s="425"/>
    </row>
    <row r="89" spans="6:14" ht="14.25">
      <c r="F89" s="338"/>
      <c r="G89" s="338"/>
      <c r="N89" s="425"/>
    </row>
    <row r="90" spans="6:14" ht="14.25">
      <c r="F90" s="338"/>
      <c r="G90" s="338"/>
      <c r="N90" s="425"/>
    </row>
    <row r="91" spans="6:14">
      <c r="G91" s="338"/>
    </row>
    <row r="92" spans="6:14">
      <c r="G92" s="338"/>
    </row>
    <row r="93" spans="6:14">
      <c r="G93" s="338"/>
    </row>
    <row r="94" spans="6:14">
      <c r="G94" s="338"/>
    </row>
    <row r="95" spans="6:14">
      <c r="G95" s="338"/>
    </row>
    <row r="96" spans="6:14">
      <c r="G96" s="338"/>
    </row>
  </sheetData>
  <mergeCells count="13">
    <mergeCell ref="B2:O2"/>
    <mergeCell ref="O4:O5"/>
    <mergeCell ref="H4:H5"/>
    <mergeCell ref="L4:N4"/>
    <mergeCell ref="B4:B5"/>
    <mergeCell ref="C4:C5"/>
    <mergeCell ref="D4:D5"/>
    <mergeCell ref="G4:G5"/>
    <mergeCell ref="F4:F5"/>
    <mergeCell ref="I4:I5"/>
    <mergeCell ref="J4:J5"/>
    <mergeCell ref="K4:K5"/>
    <mergeCell ref="E4:E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4"/>
  <dimension ref="A1:Q96"/>
  <sheetViews>
    <sheetView topLeftCell="A4" zoomScaleNormal="100" zoomScaleSheetLayoutView="100" workbookViewId="0">
      <selection activeCell="P25" sqref="P25"/>
    </sheetView>
  </sheetViews>
  <sheetFormatPr defaultRowHeight="12.75"/>
  <cols>
    <col min="1" max="1" width="9.140625" style="314"/>
    <col min="2" max="2" width="4.7109375" style="9" customWidth="1"/>
    <col min="3" max="3" width="5.140625" style="9" customWidth="1"/>
    <col min="4" max="4" width="5" style="9" customWidth="1"/>
    <col min="5" max="5" width="5" style="314" customWidth="1"/>
    <col min="6" max="6" width="8.7109375" style="18" customWidth="1"/>
    <col min="7" max="7" width="8.7109375" style="319" customWidth="1"/>
    <col min="8" max="8" width="50.7109375" style="9" customWidth="1"/>
    <col min="9" max="11" width="14.7109375" style="9" customWidth="1"/>
    <col min="12" max="13" width="14.7109375" style="314" customWidth="1"/>
    <col min="14" max="14" width="15.7109375" style="9" customWidth="1"/>
    <col min="15" max="15" width="7.7109375" style="380" customWidth="1"/>
    <col min="16" max="16384" width="9.140625" style="9"/>
  </cols>
  <sheetData>
    <row r="1" spans="1:17" ht="13.5" thickBot="1"/>
    <row r="2" spans="1:17" s="113" customFormat="1" ht="20.100000000000001" customHeight="1" thickTop="1" thickBot="1">
      <c r="A2" s="408"/>
      <c r="B2" s="887" t="s">
        <v>801</v>
      </c>
      <c r="C2" s="888"/>
      <c r="D2" s="888"/>
      <c r="E2" s="888"/>
      <c r="F2" s="888"/>
      <c r="G2" s="888"/>
      <c r="H2" s="888"/>
      <c r="I2" s="888"/>
      <c r="J2" s="921"/>
      <c r="K2" s="921"/>
      <c r="L2" s="921"/>
      <c r="M2" s="921"/>
      <c r="N2" s="921"/>
      <c r="O2" s="922"/>
      <c r="Q2" s="408"/>
    </row>
    <row r="3" spans="1:17" s="1" customFormat="1" ht="8.1" customHeight="1" thickTop="1" thickBot="1">
      <c r="A3" s="311"/>
      <c r="E3" s="311"/>
      <c r="F3" s="2"/>
      <c r="G3" s="312"/>
      <c r="H3" s="890"/>
      <c r="I3" s="890"/>
      <c r="J3" s="282"/>
      <c r="K3" s="282"/>
      <c r="L3" s="107"/>
      <c r="M3" s="107"/>
      <c r="N3" s="107"/>
      <c r="O3" s="374"/>
    </row>
    <row r="4" spans="1:17" s="1" customFormat="1" ht="39" customHeight="1">
      <c r="A4" s="311"/>
      <c r="B4" s="894" t="s">
        <v>77</v>
      </c>
      <c r="C4" s="909" t="s">
        <v>78</v>
      </c>
      <c r="D4" s="910" t="s">
        <v>107</v>
      </c>
      <c r="E4" s="916" t="s">
        <v>828</v>
      </c>
      <c r="F4" s="911" t="s">
        <v>517</v>
      </c>
      <c r="G4" s="899" t="s">
        <v>556</v>
      </c>
      <c r="H4" s="900" t="s">
        <v>79</v>
      </c>
      <c r="I4" s="912" t="s">
        <v>697</v>
      </c>
      <c r="J4" s="913" t="s">
        <v>862</v>
      </c>
      <c r="K4" s="917" t="s">
        <v>863</v>
      </c>
      <c r="L4" s="908" t="s">
        <v>865</v>
      </c>
      <c r="M4" s="892"/>
      <c r="N4" s="893"/>
      <c r="O4" s="906" t="s">
        <v>866</v>
      </c>
      <c r="Q4" s="81"/>
    </row>
    <row r="5" spans="1:17" s="311" customFormat="1" ht="27" customHeight="1">
      <c r="B5" s="895"/>
      <c r="C5" s="897"/>
      <c r="D5" s="897"/>
      <c r="E5" s="897"/>
      <c r="F5" s="901"/>
      <c r="G5" s="897"/>
      <c r="H5" s="901"/>
      <c r="I5" s="901"/>
      <c r="J5" s="901"/>
      <c r="K5" s="905"/>
      <c r="L5" s="587" t="s">
        <v>601</v>
      </c>
      <c r="M5" s="404" t="s">
        <v>602</v>
      </c>
      <c r="N5" s="720" t="s">
        <v>349</v>
      </c>
      <c r="O5" s="907"/>
    </row>
    <row r="6" spans="1:17" s="2" customFormat="1" ht="12.95" customHeight="1">
      <c r="A6" s="312"/>
      <c r="B6" s="525">
        <v>1</v>
      </c>
      <c r="C6" s="361">
        <v>2</v>
      </c>
      <c r="D6" s="361">
        <v>3</v>
      </c>
      <c r="E6" s="361">
        <v>4</v>
      </c>
      <c r="F6" s="361">
        <v>5</v>
      </c>
      <c r="G6" s="361">
        <v>6</v>
      </c>
      <c r="H6" s="361">
        <v>7</v>
      </c>
      <c r="I6" s="361">
        <v>8</v>
      </c>
      <c r="J6" s="361">
        <v>9</v>
      </c>
      <c r="K6" s="526">
        <v>10</v>
      </c>
      <c r="L6" s="525">
        <v>11</v>
      </c>
      <c r="M6" s="361">
        <v>12</v>
      </c>
      <c r="N6" s="721" t="s">
        <v>830</v>
      </c>
      <c r="O6" s="527">
        <v>14</v>
      </c>
    </row>
    <row r="7" spans="1:17" s="2" customFormat="1" ht="12.95" customHeight="1">
      <c r="A7" s="312"/>
      <c r="B7" s="90" t="s">
        <v>131</v>
      </c>
      <c r="C7" s="91" t="s">
        <v>124</v>
      </c>
      <c r="D7" s="91" t="s">
        <v>118</v>
      </c>
      <c r="E7" s="668" t="s">
        <v>846</v>
      </c>
      <c r="F7" s="5"/>
      <c r="G7" s="313"/>
      <c r="H7" s="5"/>
      <c r="I7" s="574"/>
      <c r="J7" s="313"/>
      <c r="K7" s="574"/>
      <c r="L7" s="4"/>
      <c r="M7" s="313"/>
      <c r="N7" s="722"/>
      <c r="O7" s="375"/>
    </row>
    <row r="8" spans="1:17" s="1" customFormat="1" ht="12.95" customHeight="1">
      <c r="A8" s="311"/>
      <c r="B8" s="12"/>
      <c r="C8" s="8"/>
      <c r="D8" s="8"/>
      <c r="E8" s="8"/>
      <c r="F8" s="335">
        <v>611000</v>
      </c>
      <c r="G8" s="361"/>
      <c r="H8" s="8" t="s">
        <v>146</v>
      </c>
      <c r="I8" s="738">
        <f t="shared" ref="I8:N8" si="0">SUM(I9:I12)</f>
        <v>1050450</v>
      </c>
      <c r="J8" s="236">
        <f t="shared" si="0"/>
        <v>1050450</v>
      </c>
      <c r="K8" s="744">
        <f t="shared" si="0"/>
        <v>248119</v>
      </c>
      <c r="L8" s="578">
        <f t="shared" si="0"/>
        <v>1059390</v>
      </c>
      <c r="M8" s="236">
        <f t="shared" si="0"/>
        <v>0</v>
      </c>
      <c r="N8" s="723">
        <f t="shared" si="0"/>
        <v>1059390</v>
      </c>
      <c r="O8" s="376">
        <f>IF(J8=0,"",N8/J8*100)</f>
        <v>100.85106382978724</v>
      </c>
    </row>
    <row r="9" spans="1:17" ht="12.95" customHeight="1">
      <c r="B9" s="10"/>
      <c r="C9" s="11"/>
      <c r="D9" s="11"/>
      <c r="E9" s="316"/>
      <c r="F9" s="336">
        <v>611100</v>
      </c>
      <c r="G9" s="362"/>
      <c r="H9" s="20" t="s">
        <v>174</v>
      </c>
      <c r="I9" s="784">
        <f>816480+3500+420+730+2000+20420-6200</f>
        <v>837350</v>
      </c>
      <c r="J9" s="238">
        <f>816480+3500+420+730+2000+20420-6200</f>
        <v>837350</v>
      </c>
      <c r="K9" s="742">
        <v>206508</v>
      </c>
      <c r="L9" s="626">
        <f>847250+3500+760</f>
        <v>851510</v>
      </c>
      <c r="M9" s="238">
        <v>0</v>
      </c>
      <c r="N9" s="724">
        <f>SUM(L9:M9)</f>
        <v>851510</v>
      </c>
      <c r="O9" s="377">
        <f>IF(J9=0,"",N9/J9*100)</f>
        <v>101.69104914313012</v>
      </c>
    </row>
    <row r="10" spans="1:17" ht="12.95" customHeight="1">
      <c r="B10" s="10"/>
      <c r="C10" s="11"/>
      <c r="D10" s="11"/>
      <c r="E10" s="316"/>
      <c r="F10" s="336">
        <v>611200</v>
      </c>
      <c r="G10" s="362"/>
      <c r="H10" s="11" t="s">
        <v>175</v>
      </c>
      <c r="I10" s="784">
        <f>202100+930+1500+9000+1000-1430</f>
        <v>213100</v>
      </c>
      <c r="J10" s="238">
        <f>202100+930+1500+9000+1000-1430</f>
        <v>213100</v>
      </c>
      <c r="K10" s="742">
        <v>41611</v>
      </c>
      <c r="L10" s="626">
        <f>193740+1000+8700+1650+2790</f>
        <v>207880</v>
      </c>
      <c r="M10" s="238">
        <v>0</v>
      </c>
      <c r="N10" s="724">
        <f t="shared" ref="N10:N11" si="1">SUM(L10:M10)</f>
        <v>207880</v>
      </c>
      <c r="O10" s="377">
        <f t="shared" ref="O10:O35" si="2">IF(J10=0,"",N10/J10*100)</f>
        <v>97.550445800093854</v>
      </c>
      <c r="Q10" s="55"/>
    </row>
    <row r="11" spans="1:17" ht="12.95" customHeight="1">
      <c r="B11" s="10"/>
      <c r="C11" s="11"/>
      <c r="D11" s="11"/>
      <c r="E11" s="316"/>
      <c r="F11" s="336">
        <v>611200</v>
      </c>
      <c r="G11" s="362"/>
      <c r="H11" s="210" t="s">
        <v>464</v>
      </c>
      <c r="I11" s="739">
        <v>0</v>
      </c>
      <c r="J11" s="235">
        <v>0</v>
      </c>
      <c r="K11" s="741">
        <v>0</v>
      </c>
      <c r="L11" s="579">
        <v>0</v>
      </c>
      <c r="M11" s="235">
        <v>0</v>
      </c>
      <c r="N11" s="724">
        <f t="shared" si="1"/>
        <v>0</v>
      </c>
      <c r="O11" s="377" t="str">
        <f t="shared" si="2"/>
        <v/>
      </c>
      <c r="Q11" s="62"/>
    </row>
    <row r="12" spans="1:17" ht="12.95" customHeight="1">
      <c r="B12" s="10"/>
      <c r="C12" s="11"/>
      <c r="D12" s="11"/>
      <c r="E12" s="316"/>
      <c r="F12" s="336"/>
      <c r="G12" s="362"/>
      <c r="H12" s="20"/>
      <c r="I12" s="784"/>
      <c r="J12" s="238"/>
      <c r="K12" s="742"/>
      <c r="L12" s="626"/>
      <c r="M12" s="238"/>
      <c r="N12" s="724"/>
      <c r="O12" s="377" t="str">
        <f t="shared" si="2"/>
        <v/>
      </c>
    </row>
    <row r="13" spans="1:17" s="1" customFormat="1" ht="12.95" customHeight="1">
      <c r="A13" s="311"/>
      <c r="B13" s="12"/>
      <c r="C13" s="8"/>
      <c r="D13" s="8"/>
      <c r="E13" s="8"/>
      <c r="F13" s="335">
        <v>612000</v>
      </c>
      <c r="G13" s="361"/>
      <c r="H13" s="8" t="s">
        <v>145</v>
      </c>
      <c r="I13" s="738">
        <f t="shared" ref="I13:N13" si="3">I14</f>
        <v>89440</v>
      </c>
      <c r="J13" s="236">
        <f t="shared" si="3"/>
        <v>89440</v>
      </c>
      <c r="K13" s="744">
        <f t="shared" si="3"/>
        <v>21840</v>
      </c>
      <c r="L13" s="578">
        <f t="shared" si="3"/>
        <v>90330</v>
      </c>
      <c r="M13" s="236">
        <f t="shared" si="3"/>
        <v>0</v>
      </c>
      <c r="N13" s="723">
        <f t="shared" si="3"/>
        <v>90330</v>
      </c>
      <c r="O13" s="376">
        <f t="shared" si="2"/>
        <v>100.99508050089445</v>
      </c>
    </row>
    <row r="14" spans="1:17" ht="12.95" customHeight="1">
      <c r="B14" s="10"/>
      <c r="C14" s="11"/>
      <c r="D14" s="11"/>
      <c r="E14" s="316"/>
      <c r="F14" s="336">
        <v>612100</v>
      </c>
      <c r="G14" s="362"/>
      <c r="H14" s="13" t="s">
        <v>82</v>
      </c>
      <c r="I14" s="784">
        <f>86650+150+250+900+2170-680</f>
        <v>89440</v>
      </c>
      <c r="J14" s="238">
        <f>86650+150+250+900+2170-680</f>
        <v>89440</v>
      </c>
      <c r="K14" s="742">
        <v>21840</v>
      </c>
      <c r="L14" s="626">
        <f>89660+400+270</f>
        <v>90330</v>
      </c>
      <c r="M14" s="238">
        <v>0</v>
      </c>
      <c r="N14" s="724">
        <f>SUM(L14:M14)</f>
        <v>90330</v>
      </c>
      <c r="O14" s="377">
        <f t="shared" si="2"/>
        <v>100.99508050089445</v>
      </c>
    </row>
    <row r="15" spans="1:17" ht="12.95" customHeight="1">
      <c r="B15" s="10"/>
      <c r="C15" s="11"/>
      <c r="D15" s="11"/>
      <c r="E15" s="316"/>
      <c r="F15" s="336"/>
      <c r="G15" s="362"/>
      <c r="H15" s="11"/>
      <c r="I15" s="777"/>
      <c r="J15" s="321"/>
      <c r="K15" s="779"/>
      <c r="L15" s="621"/>
      <c r="M15" s="321"/>
      <c r="N15" s="725"/>
      <c r="O15" s="377" t="str">
        <f t="shared" si="2"/>
        <v/>
      </c>
    </row>
    <row r="16" spans="1:17" s="1" customFormat="1" ht="12.95" customHeight="1">
      <c r="A16" s="311"/>
      <c r="B16" s="12"/>
      <c r="C16" s="8"/>
      <c r="D16" s="8"/>
      <c r="E16" s="8"/>
      <c r="F16" s="335">
        <v>613000</v>
      </c>
      <c r="G16" s="361"/>
      <c r="H16" s="8" t="s">
        <v>147</v>
      </c>
      <c r="I16" s="778">
        <f t="shared" ref="I16:N16" si="4">SUM(I17:I26)</f>
        <v>227080</v>
      </c>
      <c r="J16" s="323">
        <f t="shared" si="4"/>
        <v>227080</v>
      </c>
      <c r="K16" s="783">
        <f t="shared" si="4"/>
        <v>61859</v>
      </c>
      <c r="L16" s="581">
        <f t="shared" si="4"/>
        <v>173240</v>
      </c>
      <c r="M16" s="323">
        <f t="shared" si="4"/>
        <v>0</v>
      </c>
      <c r="N16" s="726">
        <f t="shared" si="4"/>
        <v>173240</v>
      </c>
      <c r="O16" s="376">
        <f t="shared" si="2"/>
        <v>76.290294169455692</v>
      </c>
    </row>
    <row r="17" spans="1:16" ht="12.95" customHeight="1">
      <c r="B17" s="10"/>
      <c r="C17" s="11"/>
      <c r="D17" s="11"/>
      <c r="E17" s="316"/>
      <c r="F17" s="336">
        <v>613100</v>
      </c>
      <c r="G17" s="362"/>
      <c r="H17" s="11" t="s">
        <v>83</v>
      </c>
      <c r="I17" s="742">
        <v>5700</v>
      </c>
      <c r="J17" s="397">
        <v>5700</v>
      </c>
      <c r="K17" s="742">
        <v>425</v>
      </c>
      <c r="L17" s="571">
        <v>3000</v>
      </c>
      <c r="M17" s="397">
        <v>0</v>
      </c>
      <c r="N17" s="724">
        <f t="shared" ref="N17:N26" si="5">SUM(L17:M17)</f>
        <v>3000</v>
      </c>
      <c r="O17" s="377">
        <f t="shared" si="2"/>
        <v>52.631578947368418</v>
      </c>
    </row>
    <row r="18" spans="1:16" ht="12.95" customHeight="1">
      <c r="B18" s="10"/>
      <c r="C18" s="11"/>
      <c r="D18" s="11"/>
      <c r="E18" s="316"/>
      <c r="F18" s="336">
        <v>613200</v>
      </c>
      <c r="G18" s="362"/>
      <c r="H18" s="11" t="s">
        <v>84</v>
      </c>
      <c r="I18" s="779">
        <v>130000</v>
      </c>
      <c r="J18" s="395">
        <v>130000</v>
      </c>
      <c r="K18" s="779">
        <v>42325</v>
      </c>
      <c r="L18" s="571">
        <v>100000</v>
      </c>
      <c r="M18" s="395">
        <v>0</v>
      </c>
      <c r="N18" s="724">
        <f t="shared" si="5"/>
        <v>100000</v>
      </c>
      <c r="O18" s="377">
        <f t="shared" si="2"/>
        <v>76.923076923076934</v>
      </c>
    </row>
    <row r="19" spans="1:16" ht="12.95" customHeight="1">
      <c r="B19" s="10"/>
      <c r="C19" s="11"/>
      <c r="D19" s="11"/>
      <c r="E19" s="316"/>
      <c r="F19" s="336">
        <v>613300</v>
      </c>
      <c r="G19" s="362"/>
      <c r="H19" s="20" t="s">
        <v>176</v>
      </c>
      <c r="I19" s="742">
        <v>12000</v>
      </c>
      <c r="J19" s="397">
        <v>12000</v>
      </c>
      <c r="K19" s="742">
        <v>1977</v>
      </c>
      <c r="L19" s="571">
        <v>10000</v>
      </c>
      <c r="M19" s="397">
        <v>0</v>
      </c>
      <c r="N19" s="724">
        <f t="shared" si="5"/>
        <v>10000</v>
      </c>
      <c r="O19" s="377">
        <f t="shared" si="2"/>
        <v>83.333333333333343</v>
      </c>
    </row>
    <row r="20" spans="1:16" ht="12.95" customHeight="1">
      <c r="B20" s="10"/>
      <c r="C20" s="11"/>
      <c r="D20" s="11"/>
      <c r="E20" s="316"/>
      <c r="F20" s="336">
        <v>613400</v>
      </c>
      <c r="G20" s="362"/>
      <c r="H20" s="11" t="s">
        <v>148</v>
      </c>
      <c r="I20" s="742">
        <v>29000</v>
      </c>
      <c r="J20" s="397">
        <v>29000</v>
      </c>
      <c r="K20" s="742">
        <v>5168</v>
      </c>
      <c r="L20" s="571">
        <v>20000</v>
      </c>
      <c r="M20" s="397">
        <v>0</v>
      </c>
      <c r="N20" s="724">
        <f t="shared" si="5"/>
        <v>20000</v>
      </c>
      <c r="O20" s="377">
        <f t="shared" si="2"/>
        <v>68.965517241379317</v>
      </c>
    </row>
    <row r="21" spans="1:16" ht="12.95" customHeight="1">
      <c r="B21" s="10"/>
      <c r="C21" s="11"/>
      <c r="D21" s="11"/>
      <c r="E21" s="316"/>
      <c r="F21" s="336">
        <v>613500</v>
      </c>
      <c r="G21" s="362"/>
      <c r="H21" s="11" t="s">
        <v>85</v>
      </c>
      <c r="I21" s="742">
        <v>500</v>
      </c>
      <c r="J21" s="397">
        <v>500</v>
      </c>
      <c r="K21" s="742">
        <v>40</v>
      </c>
      <c r="L21" s="571">
        <v>500</v>
      </c>
      <c r="M21" s="397">
        <v>0</v>
      </c>
      <c r="N21" s="724">
        <f t="shared" si="5"/>
        <v>500</v>
      </c>
      <c r="O21" s="377">
        <f t="shared" si="2"/>
        <v>100</v>
      </c>
    </row>
    <row r="22" spans="1:16" ht="12.95" customHeight="1">
      <c r="B22" s="10"/>
      <c r="C22" s="11"/>
      <c r="D22" s="11"/>
      <c r="E22" s="316"/>
      <c r="F22" s="336">
        <v>613600</v>
      </c>
      <c r="G22" s="362"/>
      <c r="H22" s="20" t="s">
        <v>177</v>
      </c>
      <c r="I22" s="742">
        <v>0</v>
      </c>
      <c r="J22" s="397">
        <v>0</v>
      </c>
      <c r="K22" s="742">
        <v>0</v>
      </c>
      <c r="L22" s="571">
        <v>0</v>
      </c>
      <c r="M22" s="397">
        <v>0</v>
      </c>
      <c r="N22" s="724">
        <f t="shared" si="5"/>
        <v>0</v>
      </c>
      <c r="O22" s="377" t="str">
        <f t="shared" si="2"/>
        <v/>
      </c>
    </row>
    <row r="23" spans="1:16" ht="12.95" customHeight="1">
      <c r="B23" s="10"/>
      <c r="C23" s="11"/>
      <c r="D23" s="11"/>
      <c r="E23" s="316"/>
      <c r="F23" s="336">
        <v>613700</v>
      </c>
      <c r="G23" s="362"/>
      <c r="H23" s="11" t="s">
        <v>86</v>
      </c>
      <c r="I23" s="742">
        <v>34880</v>
      </c>
      <c r="J23" s="397">
        <v>34880</v>
      </c>
      <c r="K23" s="742">
        <v>6732</v>
      </c>
      <c r="L23" s="571">
        <v>27500</v>
      </c>
      <c r="M23" s="397">
        <v>0</v>
      </c>
      <c r="N23" s="724">
        <f t="shared" si="5"/>
        <v>27500</v>
      </c>
      <c r="O23" s="377">
        <f t="shared" si="2"/>
        <v>78.841743119266056</v>
      </c>
    </row>
    <row r="24" spans="1:16" ht="12.95" customHeight="1">
      <c r="B24" s="10"/>
      <c r="C24" s="11"/>
      <c r="D24" s="11"/>
      <c r="E24" s="316"/>
      <c r="F24" s="336">
        <v>613800</v>
      </c>
      <c r="G24" s="362"/>
      <c r="H24" s="11" t="s">
        <v>149</v>
      </c>
      <c r="I24" s="742">
        <v>0</v>
      </c>
      <c r="J24" s="397">
        <v>0</v>
      </c>
      <c r="K24" s="742">
        <v>0</v>
      </c>
      <c r="L24" s="571">
        <v>0</v>
      </c>
      <c r="M24" s="397">
        <v>0</v>
      </c>
      <c r="N24" s="724">
        <f t="shared" si="5"/>
        <v>0</v>
      </c>
      <c r="O24" s="377" t="str">
        <f t="shared" si="2"/>
        <v/>
      </c>
    </row>
    <row r="25" spans="1:16" ht="12.95" customHeight="1">
      <c r="B25" s="10"/>
      <c r="C25" s="11"/>
      <c r="D25" s="11"/>
      <c r="E25" s="316"/>
      <c r="F25" s="336">
        <v>613900</v>
      </c>
      <c r="G25" s="362"/>
      <c r="H25" s="11" t="s">
        <v>150</v>
      </c>
      <c r="I25" s="742">
        <v>15000</v>
      </c>
      <c r="J25" s="397">
        <v>15000</v>
      </c>
      <c r="K25" s="742">
        <v>5192</v>
      </c>
      <c r="L25" s="571">
        <f>12500-260</f>
        <v>12240</v>
      </c>
      <c r="M25" s="397">
        <v>0</v>
      </c>
      <c r="N25" s="724">
        <f t="shared" si="5"/>
        <v>12240</v>
      </c>
      <c r="O25" s="377">
        <f t="shared" si="2"/>
        <v>81.599999999999994</v>
      </c>
    </row>
    <row r="26" spans="1:16" ht="12.95" customHeight="1">
      <c r="B26" s="10"/>
      <c r="C26" s="11"/>
      <c r="D26" s="11"/>
      <c r="E26" s="316"/>
      <c r="F26" s="336">
        <v>613900</v>
      </c>
      <c r="G26" s="362"/>
      <c r="H26" s="210" t="s">
        <v>465</v>
      </c>
      <c r="I26" s="557">
        <v>0</v>
      </c>
      <c r="J26" s="392">
        <v>0</v>
      </c>
      <c r="K26" s="557">
        <v>0</v>
      </c>
      <c r="L26" s="572">
        <v>0</v>
      </c>
      <c r="M26" s="392">
        <v>0</v>
      </c>
      <c r="N26" s="724">
        <f t="shared" si="5"/>
        <v>0</v>
      </c>
      <c r="O26" s="377" t="str">
        <f t="shared" si="2"/>
        <v/>
      </c>
    </row>
    <row r="27" spans="1:16" s="1" customFormat="1" ht="12.95" customHeight="1">
      <c r="A27" s="311"/>
      <c r="B27" s="12"/>
      <c r="C27" s="8"/>
      <c r="D27" s="8"/>
      <c r="E27" s="8"/>
      <c r="F27" s="335"/>
      <c r="G27" s="361"/>
      <c r="H27" s="8"/>
      <c r="I27" s="631"/>
      <c r="J27" s="326"/>
      <c r="K27" s="742"/>
      <c r="L27" s="622"/>
      <c r="M27" s="326"/>
      <c r="N27" s="725"/>
      <c r="O27" s="377" t="str">
        <f t="shared" si="2"/>
        <v/>
      </c>
    </row>
    <row r="28" spans="1:16" s="1" customFormat="1" ht="12.95" customHeight="1">
      <c r="A28" s="311"/>
      <c r="B28" s="12"/>
      <c r="C28" s="8"/>
      <c r="D28" s="8"/>
      <c r="E28" s="8"/>
      <c r="F28" s="335">
        <v>821000</v>
      </c>
      <c r="G28" s="361"/>
      <c r="H28" s="8" t="s">
        <v>89</v>
      </c>
      <c r="I28" s="632">
        <f t="shared" ref="I28:N28" si="6">SUM(I29:I30)</f>
        <v>9000</v>
      </c>
      <c r="J28" s="325">
        <f t="shared" si="6"/>
        <v>9000</v>
      </c>
      <c r="K28" s="744">
        <f t="shared" si="6"/>
        <v>0</v>
      </c>
      <c r="L28" s="588">
        <f t="shared" si="6"/>
        <v>9000</v>
      </c>
      <c r="M28" s="325">
        <f t="shared" si="6"/>
        <v>0</v>
      </c>
      <c r="N28" s="726">
        <f t="shared" si="6"/>
        <v>9000</v>
      </c>
      <c r="O28" s="376">
        <f t="shared" si="2"/>
        <v>100</v>
      </c>
    </row>
    <row r="29" spans="1:16" ht="12.95" customHeight="1">
      <c r="B29" s="10"/>
      <c r="C29" s="11"/>
      <c r="D29" s="11"/>
      <c r="E29" s="316"/>
      <c r="F29" s="339">
        <v>821200</v>
      </c>
      <c r="G29" s="365"/>
      <c r="H29" s="14" t="s">
        <v>90</v>
      </c>
      <c r="I29" s="631">
        <v>0</v>
      </c>
      <c r="J29" s="326">
        <v>0</v>
      </c>
      <c r="K29" s="742">
        <v>0</v>
      </c>
      <c r="L29" s="622">
        <v>0</v>
      </c>
      <c r="M29" s="326">
        <v>0</v>
      </c>
      <c r="N29" s="724">
        <f t="shared" ref="N29:N30" si="7">SUM(L29:M29)</f>
        <v>0</v>
      </c>
      <c r="O29" s="377" t="str">
        <f t="shared" si="2"/>
        <v/>
      </c>
      <c r="P29" s="55"/>
    </row>
    <row r="30" spans="1:16" ht="12.95" customHeight="1">
      <c r="B30" s="10"/>
      <c r="C30" s="11"/>
      <c r="D30" s="11"/>
      <c r="E30" s="316"/>
      <c r="F30" s="336">
        <v>821300</v>
      </c>
      <c r="G30" s="362"/>
      <c r="H30" s="11" t="s">
        <v>91</v>
      </c>
      <c r="I30" s="631">
        <v>9000</v>
      </c>
      <c r="J30" s="326">
        <v>9000</v>
      </c>
      <c r="K30" s="742">
        <v>0</v>
      </c>
      <c r="L30" s="622">
        <v>9000</v>
      </c>
      <c r="M30" s="326">
        <v>0</v>
      </c>
      <c r="N30" s="724">
        <f t="shared" si="7"/>
        <v>9000</v>
      </c>
      <c r="O30" s="377">
        <f t="shared" si="2"/>
        <v>100</v>
      </c>
    </row>
    <row r="31" spans="1:16" ht="12.95" customHeight="1">
      <c r="B31" s="10"/>
      <c r="C31" s="11"/>
      <c r="D31" s="11"/>
      <c r="E31" s="316"/>
      <c r="F31" s="336"/>
      <c r="G31" s="362"/>
      <c r="H31" s="11"/>
      <c r="I31" s="631"/>
      <c r="J31" s="326"/>
      <c r="K31" s="742"/>
      <c r="L31" s="622"/>
      <c r="M31" s="326"/>
      <c r="N31" s="725"/>
      <c r="O31" s="377" t="str">
        <f t="shared" si="2"/>
        <v/>
      </c>
    </row>
    <row r="32" spans="1:16" s="1" customFormat="1" ht="12.95" customHeight="1">
      <c r="A32" s="311"/>
      <c r="B32" s="12"/>
      <c r="C32" s="8"/>
      <c r="D32" s="8"/>
      <c r="E32" s="8"/>
      <c r="F32" s="335"/>
      <c r="G32" s="361"/>
      <c r="H32" s="8" t="s">
        <v>92</v>
      </c>
      <c r="I32" s="743" t="s">
        <v>721</v>
      </c>
      <c r="J32" s="327" t="s">
        <v>721</v>
      </c>
      <c r="K32" s="746" t="s">
        <v>690</v>
      </c>
      <c r="L32" s="584" t="s">
        <v>690</v>
      </c>
      <c r="M32" s="308"/>
      <c r="N32" s="727" t="s">
        <v>690</v>
      </c>
      <c r="O32" s="377"/>
    </row>
    <row r="33" spans="1:15" s="1" customFormat="1" ht="12.95" customHeight="1">
      <c r="A33" s="311"/>
      <c r="B33" s="12"/>
      <c r="C33" s="8"/>
      <c r="D33" s="8"/>
      <c r="E33" s="8"/>
      <c r="F33" s="335"/>
      <c r="G33" s="361"/>
      <c r="H33" s="8" t="s">
        <v>110</v>
      </c>
      <c r="I33" s="575">
        <f>I8+I13+I16+I28</f>
        <v>1375970</v>
      </c>
      <c r="J33" s="318">
        <f>J8+J13+J16+J28</f>
        <v>1375970</v>
      </c>
      <c r="K33" s="575">
        <f t="shared" ref="K33" si="8">K8+K13+K16+K28</f>
        <v>331818</v>
      </c>
      <c r="L33" s="582">
        <f>L8+L13+L16+L28</f>
        <v>1331960</v>
      </c>
      <c r="M33" s="318">
        <f>M8+M13+M16+M28</f>
        <v>0</v>
      </c>
      <c r="N33" s="726">
        <f>N8+N13+N16+N28</f>
        <v>1331960</v>
      </c>
      <c r="O33" s="376">
        <f t="shared" si="2"/>
        <v>96.801529103105437</v>
      </c>
    </row>
    <row r="34" spans="1:15" s="1" customFormat="1" ht="12.95" customHeight="1">
      <c r="A34" s="311"/>
      <c r="B34" s="12"/>
      <c r="C34" s="8"/>
      <c r="D34" s="8"/>
      <c r="E34" s="8"/>
      <c r="F34" s="335"/>
      <c r="G34" s="361"/>
      <c r="H34" s="8" t="s">
        <v>93</v>
      </c>
      <c r="I34" s="15"/>
      <c r="J34" s="15"/>
      <c r="K34" s="575"/>
      <c r="L34" s="582"/>
      <c r="M34" s="318"/>
      <c r="N34" s="726"/>
      <c r="O34" s="377" t="str">
        <f>IF(J34=0,"",N34/J34*100)</f>
        <v/>
      </c>
    </row>
    <row r="35" spans="1:15" s="1" customFormat="1" ht="12.95" customHeight="1">
      <c r="A35" s="311"/>
      <c r="B35" s="12"/>
      <c r="C35" s="8"/>
      <c r="D35" s="8"/>
      <c r="E35" s="8"/>
      <c r="F35" s="335"/>
      <c r="G35" s="361"/>
      <c r="H35" s="8" t="s">
        <v>94</v>
      </c>
      <c r="I35" s="30"/>
      <c r="J35" s="30"/>
      <c r="K35" s="586"/>
      <c r="L35" s="580"/>
      <c r="M35" s="309"/>
      <c r="N35" s="725"/>
      <c r="O35" s="377" t="str">
        <f t="shared" si="2"/>
        <v/>
      </c>
    </row>
    <row r="36" spans="1:15" ht="12.95" customHeight="1" thickBot="1">
      <c r="B36" s="16"/>
      <c r="C36" s="17"/>
      <c r="D36" s="17"/>
      <c r="E36" s="17"/>
      <c r="F36" s="337"/>
      <c r="G36" s="363"/>
      <c r="H36" s="17"/>
      <c r="I36" s="32"/>
      <c r="J36" s="32"/>
      <c r="K36" s="576"/>
      <c r="L36" s="585"/>
      <c r="M36" s="32"/>
      <c r="N36" s="728"/>
      <c r="O36" s="379"/>
    </row>
    <row r="37" spans="1:15" ht="12.95" customHeight="1">
      <c r="F37" s="338"/>
      <c r="G37" s="364"/>
      <c r="N37" s="423"/>
    </row>
    <row r="38" spans="1:15" ht="12.95" customHeight="1">
      <c r="B38" s="55"/>
      <c r="F38" s="338"/>
      <c r="G38" s="364"/>
      <c r="N38" s="423"/>
    </row>
    <row r="39" spans="1:15" ht="12.95" customHeight="1">
      <c r="B39" s="55"/>
      <c r="F39" s="338"/>
      <c r="G39" s="364"/>
      <c r="N39" s="423"/>
    </row>
    <row r="40" spans="1:15" ht="12.95" customHeight="1">
      <c r="B40" s="55"/>
      <c r="F40" s="338"/>
      <c r="G40" s="364"/>
      <c r="N40" s="423"/>
    </row>
    <row r="41" spans="1:15" ht="12.95" customHeight="1">
      <c r="B41" s="55"/>
      <c r="F41" s="338"/>
      <c r="G41" s="364"/>
      <c r="N41" s="423"/>
    </row>
    <row r="42" spans="1:15" ht="12.95" customHeight="1">
      <c r="B42" s="55"/>
      <c r="F42" s="338"/>
      <c r="G42" s="364"/>
      <c r="N42" s="423"/>
    </row>
    <row r="43" spans="1:15" ht="12.95" customHeight="1">
      <c r="F43" s="338"/>
      <c r="G43" s="364"/>
      <c r="N43" s="423"/>
    </row>
    <row r="44" spans="1:15" ht="12.95" customHeight="1">
      <c r="F44" s="338"/>
      <c r="G44" s="364"/>
      <c r="N44" s="423"/>
    </row>
    <row r="45" spans="1:15" ht="12.95" customHeight="1">
      <c r="F45" s="338"/>
      <c r="G45" s="364"/>
      <c r="N45" s="423"/>
    </row>
    <row r="46" spans="1:15" ht="12.95" customHeight="1">
      <c r="F46" s="338"/>
      <c r="G46" s="364"/>
      <c r="N46" s="423"/>
    </row>
    <row r="47" spans="1:15" ht="12.95" customHeight="1">
      <c r="F47" s="338"/>
      <c r="G47" s="364"/>
      <c r="N47" s="423"/>
    </row>
    <row r="48" spans="1:15" ht="12.95" customHeight="1">
      <c r="F48" s="338"/>
      <c r="G48" s="364"/>
      <c r="N48" s="423"/>
    </row>
    <row r="49" spans="6:14" ht="12.95" customHeight="1">
      <c r="F49" s="338"/>
      <c r="G49" s="364"/>
      <c r="N49" s="423"/>
    </row>
    <row r="50" spans="6:14" ht="12.95" customHeight="1">
      <c r="F50" s="338"/>
      <c r="G50" s="364"/>
      <c r="N50" s="423"/>
    </row>
    <row r="51" spans="6:14" ht="12.95" customHeight="1">
      <c r="F51" s="338"/>
      <c r="G51" s="364"/>
      <c r="N51" s="423"/>
    </row>
    <row r="52" spans="6:14" ht="12.95" customHeight="1">
      <c r="F52" s="338"/>
      <c r="G52" s="364"/>
      <c r="N52" s="423"/>
    </row>
    <row r="53" spans="6:14" ht="12.95" customHeight="1">
      <c r="F53" s="338"/>
      <c r="G53" s="364"/>
      <c r="N53" s="423"/>
    </row>
    <row r="54" spans="6:14" ht="12.95" customHeight="1">
      <c r="F54" s="338"/>
      <c r="G54" s="364"/>
      <c r="N54" s="423"/>
    </row>
    <row r="55" spans="6:14" ht="12.95" customHeight="1">
      <c r="F55" s="338"/>
      <c r="G55" s="364"/>
      <c r="N55" s="423"/>
    </row>
    <row r="56" spans="6:14" ht="12.95" customHeight="1">
      <c r="F56" s="338"/>
      <c r="G56" s="364"/>
      <c r="N56" s="423"/>
    </row>
    <row r="57" spans="6:14" ht="12.95" customHeight="1">
      <c r="F57" s="338"/>
      <c r="G57" s="364"/>
      <c r="N57" s="423"/>
    </row>
    <row r="58" spans="6:14" ht="12.95" customHeight="1">
      <c r="F58" s="338"/>
      <c r="G58" s="364"/>
      <c r="N58" s="423"/>
    </row>
    <row r="59" spans="6:14" ht="12.95" customHeight="1">
      <c r="F59" s="338"/>
      <c r="G59" s="364"/>
      <c r="N59" s="423"/>
    </row>
    <row r="60" spans="6:14" ht="17.100000000000001" customHeight="1">
      <c r="F60" s="338"/>
      <c r="G60" s="364"/>
      <c r="N60" s="423"/>
    </row>
    <row r="61" spans="6:14" ht="14.25">
      <c r="F61" s="338"/>
      <c r="G61" s="364"/>
      <c r="N61" s="423"/>
    </row>
    <row r="62" spans="6:14" ht="14.25">
      <c r="F62" s="338"/>
      <c r="G62" s="364"/>
      <c r="N62" s="423"/>
    </row>
    <row r="63" spans="6:14" ht="14.25">
      <c r="F63" s="338"/>
      <c r="G63" s="364"/>
      <c r="N63" s="423"/>
    </row>
    <row r="64" spans="6:14" ht="14.25">
      <c r="F64" s="338"/>
      <c r="G64" s="364"/>
      <c r="N64" s="423"/>
    </row>
    <row r="65" spans="6:14" ht="14.25">
      <c r="F65" s="338"/>
      <c r="G65" s="364"/>
      <c r="N65" s="423"/>
    </row>
    <row r="66" spans="6:14" ht="14.25">
      <c r="F66" s="338"/>
      <c r="G66" s="364"/>
      <c r="N66" s="423"/>
    </row>
    <row r="67" spans="6:14" ht="14.25">
      <c r="F67" s="338"/>
      <c r="G67" s="364"/>
      <c r="N67" s="423"/>
    </row>
    <row r="68" spans="6:14" ht="14.25">
      <c r="F68" s="338"/>
      <c r="G68" s="364"/>
      <c r="N68" s="423"/>
    </row>
    <row r="69" spans="6:14" ht="14.25">
      <c r="F69" s="338"/>
      <c r="G69" s="364"/>
      <c r="N69" s="423"/>
    </row>
    <row r="70" spans="6:14" ht="14.25">
      <c r="F70" s="338"/>
      <c r="G70" s="364"/>
      <c r="N70" s="423"/>
    </row>
    <row r="71" spans="6:14" ht="14.25">
      <c r="F71" s="338"/>
      <c r="G71" s="364"/>
      <c r="N71" s="423"/>
    </row>
    <row r="72" spans="6:14" ht="14.25">
      <c r="F72" s="338"/>
      <c r="G72" s="364"/>
      <c r="N72" s="423"/>
    </row>
    <row r="73" spans="6:14" ht="14.25">
      <c r="F73" s="338"/>
      <c r="G73" s="364"/>
      <c r="N73" s="423"/>
    </row>
    <row r="74" spans="6:14" ht="14.25">
      <c r="F74" s="338"/>
      <c r="G74" s="338"/>
      <c r="N74" s="423"/>
    </row>
    <row r="75" spans="6:14" ht="14.25">
      <c r="F75" s="338"/>
      <c r="G75" s="338"/>
      <c r="N75" s="423"/>
    </row>
    <row r="76" spans="6:14" ht="14.25">
      <c r="F76" s="338"/>
      <c r="G76" s="338"/>
      <c r="N76" s="423"/>
    </row>
    <row r="77" spans="6:14" ht="14.25">
      <c r="F77" s="338"/>
      <c r="G77" s="338"/>
      <c r="N77" s="423"/>
    </row>
    <row r="78" spans="6:14" ht="14.25">
      <c r="F78" s="338"/>
      <c r="G78" s="338"/>
      <c r="N78" s="423"/>
    </row>
    <row r="79" spans="6:14" ht="14.25">
      <c r="F79" s="338"/>
      <c r="G79" s="338"/>
      <c r="N79" s="423"/>
    </row>
    <row r="80" spans="6:14" ht="14.25">
      <c r="F80" s="338"/>
      <c r="G80" s="338"/>
      <c r="N80" s="423"/>
    </row>
    <row r="81" spans="6:14" ht="14.25">
      <c r="F81" s="338"/>
      <c r="G81" s="338"/>
      <c r="N81" s="423"/>
    </row>
    <row r="82" spans="6:14" ht="14.25">
      <c r="F82" s="338"/>
      <c r="G82" s="338"/>
      <c r="N82" s="423"/>
    </row>
    <row r="83" spans="6:14" ht="14.25">
      <c r="F83" s="338"/>
      <c r="G83" s="338"/>
      <c r="N83" s="423"/>
    </row>
    <row r="84" spans="6:14" ht="14.25">
      <c r="F84" s="338"/>
      <c r="G84" s="338"/>
      <c r="N84" s="423"/>
    </row>
    <row r="85" spans="6:14" ht="14.25">
      <c r="F85" s="338"/>
      <c r="G85" s="338"/>
      <c r="N85" s="423"/>
    </row>
    <row r="86" spans="6:14" ht="14.25">
      <c r="F86" s="338"/>
      <c r="G86" s="338"/>
      <c r="N86" s="423"/>
    </row>
    <row r="87" spans="6:14" ht="14.25">
      <c r="F87" s="338"/>
      <c r="G87" s="338"/>
      <c r="N87" s="423"/>
    </row>
    <row r="88" spans="6:14" ht="14.25">
      <c r="F88" s="338"/>
      <c r="G88" s="338"/>
      <c r="N88" s="423"/>
    </row>
    <row r="89" spans="6:14" ht="14.25">
      <c r="F89" s="338"/>
      <c r="G89" s="338"/>
      <c r="N89" s="423"/>
    </row>
    <row r="90" spans="6:14" ht="14.25">
      <c r="F90" s="338"/>
      <c r="G90" s="338"/>
      <c r="N90" s="423"/>
    </row>
    <row r="91" spans="6:14">
      <c r="G91" s="338"/>
    </row>
    <row r="92" spans="6:14">
      <c r="G92" s="338"/>
    </row>
    <row r="93" spans="6:14">
      <c r="G93" s="338"/>
    </row>
    <row r="94" spans="6:14">
      <c r="G94" s="338"/>
    </row>
    <row r="95" spans="6:14">
      <c r="G95" s="338"/>
    </row>
    <row r="96" spans="6:14">
      <c r="G96" s="338"/>
    </row>
  </sheetData>
  <mergeCells count="14">
    <mergeCell ref="B2:O2"/>
    <mergeCell ref="O4:O5"/>
    <mergeCell ref="H4:H5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K4:K5"/>
    <mergeCell ref="E4:E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33"/>
  <dimension ref="A1:Q95"/>
  <sheetViews>
    <sheetView zoomScaleNormal="100" zoomScaleSheetLayoutView="100" workbookViewId="0">
      <selection activeCell="L16" sqref="L16"/>
    </sheetView>
  </sheetViews>
  <sheetFormatPr defaultRowHeight="12.75"/>
  <cols>
    <col min="1" max="1" width="9.140625" style="314"/>
    <col min="2" max="2" width="4.7109375" style="9" customWidth="1"/>
    <col min="3" max="3" width="5.140625" style="9" customWidth="1"/>
    <col min="4" max="4" width="5" style="9" customWidth="1"/>
    <col min="5" max="5" width="5" style="314" customWidth="1"/>
    <col min="6" max="6" width="8.7109375" style="18" customWidth="1"/>
    <col min="7" max="7" width="8.7109375" style="319" customWidth="1"/>
    <col min="8" max="8" width="50.7109375" style="9" customWidth="1"/>
    <col min="9" max="11" width="14.7109375" style="9" customWidth="1"/>
    <col min="12" max="13" width="14.7109375" style="314" customWidth="1"/>
    <col min="14" max="14" width="15.7109375" style="9" customWidth="1"/>
    <col min="15" max="15" width="7.7109375" style="380" customWidth="1"/>
    <col min="16" max="16" width="9.140625" style="9"/>
    <col min="17" max="17" width="9.5703125" style="9" bestFit="1" customWidth="1"/>
    <col min="18" max="16384" width="9.140625" style="9"/>
  </cols>
  <sheetData>
    <row r="1" spans="1:17" ht="13.5" thickBot="1"/>
    <row r="2" spans="1:17" s="113" customFormat="1" ht="20.100000000000001" customHeight="1" thickTop="1" thickBot="1">
      <c r="A2" s="408"/>
      <c r="B2" s="887" t="s">
        <v>800</v>
      </c>
      <c r="C2" s="888"/>
      <c r="D2" s="888"/>
      <c r="E2" s="888"/>
      <c r="F2" s="888"/>
      <c r="G2" s="888"/>
      <c r="H2" s="888"/>
      <c r="I2" s="888"/>
      <c r="J2" s="921"/>
      <c r="K2" s="921"/>
      <c r="L2" s="921"/>
      <c r="M2" s="921"/>
      <c r="N2" s="921"/>
      <c r="O2" s="922"/>
      <c r="Q2" s="408"/>
    </row>
    <row r="3" spans="1:17" s="1" customFormat="1" ht="8.1" customHeight="1" thickTop="1" thickBot="1">
      <c r="A3" s="311"/>
      <c r="E3" s="311"/>
      <c r="F3" s="2"/>
      <c r="G3" s="312"/>
      <c r="H3" s="890"/>
      <c r="I3" s="890"/>
      <c r="J3" s="282"/>
      <c r="K3" s="282"/>
      <c r="L3" s="107"/>
      <c r="M3" s="107"/>
      <c r="N3" s="107"/>
      <c r="O3" s="374"/>
    </row>
    <row r="4" spans="1:17" s="1" customFormat="1" ht="39" customHeight="1">
      <c r="A4" s="311"/>
      <c r="B4" s="894" t="s">
        <v>77</v>
      </c>
      <c r="C4" s="909" t="s">
        <v>78</v>
      </c>
      <c r="D4" s="910" t="s">
        <v>107</v>
      </c>
      <c r="E4" s="916" t="s">
        <v>828</v>
      </c>
      <c r="F4" s="911" t="s">
        <v>517</v>
      </c>
      <c r="G4" s="899" t="s">
        <v>556</v>
      </c>
      <c r="H4" s="900" t="s">
        <v>79</v>
      </c>
      <c r="I4" s="912" t="s">
        <v>697</v>
      </c>
      <c r="J4" s="913" t="s">
        <v>862</v>
      </c>
      <c r="K4" s="917" t="s">
        <v>863</v>
      </c>
      <c r="L4" s="908" t="s">
        <v>865</v>
      </c>
      <c r="M4" s="892"/>
      <c r="N4" s="893"/>
      <c r="O4" s="906" t="s">
        <v>866</v>
      </c>
      <c r="Q4" s="81"/>
    </row>
    <row r="5" spans="1:17" s="311" customFormat="1" ht="27" customHeight="1">
      <c r="B5" s="895"/>
      <c r="C5" s="897"/>
      <c r="D5" s="897"/>
      <c r="E5" s="897"/>
      <c r="F5" s="901"/>
      <c r="G5" s="897"/>
      <c r="H5" s="901"/>
      <c r="I5" s="901"/>
      <c r="J5" s="901"/>
      <c r="K5" s="905"/>
      <c r="L5" s="587" t="s">
        <v>601</v>
      </c>
      <c r="M5" s="404" t="s">
        <v>602</v>
      </c>
      <c r="N5" s="720" t="s">
        <v>349</v>
      </c>
      <c r="O5" s="907"/>
    </row>
    <row r="6" spans="1:17" s="2" customFormat="1" ht="12.95" customHeight="1">
      <c r="A6" s="312"/>
      <c r="B6" s="525">
        <v>1</v>
      </c>
      <c r="C6" s="361">
        <v>2</v>
      </c>
      <c r="D6" s="361">
        <v>3</v>
      </c>
      <c r="E6" s="361">
        <v>4</v>
      </c>
      <c r="F6" s="361">
        <v>5</v>
      </c>
      <c r="G6" s="361">
        <v>6</v>
      </c>
      <c r="H6" s="361">
        <v>7</v>
      </c>
      <c r="I6" s="361">
        <v>8</v>
      </c>
      <c r="J6" s="361">
        <v>9</v>
      </c>
      <c r="K6" s="526">
        <v>10</v>
      </c>
      <c r="L6" s="525">
        <v>11</v>
      </c>
      <c r="M6" s="361">
        <v>12</v>
      </c>
      <c r="N6" s="721" t="s">
        <v>830</v>
      </c>
      <c r="O6" s="527">
        <v>14</v>
      </c>
    </row>
    <row r="7" spans="1:17" s="2" customFormat="1" ht="12.95" customHeight="1">
      <c r="A7" s="312"/>
      <c r="B7" s="90" t="s">
        <v>131</v>
      </c>
      <c r="C7" s="91" t="s">
        <v>124</v>
      </c>
      <c r="D7" s="91" t="s">
        <v>119</v>
      </c>
      <c r="E7" s="668" t="s">
        <v>846</v>
      </c>
      <c r="F7" s="5"/>
      <c r="G7" s="313"/>
      <c r="H7" s="5"/>
      <c r="I7" s="574"/>
      <c r="J7" s="313"/>
      <c r="K7" s="574"/>
      <c r="L7" s="4"/>
      <c r="M7" s="313"/>
      <c r="N7" s="722"/>
      <c r="O7" s="375"/>
    </row>
    <row r="8" spans="1:17" s="1" customFormat="1" ht="12.95" customHeight="1">
      <c r="A8" s="311"/>
      <c r="B8" s="12"/>
      <c r="C8" s="8"/>
      <c r="D8" s="8"/>
      <c r="E8" s="8"/>
      <c r="F8" s="335">
        <v>611000</v>
      </c>
      <c r="G8" s="361"/>
      <c r="H8" s="8" t="s">
        <v>146</v>
      </c>
      <c r="I8" s="738">
        <f t="shared" ref="I8:N8" si="0">SUM(I9:I12)</f>
        <v>855010</v>
      </c>
      <c r="J8" s="236">
        <f t="shared" si="0"/>
        <v>855010</v>
      </c>
      <c r="K8" s="744">
        <f t="shared" si="0"/>
        <v>204940</v>
      </c>
      <c r="L8" s="578">
        <f t="shared" si="0"/>
        <v>849840</v>
      </c>
      <c r="M8" s="236">
        <f t="shared" si="0"/>
        <v>0</v>
      </c>
      <c r="N8" s="723">
        <f t="shared" si="0"/>
        <v>849840</v>
      </c>
      <c r="O8" s="376">
        <f>IF(J8=0,"",N8/J8*100)</f>
        <v>99.395328709605735</v>
      </c>
    </row>
    <row r="9" spans="1:17" ht="12.95" customHeight="1">
      <c r="B9" s="10"/>
      <c r="C9" s="11"/>
      <c r="D9" s="11"/>
      <c r="E9" s="316"/>
      <c r="F9" s="336">
        <v>611100</v>
      </c>
      <c r="G9" s="362"/>
      <c r="H9" s="20" t="s">
        <v>174</v>
      </c>
      <c r="I9" s="784">
        <f>683240+4*420+730+2500+17090-6200</f>
        <v>699040</v>
      </c>
      <c r="J9" s="238">
        <f>683240+4*420+730+2500+17090-6200</f>
        <v>699040</v>
      </c>
      <c r="K9" s="742">
        <v>174040</v>
      </c>
      <c r="L9" s="626">
        <f>691190+1000+760+3*420</f>
        <v>694210</v>
      </c>
      <c r="M9" s="238">
        <v>0</v>
      </c>
      <c r="N9" s="724">
        <f>SUM(L9:M9)</f>
        <v>694210</v>
      </c>
      <c r="O9" s="377">
        <f>IF(J9=0,"",N9/J9*100)</f>
        <v>99.309052414740222</v>
      </c>
      <c r="P9" s="55"/>
    </row>
    <row r="10" spans="1:17" ht="12.95" customHeight="1">
      <c r="B10" s="10"/>
      <c r="C10" s="11"/>
      <c r="D10" s="11"/>
      <c r="E10" s="316"/>
      <c r="F10" s="336">
        <v>611200</v>
      </c>
      <c r="G10" s="362"/>
      <c r="H10" s="11" t="s">
        <v>175</v>
      </c>
      <c r="I10" s="784">
        <f>147240+4*930+1500+4940-1430</f>
        <v>155970</v>
      </c>
      <c r="J10" s="238">
        <f>147240+4*930+1500+4940-1430</f>
        <v>155970</v>
      </c>
      <c r="K10" s="742">
        <v>30900</v>
      </c>
      <c r="L10" s="626">
        <f>145190+1000+4940+1650+3*950</f>
        <v>155630</v>
      </c>
      <c r="M10" s="238">
        <v>0</v>
      </c>
      <c r="N10" s="724">
        <f t="shared" ref="N10:N11" si="1">SUM(L10:M10)</f>
        <v>155630</v>
      </c>
      <c r="O10" s="377">
        <f t="shared" ref="O10:O34" si="2">IF(J10=0,"",N10/J10*100)</f>
        <v>99.782009360774509</v>
      </c>
    </row>
    <row r="11" spans="1:17" ht="12.95" customHeight="1">
      <c r="B11" s="10"/>
      <c r="C11" s="11"/>
      <c r="D11" s="11"/>
      <c r="E11" s="316"/>
      <c r="F11" s="336">
        <v>611200</v>
      </c>
      <c r="G11" s="362"/>
      <c r="H11" s="210" t="s">
        <v>464</v>
      </c>
      <c r="I11" s="739">
        <v>0</v>
      </c>
      <c r="J11" s="235">
        <v>0</v>
      </c>
      <c r="K11" s="741">
        <v>0</v>
      </c>
      <c r="L11" s="579">
        <v>0</v>
      </c>
      <c r="M11" s="235">
        <v>0</v>
      </c>
      <c r="N11" s="724">
        <f t="shared" si="1"/>
        <v>0</v>
      </c>
      <c r="O11" s="377" t="str">
        <f t="shared" si="2"/>
        <v/>
      </c>
      <c r="Q11" s="62"/>
    </row>
    <row r="12" spans="1:17" ht="12.95" customHeight="1">
      <c r="B12" s="10"/>
      <c r="C12" s="11"/>
      <c r="D12" s="11"/>
      <c r="E12" s="316"/>
      <c r="F12" s="336"/>
      <c r="G12" s="362"/>
      <c r="H12" s="20"/>
      <c r="I12" s="784"/>
      <c r="J12" s="238"/>
      <c r="K12" s="742"/>
      <c r="L12" s="626"/>
      <c r="M12" s="238"/>
      <c r="N12" s="724"/>
      <c r="O12" s="377" t="str">
        <f t="shared" si="2"/>
        <v/>
      </c>
    </row>
    <row r="13" spans="1:17" s="1" customFormat="1" ht="12.95" customHeight="1">
      <c r="A13" s="311"/>
      <c r="B13" s="12"/>
      <c r="C13" s="8"/>
      <c r="D13" s="8"/>
      <c r="E13" s="8"/>
      <c r="F13" s="335">
        <v>612000</v>
      </c>
      <c r="G13" s="361"/>
      <c r="H13" s="8" t="s">
        <v>145</v>
      </c>
      <c r="I13" s="738">
        <f t="shared" ref="I13:N13" si="3">I14</f>
        <v>75310</v>
      </c>
      <c r="J13" s="236">
        <f t="shared" si="3"/>
        <v>75310</v>
      </c>
      <c r="K13" s="744">
        <f t="shared" si="3"/>
        <v>18637</v>
      </c>
      <c r="L13" s="578">
        <f t="shared" si="3"/>
        <v>74610</v>
      </c>
      <c r="M13" s="236">
        <f t="shared" si="3"/>
        <v>0</v>
      </c>
      <c r="N13" s="723">
        <f t="shared" si="3"/>
        <v>74610</v>
      </c>
      <c r="O13" s="376">
        <f t="shared" si="2"/>
        <v>99.070508564599663</v>
      </c>
    </row>
    <row r="14" spans="1:17" ht="12.95" customHeight="1">
      <c r="B14" s="10"/>
      <c r="C14" s="11"/>
      <c r="D14" s="11"/>
      <c r="E14" s="316"/>
      <c r="F14" s="336">
        <v>612100</v>
      </c>
      <c r="G14" s="362"/>
      <c r="H14" s="13" t="s">
        <v>82</v>
      </c>
      <c r="I14" s="784">
        <f>72430+4*150+250+900+1810-680</f>
        <v>75310</v>
      </c>
      <c r="J14" s="238">
        <f>72430+4*150+250+900+1810-680</f>
        <v>75310</v>
      </c>
      <c r="K14" s="742">
        <v>18637</v>
      </c>
      <c r="L14" s="626">
        <f>73490+400+270+3*150</f>
        <v>74610</v>
      </c>
      <c r="M14" s="238">
        <v>0</v>
      </c>
      <c r="N14" s="724">
        <f>SUM(L14:M14)</f>
        <v>74610</v>
      </c>
      <c r="O14" s="377">
        <f t="shared" si="2"/>
        <v>99.070508564599663</v>
      </c>
    </row>
    <row r="15" spans="1:17" ht="12.95" customHeight="1">
      <c r="B15" s="10"/>
      <c r="C15" s="11"/>
      <c r="D15" s="11"/>
      <c r="E15" s="316"/>
      <c r="F15" s="336"/>
      <c r="G15" s="362"/>
      <c r="H15" s="11"/>
      <c r="I15" s="777"/>
      <c r="J15" s="321"/>
      <c r="K15" s="779"/>
      <c r="L15" s="621"/>
      <c r="M15" s="321"/>
      <c r="N15" s="725"/>
      <c r="O15" s="377" t="str">
        <f t="shared" si="2"/>
        <v/>
      </c>
    </row>
    <row r="16" spans="1:17" s="1" customFormat="1" ht="12.95" customHeight="1">
      <c r="A16" s="311"/>
      <c r="B16" s="12"/>
      <c r="C16" s="8"/>
      <c r="D16" s="8"/>
      <c r="E16" s="8"/>
      <c r="F16" s="335">
        <v>613000</v>
      </c>
      <c r="G16" s="361"/>
      <c r="H16" s="8" t="s">
        <v>147</v>
      </c>
      <c r="I16" s="778">
        <f>SUM(I17:I26)</f>
        <v>131500</v>
      </c>
      <c r="J16" s="323">
        <f>SUM(J17:J26)</f>
        <v>131500</v>
      </c>
      <c r="K16" s="783">
        <f t="shared" ref="K16" si="4">SUM(K17:K26)</f>
        <v>34289</v>
      </c>
      <c r="L16" s="581">
        <f>SUM(L17:L26)</f>
        <v>118840</v>
      </c>
      <c r="M16" s="323">
        <f>SUM(M17:M26)</f>
        <v>0</v>
      </c>
      <c r="N16" s="726">
        <f>SUM(N17:N26)</f>
        <v>118840</v>
      </c>
      <c r="O16" s="376">
        <f t="shared" si="2"/>
        <v>90.372623574144484</v>
      </c>
    </row>
    <row r="17" spans="1:16" ht="12.95" customHeight="1">
      <c r="B17" s="10"/>
      <c r="C17" s="11"/>
      <c r="D17" s="11"/>
      <c r="E17" s="316"/>
      <c r="F17" s="336">
        <v>613100</v>
      </c>
      <c r="G17" s="362"/>
      <c r="H17" s="11" t="s">
        <v>83</v>
      </c>
      <c r="I17" s="742">
        <v>4000</v>
      </c>
      <c r="J17" s="397">
        <v>4000</v>
      </c>
      <c r="K17" s="742">
        <v>630</v>
      </c>
      <c r="L17" s="571">
        <v>3000</v>
      </c>
      <c r="M17" s="397">
        <v>0</v>
      </c>
      <c r="N17" s="724">
        <f t="shared" ref="N17:N26" si="5">SUM(L17:M17)</f>
        <v>3000</v>
      </c>
      <c r="O17" s="377">
        <f t="shared" si="2"/>
        <v>75</v>
      </c>
    </row>
    <row r="18" spans="1:16" ht="12.95" customHeight="1">
      <c r="B18" s="10"/>
      <c r="C18" s="11"/>
      <c r="D18" s="11"/>
      <c r="E18" s="316"/>
      <c r="F18" s="336">
        <v>613200</v>
      </c>
      <c r="G18" s="362"/>
      <c r="H18" s="11" t="s">
        <v>84</v>
      </c>
      <c r="I18" s="779">
        <v>55000</v>
      </c>
      <c r="J18" s="395">
        <v>55000</v>
      </c>
      <c r="K18" s="779">
        <v>18901</v>
      </c>
      <c r="L18" s="571">
        <v>50000</v>
      </c>
      <c r="M18" s="395">
        <v>0</v>
      </c>
      <c r="N18" s="724">
        <f t="shared" si="5"/>
        <v>50000</v>
      </c>
      <c r="O18" s="377">
        <f t="shared" si="2"/>
        <v>90.909090909090907</v>
      </c>
    </row>
    <row r="19" spans="1:16" ht="12.95" customHeight="1">
      <c r="B19" s="10"/>
      <c r="C19" s="11"/>
      <c r="D19" s="11"/>
      <c r="E19" s="316"/>
      <c r="F19" s="336">
        <v>613300</v>
      </c>
      <c r="G19" s="362"/>
      <c r="H19" s="20" t="s">
        <v>176</v>
      </c>
      <c r="I19" s="779">
        <v>7500</v>
      </c>
      <c r="J19" s="395">
        <v>7500</v>
      </c>
      <c r="K19" s="779">
        <v>760</v>
      </c>
      <c r="L19" s="571">
        <v>6100</v>
      </c>
      <c r="M19" s="395">
        <v>0</v>
      </c>
      <c r="N19" s="724">
        <f t="shared" si="5"/>
        <v>6100</v>
      </c>
      <c r="O19" s="377">
        <f t="shared" si="2"/>
        <v>81.333333333333329</v>
      </c>
    </row>
    <row r="20" spans="1:16" ht="12.95" customHeight="1">
      <c r="B20" s="10"/>
      <c r="C20" s="11"/>
      <c r="D20" s="11"/>
      <c r="E20" s="316"/>
      <c r="F20" s="336">
        <v>613400</v>
      </c>
      <c r="G20" s="362"/>
      <c r="H20" s="11" t="s">
        <v>148</v>
      </c>
      <c r="I20" s="779">
        <v>17000</v>
      </c>
      <c r="J20" s="395">
        <v>17000</v>
      </c>
      <c r="K20" s="779">
        <v>3370</v>
      </c>
      <c r="L20" s="571">
        <v>15000</v>
      </c>
      <c r="M20" s="395">
        <v>0</v>
      </c>
      <c r="N20" s="724">
        <f t="shared" si="5"/>
        <v>15000</v>
      </c>
      <c r="O20" s="377">
        <f t="shared" si="2"/>
        <v>88.235294117647058</v>
      </c>
    </row>
    <row r="21" spans="1:16" ht="12.95" customHeight="1">
      <c r="B21" s="10"/>
      <c r="C21" s="11"/>
      <c r="D21" s="11"/>
      <c r="E21" s="316"/>
      <c r="F21" s="336">
        <v>613500</v>
      </c>
      <c r="G21" s="362"/>
      <c r="H21" s="11" t="s">
        <v>85</v>
      </c>
      <c r="I21" s="742">
        <v>3000</v>
      </c>
      <c r="J21" s="397">
        <v>3000</v>
      </c>
      <c r="K21" s="742">
        <v>282</v>
      </c>
      <c r="L21" s="571">
        <v>2500</v>
      </c>
      <c r="M21" s="397">
        <v>0</v>
      </c>
      <c r="N21" s="724">
        <f t="shared" si="5"/>
        <v>2500</v>
      </c>
      <c r="O21" s="377">
        <f t="shared" si="2"/>
        <v>83.333333333333343</v>
      </c>
    </row>
    <row r="22" spans="1:16" ht="12.95" customHeight="1">
      <c r="B22" s="10"/>
      <c r="C22" s="11"/>
      <c r="D22" s="11"/>
      <c r="E22" s="316"/>
      <c r="F22" s="336">
        <v>613600</v>
      </c>
      <c r="G22" s="362"/>
      <c r="H22" s="20" t="s">
        <v>177</v>
      </c>
      <c r="I22" s="742">
        <v>0</v>
      </c>
      <c r="J22" s="397">
        <v>0</v>
      </c>
      <c r="K22" s="742">
        <v>0</v>
      </c>
      <c r="L22" s="571">
        <v>0</v>
      </c>
      <c r="M22" s="397">
        <v>0</v>
      </c>
      <c r="N22" s="724">
        <f t="shared" si="5"/>
        <v>0</v>
      </c>
      <c r="O22" s="377" t="str">
        <f t="shared" si="2"/>
        <v/>
      </c>
    </row>
    <row r="23" spans="1:16" ht="12.95" customHeight="1">
      <c r="B23" s="10"/>
      <c r="C23" s="11"/>
      <c r="D23" s="11"/>
      <c r="E23" s="316"/>
      <c r="F23" s="336">
        <v>613700</v>
      </c>
      <c r="G23" s="362"/>
      <c r="H23" s="11" t="s">
        <v>86</v>
      </c>
      <c r="I23" s="742">
        <v>17500</v>
      </c>
      <c r="J23" s="397">
        <v>17500</v>
      </c>
      <c r="K23" s="742">
        <v>1879</v>
      </c>
      <c r="L23" s="571">
        <v>15000</v>
      </c>
      <c r="M23" s="397">
        <v>0</v>
      </c>
      <c r="N23" s="724">
        <f t="shared" si="5"/>
        <v>15000</v>
      </c>
      <c r="O23" s="377">
        <f t="shared" si="2"/>
        <v>85.714285714285708</v>
      </c>
    </row>
    <row r="24" spans="1:16" ht="12.95" customHeight="1">
      <c r="B24" s="10"/>
      <c r="C24" s="11"/>
      <c r="D24" s="11"/>
      <c r="E24" s="316"/>
      <c r="F24" s="336">
        <v>613800</v>
      </c>
      <c r="G24" s="362"/>
      <c r="H24" s="11" t="s">
        <v>149</v>
      </c>
      <c r="I24" s="742">
        <v>0</v>
      </c>
      <c r="J24" s="397">
        <v>0</v>
      </c>
      <c r="K24" s="742">
        <v>0</v>
      </c>
      <c r="L24" s="571">
        <v>0</v>
      </c>
      <c r="M24" s="397">
        <v>0</v>
      </c>
      <c r="N24" s="724">
        <f t="shared" si="5"/>
        <v>0</v>
      </c>
      <c r="O24" s="377" t="str">
        <f t="shared" si="2"/>
        <v/>
      </c>
    </row>
    <row r="25" spans="1:16" ht="12.95" customHeight="1">
      <c r="B25" s="10"/>
      <c r="C25" s="11"/>
      <c r="D25" s="11"/>
      <c r="E25" s="316"/>
      <c r="F25" s="336">
        <v>613900</v>
      </c>
      <c r="G25" s="362"/>
      <c r="H25" s="11" t="s">
        <v>150</v>
      </c>
      <c r="I25" s="781">
        <v>27500</v>
      </c>
      <c r="J25" s="391">
        <v>27500</v>
      </c>
      <c r="K25" s="781">
        <v>8467</v>
      </c>
      <c r="L25" s="571">
        <f>27500-260</f>
        <v>27240</v>
      </c>
      <c r="M25" s="391">
        <v>0</v>
      </c>
      <c r="N25" s="724">
        <f t="shared" si="5"/>
        <v>27240</v>
      </c>
      <c r="O25" s="377">
        <f t="shared" si="2"/>
        <v>99.054545454545448</v>
      </c>
    </row>
    <row r="26" spans="1:16" ht="12.95" customHeight="1">
      <c r="B26" s="10"/>
      <c r="C26" s="11"/>
      <c r="D26" s="11"/>
      <c r="E26" s="316"/>
      <c r="F26" s="336">
        <v>613900</v>
      </c>
      <c r="G26" s="362"/>
      <c r="H26" s="210" t="s">
        <v>465</v>
      </c>
      <c r="I26" s="557">
        <v>0</v>
      </c>
      <c r="J26" s="392">
        <v>0</v>
      </c>
      <c r="K26" s="557">
        <v>0</v>
      </c>
      <c r="L26" s="572">
        <v>0</v>
      </c>
      <c r="M26" s="392">
        <v>0</v>
      </c>
      <c r="N26" s="724">
        <f t="shared" si="5"/>
        <v>0</v>
      </c>
      <c r="O26" s="377" t="str">
        <f t="shared" si="2"/>
        <v/>
      </c>
    </row>
    <row r="27" spans="1:16" s="1" customFormat="1" ht="12.95" customHeight="1">
      <c r="A27" s="311"/>
      <c r="B27" s="12"/>
      <c r="C27" s="8"/>
      <c r="D27" s="8"/>
      <c r="E27" s="8"/>
      <c r="F27" s="335"/>
      <c r="G27" s="361"/>
      <c r="H27" s="8"/>
      <c r="I27" s="631"/>
      <c r="J27" s="326"/>
      <c r="K27" s="742"/>
      <c r="L27" s="622"/>
      <c r="M27" s="326"/>
      <c r="N27" s="725"/>
      <c r="O27" s="377" t="str">
        <f t="shared" si="2"/>
        <v/>
      </c>
    </row>
    <row r="28" spans="1:16" s="1" customFormat="1" ht="12.95" customHeight="1">
      <c r="A28" s="311"/>
      <c r="B28" s="12"/>
      <c r="C28" s="8"/>
      <c r="D28" s="8"/>
      <c r="E28" s="8"/>
      <c r="F28" s="335">
        <v>821000</v>
      </c>
      <c r="G28" s="361"/>
      <c r="H28" s="8" t="s">
        <v>89</v>
      </c>
      <c r="I28" s="632">
        <f t="shared" ref="I28:N28" si="6">SUM(I29:I30)</f>
        <v>10000</v>
      </c>
      <c r="J28" s="325">
        <f t="shared" si="6"/>
        <v>10000</v>
      </c>
      <c r="K28" s="744">
        <f t="shared" si="6"/>
        <v>4953</v>
      </c>
      <c r="L28" s="588">
        <f t="shared" si="6"/>
        <v>5000</v>
      </c>
      <c r="M28" s="325">
        <f t="shared" si="6"/>
        <v>0</v>
      </c>
      <c r="N28" s="726">
        <f t="shared" si="6"/>
        <v>5000</v>
      </c>
      <c r="O28" s="376">
        <f t="shared" si="2"/>
        <v>50</v>
      </c>
    </row>
    <row r="29" spans="1:16" ht="12.95" customHeight="1">
      <c r="B29" s="10"/>
      <c r="C29" s="11"/>
      <c r="D29" s="11"/>
      <c r="E29" s="316"/>
      <c r="F29" s="339">
        <v>821200</v>
      </c>
      <c r="G29" s="365"/>
      <c r="H29" s="14" t="s">
        <v>90</v>
      </c>
      <c r="I29" s="631">
        <v>0</v>
      </c>
      <c r="J29" s="326">
        <v>0</v>
      </c>
      <c r="K29" s="742">
        <v>0</v>
      </c>
      <c r="L29" s="622">
        <v>0</v>
      </c>
      <c r="M29" s="326">
        <v>0</v>
      </c>
      <c r="N29" s="724">
        <f t="shared" ref="N29:N30" si="7">SUM(L29:M29)</f>
        <v>0</v>
      </c>
      <c r="O29" s="377" t="str">
        <f t="shared" si="2"/>
        <v/>
      </c>
      <c r="P29" s="55"/>
    </row>
    <row r="30" spans="1:16" ht="12.95" customHeight="1">
      <c r="B30" s="10"/>
      <c r="C30" s="11"/>
      <c r="D30" s="11"/>
      <c r="E30" s="316"/>
      <c r="F30" s="336">
        <v>821300</v>
      </c>
      <c r="G30" s="362"/>
      <c r="H30" s="11" t="s">
        <v>91</v>
      </c>
      <c r="I30" s="631">
        <v>10000</v>
      </c>
      <c r="J30" s="326">
        <v>10000</v>
      </c>
      <c r="K30" s="742">
        <v>4953</v>
      </c>
      <c r="L30" s="622">
        <v>5000</v>
      </c>
      <c r="M30" s="326">
        <v>0</v>
      </c>
      <c r="N30" s="724">
        <f t="shared" si="7"/>
        <v>5000</v>
      </c>
      <c r="O30" s="377">
        <f t="shared" si="2"/>
        <v>50</v>
      </c>
    </row>
    <row r="31" spans="1:16" ht="12.95" customHeight="1">
      <c r="B31" s="10"/>
      <c r="C31" s="11"/>
      <c r="D31" s="11"/>
      <c r="E31" s="316"/>
      <c r="F31" s="336"/>
      <c r="G31" s="362"/>
      <c r="H31" s="11"/>
      <c r="I31" s="777"/>
      <c r="J31" s="321"/>
      <c r="K31" s="779"/>
      <c r="L31" s="621"/>
      <c r="M31" s="321"/>
      <c r="N31" s="725"/>
      <c r="O31" s="377" t="str">
        <f t="shared" si="2"/>
        <v/>
      </c>
    </row>
    <row r="32" spans="1:16" s="1" customFormat="1" ht="12.95" customHeight="1">
      <c r="A32" s="311"/>
      <c r="B32" s="12"/>
      <c r="C32" s="8"/>
      <c r="D32" s="8"/>
      <c r="E32" s="8"/>
      <c r="F32" s="335"/>
      <c r="G32" s="361"/>
      <c r="H32" s="8" t="s">
        <v>92</v>
      </c>
      <c r="I32" s="743" t="s">
        <v>722</v>
      </c>
      <c r="J32" s="327" t="s">
        <v>722</v>
      </c>
      <c r="K32" s="746" t="s">
        <v>894</v>
      </c>
      <c r="L32" s="584" t="s">
        <v>921</v>
      </c>
      <c r="M32" s="308"/>
      <c r="N32" s="727" t="s">
        <v>921</v>
      </c>
      <c r="O32" s="377"/>
    </row>
    <row r="33" spans="1:15" s="1" customFormat="1" ht="12.95" customHeight="1">
      <c r="A33" s="311"/>
      <c r="B33" s="12"/>
      <c r="C33" s="8"/>
      <c r="D33" s="8"/>
      <c r="E33" s="8"/>
      <c r="F33" s="335"/>
      <c r="G33" s="361"/>
      <c r="H33" s="8" t="s">
        <v>110</v>
      </c>
      <c r="I33" s="575">
        <f t="shared" ref="I33:N33" si="8">I8+I13+I16+I28</f>
        <v>1071820</v>
      </c>
      <c r="J33" s="318">
        <f t="shared" si="8"/>
        <v>1071820</v>
      </c>
      <c r="K33" s="575">
        <f t="shared" si="8"/>
        <v>262819</v>
      </c>
      <c r="L33" s="582">
        <f t="shared" si="8"/>
        <v>1048290</v>
      </c>
      <c r="M33" s="318">
        <f t="shared" si="8"/>
        <v>0</v>
      </c>
      <c r="N33" s="726">
        <f t="shared" si="8"/>
        <v>1048290</v>
      </c>
      <c r="O33" s="376">
        <f>IF(J33=0,"",N33/J33*100)</f>
        <v>97.804668694370321</v>
      </c>
    </row>
    <row r="34" spans="1:15" s="1" customFormat="1" ht="12.95" customHeight="1">
      <c r="A34" s="311"/>
      <c r="B34" s="12"/>
      <c r="C34" s="8"/>
      <c r="D34" s="8"/>
      <c r="E34" s="8"/>
      <c r="F34" s="335"/>
      <c r="G34" s="361"/>
      <c r="H34" s="8" t="s">
        <v>93</v>
      </c>
      <c r="I34" s="575">
        <f>I33+'22'!I33+'21'!I33</f>
        <v>3838800</v>
      </c>
      <c r="J34" s="318">
        <f>J33+'22'!J33+'21'!J33</f>
        <v>3838800</v>
      </c>
      <c r="K34" s="575">
        <f>K33+'22'!K33+'21'!K33</f>
        <v>921779</v>
      </c>
      <c r="L34" s="582">
        <f>L33+'22'!L33+'21'!L33</f>
        <v>3673640</v>
      </c>
      <c r="M34" s="318">
        <f>M33+'22'!M33+'21'!M33</f>
        <v>0</v>
      </c>
      <c r="N34" s="726">
        <f>N33+'22'!N33+'21'!N33</f>
        <v>3673640</v>
      </c>
      <c r="O34" s="376">
        <f t="shared" si="2"/>
        <v>95.697613837657599</v>
      </c>
    </row>
    <row r="35" spans="1:15" s="1" customFormat="1" ht="12.95" customHeight="1">
      <c r="A35" s="311"/>
      <c r="B35" s="12"/>
      <c r="C35" s="8"/>
      <c r="D35" s="8"/>
      <c r="E35" s="8"/>
      <c r="F35" s="335"/>
      <c r="G35" s="361"/>
      <c r="H35" s="8" t="s">
        <v>94</v>
      </c>
      <c r="I35" s="30"/>
      <c r="J35" s="30"/>
      <c r="K35" s="586"/>
      <c r="L35" s="580"/>
      <c r="M35" s="309"/>
      <c r="N35" s="725"/>
      <c r="O35" s="378"/>
    </row>
    <row r="36" spans="1:15" ht="12.95" customHeight="1" thickBot="1">
      <c r="B36" s="16"/>
      <c r="C36" s="17"/>
      <c r="D36" s="17"/>
      <c r="E36" s="17"/>
      <c r="F36" s="337"/>
      <c r="G36" s="363"/>
      <c r="H36" s="17"/>
      <c r="I36" s="32"/>
      <c r="J36" s="32"/>
      <c r="K36" s="576"/>
      <c r="L36" s="585"/>
      <c r="M36" s="32"/>
      <c r="N36" s="728"/>
      <c r="O36" s="379"/>
    </row>
    <row r="37" spans="1:15" ht="12.95" customHeight="1">
      <c r="F37" s="338"/>
      <c r="G37" s="364"/>
      <c r="N37" s="423"/>
    </row>
    <row r="38" spans="1:15" ht="12.95" customHeight="1">
      <c r="B38" s="55"/>
      <c r="F38" s="338"/>
      <c r="G38" s="364"/>
      <c r="N38" s="423"/>
    </row>
    <row r="39" spans="1:15" ht="12.95" customHeight="1">
      <c r="B39" s="55"/>
      <c r="F39" s="338"/>
      <c r="G39" s="364"/>
      <c r="N39" s="423"/>
    </row>
    <row r="40" spans="1:15" ht="12.95" customHeight="1">
      <c r="B40" s="55"/>
      <c r="F40" s="338"/>
      <c r="G40" s="364"/>
      <c r="N40" s="423"/>
    </row>
    <row r="41" spans="1:15" ht="12.95" customHeight="1">
      <c r="B41" s="55"/>
      <c r="F41" s="338"/>
      <c r="G41" s="364"/>
      <c r="N41" s="423"/>
    </row>
    <row r="42" spans="1:15" ht="12.95" customHeight="1">
      <c r="B42" s="55"/>
      <c r="F42" s="338"/>
      <c r="G42" s="364"/>
      <c r="N42" s="423"/>
    </row>
    <row r="43" spans="1:15" ht="12.95" customHeight="1">
      <c r="F43" s="338"/>
      <c r="G43" s="364"/>
      <c r="N43" s="423"/>
    </row>
    <row r="44" spans="1:15" ht="12.95" customHeight="1">
      <c r="F44" s="338"/>
      <c r="G44" s="364"/>
      <c r="N44" s="423"/>
    </row>
    <row r="45" spans="1:15" ht="12.95" customHeight="1">
      <c r="F45" s="338"/>
      <c r="G45" s="364"/>
      <c r="N45" s="423"/>
    </row>
    <row r="46" spans="1:15" ht="12.95" customHeight="1">
      <c r="F46" s="338"/>
      <c r="G46" s="364"/>
      <c r="N46" s="423"/>
    </row>
    <row r="47" spans="1:15" ht="12.95" customHeight="1">
      <c r="F47" s="338"/>
      <c r="G47" s="364"/>
      <c r="N47" s="423"/>
    </row>
    <row r="48" spans="1:15" ht="12.95" customHeight="1">
      <c r="F48" s="338"/>
      <c r="G48" s="364"/>
      <c r="N48" s="423"/>
    </row>
    <row r="49" spans="6:14" ht="12.95" customHeight="1">
      <c r="F49" s="338"/>
      <c r="G49" s="364"/>
      <c r="N49" s="423"/>
    </row>
    <row r="50" spans="6:14" ht="12.95" customHeight="1">
      <c r="F50" s="338"/>
      <c r="G50" s="364"/>
      <c r="N50" s="423"/>
    </row>
    <row r="51" spans="6:14" ht="12.95" customHeight="1">
      <c r="F51" s="338"/>
      <c r="G51" s="364"/>
      <c r="N51" s="423"/>
    </row>
    <row r="52" spans="6:14" ht="12.95" customHeight="1">
      <c r="F52" s="338"/>
      <c r="G52" s="364"/>
      <c r="N52" s="423"/>
    </row>
    <row r="53" spans="6:14" ht="12.95" customHeight="1">
      <c r="F53" s="338"/>
      <c r="G53" s="364"/>
      <c r="N53" s="423"/>
    </row>
    <row r="54" spans="6:14" ht="12.95" customHeight="1">
      <c r="F54" s="338"/>
      <c r="G54" s="364"/>
      <c r="N54" s="423"/>
    </row>
    <row r="55" spans="6:14" ht="12.95" customHeight="1">
      <c r="F55" s="338"/>
      <c r="G55" s="364"/>
      <c r="N55" s="423"/>
    </row>
    <row r="56" spans="6:14" ht="12.95" customHeight="1">
      <c r="F56" s="338"/>
      <c r="G56" s="364"/>
      <c r="N56" s="423"/>
    </row>
    <row r="57" spans="6:14" ht="12.95" customHeight="1">
      <c r="F57" s="338"/>
      <c r="G57" s="364"/>
      <c r="N57" s="423"/>
    </row>
    <row r="58" spans="6:14" ht="12.95" customHeight="1">
      <c r="F58" s="338"/>
      <c r="G58" s="364"/>
      <c r="N58" s="423"/>
    </row>
    <row r="59" spans="6:14" ht="17.100000000000001" customHeight="1">
      <c r="F59" s="338"/>
      <c r="G59" s="364"/>
      <c r="N59" s="423"/>
    </row>
    <row r="60" spans="6:14" ht="14.25">
      <c r="F60" s="338"/>
      <c r="G60" s="364"/>
      <c r="N60" s="423"/>
    </row>
    <row r="61" spans="6:14" ht="14.25">
      <c r="F61" s="338"/>
      <c r="G61" s="364"/>
      <c r="N61" s="423"/>
    </row>
    <row r="62" spans="6:14" ht="14.25">
      <c r="F62" s="338"/>
      <c r="G62" s="364"/>
      <c r="N62" s="423"/>
    </row>
    <row r="63" spans="6:14" ht="14.25">
      <c r="F63" s="338"/>
      <c r="G63" s="364"/>
      <c r="N63" s="423"/>
    </row>
    <row r="64" spans="6:14" ht="14.25">
      <c r="F64" s="338"/>
      <c r="G64" s="364"/>
      <c r="N64" s="423"/>
    </row>
    <row r="65" spans="6:14" ht="14.25">
      <c r="F65" s="338"/>
      <c r="G65" s="364"/>
      <c r="N65" s="423"/>
    </row>
    <row r="66" spans="6:14" ht="14.25">
      <c r="F66" s="338"/>
      <c r="G66" s="364"/>
      <c r="N66" s="423"/>
    </row>
    <row r="67" spans="6:14" ht="14.25">
      <c r="F67" s="338"/>
      <c r="G67" s="364"/>
      <c r="N67" s="423"/>
    </row>
    <row r="68" spans="6:14" ht="14.25">
      <c r="F68" s="338"/>
      <c r="G68" s="364"/>
      <c r="N68" s="423"/>
    </row>
    <row r="69" spans="6:14" ht="14.25">
      <c r="F69" s="338"/>
      <c r="G69" s="364"/>
      <c r="N69" s="423"/>
    </row>
    <row r="70" spans="6:14" ht="14.25">
      <c r="F70" s="338"/>
      <c r="G70" s="364"/>
      <c r="N70" s="423"/>
    </row>
    <row r="71" spans="6:14" ht="14.25">
      <c r="F71" s="338"/>
      <c r="G71" s="364"/>
      <c r="N71" s="423"/>
    </row>
    <row r="72" spans="6:14" ht="14.25">
      <c r="F72" s="338"/>
      <c r="G72" s="364"/>
      <c r="N72" s="423"/>
    </row>
    <row r="73" spans="6:14" ht="14.25">
      <c r="F73" s="338"/>
      <c r="G73" s="338"/>
      <c r="N73" s="423"/>
    </row>
    <row r="74" spans="6:14" ht="14.25">
      <c r="F74" s="338"/>
      <c r="G74" s="338"/>
      <c r="N74" s="423"/>
    </row>
    <row r="75" spans="6:14" ht="14.25">
      <c r="F75" s="338"/>
      <c r="G75" s="338"/>
      <c r="N75" s="423"/>
    </row>
    <row r="76" spans="6:14" ht="14.25">
      <c r="F76" s="338"/>
      <c r="G76" s="338"/>
      <c r="N76" s="423"/>
    </row>
    <row r="77" spans="6:14" ht="14.25">
      <c r="F77" s="338"/>
      <c r="G77" s="338"/>
      <c r="N77" s="423"/>
    </row>
    <row r="78" spans="6:14" ht="14.25">
      <c r="F78" s="338"/>
      <c r="G78" s="338"/>
      <c r="N78" s="423"/>
    </row>
    <row r="79" spans="6:14" ht="14.25">
      <c r="F79" s="338"/>
      <c r="G79" s="338"/>
      <c r="N79" s="423"/>
    </row>
    <row r="80" spans="6:14" ht="14.25">
      <c r="F80" s="338"/>
      <c r="G80" s="338"/>
      <c r="N80" s="423"/>
    </row>
    <row r="81" spans="6:14" ht="14.25">
      <c r="F81" s="338"/>
      <c r="G81" s="338"/>
      <c r="N81" s="423"/>
    </row>
    <row r="82" spans="6:14" ht="14.25">
      <c r="F82" s="338"/>
      <c r="G82" s="338"/>
      <c r="N82" s="423"/>
    </row>
    <row r="83" spans="6:14" ht="14.25">
      <c r="F83" s="338"/>
      <c r="G83" s="338"/>
      <c r="N83" s="423"/>
    </row>
    <row r="84" spans="6:14" ht="14.25">
      <c r="F84" s="338"/>
      <c r="G84" s="338"/>
      <c r="N84" s="423"/>
    </row>
    <row r="85" spans="6:14" ht="14.25">
      <c r="F85" s="338"/>
      <c r="G85" s="338"/>
      <c r="N85" s="423"/>
    </row>
    <row r="86" spans="6:14" ht="14.25">
      <c r="F86" s="338"/>
      <c r="G86" s="338"/>
      <c r="N86" s="423"/>
    </row>
    <row r="87" spans="6:14" ht="14.25">
      <c r="F87" s="338"/>
      <c r="G87" s="338"/>
      <c r="N87" s="423"/>
    </row>
    <row r="88" spans="6:14" ht="14.25">
      <c r="F88" s="338"/>
      <c r="G88" s="338"/>
      <c r="N88" s="423"/>
    </row>
    <row r="89" spans="6:14" ht="14.25">
      <c r="F89" s="338"/>
      <c r="G89" s="338"/>
      <c r="N89" s="423"/>
    </row>
    <row r="90" spans="6:14">
      <c r="G90" s="338"/>
    </row>
    <row r="91" spans="6:14">
      <c r="G91" s="338"/>
    </row>
    <row r="92" spans="6:14">
      <c r="G92" s="338"/>
    </row>
    <row r="93" spans="6:14">
      <c r="G93" s="338"/>
    </row>
    <row r="94" spans="6:14">
      <c r="G94" s="338"/>
    </row>
    <row r="95" spans="6:14">
      <c r="G95" s="338"/>
    </row>
  </sheetData>
  <mergeCells count="14">
    <mergeCell ref="B2:O2"/>
    <mergeCell ref="O4:O5"/>
    <mergeCell ref="H4:H5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K4:K5"/>
    <mergeCell ref="E4:E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B1:AC302"/>
  <sheetViews>
    <sheetView zoomScaleNormal="100" workbookViewId="0">
      <selection activeCell="B6" sqref="B6:H6"/>
    </sheetView>
  </sheetViews>
  <sheetFormatPr defaultRowHeight="15" customHeight="1"/>
  <cols>
    <col min="2" max="2" width="70.28515625" customWidth="1"/>
    <col min="3" max="3" width="13.140625" customWidth="1"/>
    <col min="4" max="5" width="18.7109375" customWidth="1"/>
    <col min="6" max="6" width="20.7109375" customWidth="1"/>
    <col min="7" max="7" width="9.28515625" customWidth="1"/>
    <col min="8" max="8" width="6.42578125" customWidth="1"/>
    <col min="10" max="11" width="15.7109375" customWidth="1"/>
    <col min="12" max="12" width="8.7109375" customWidth="1"/>
  </cols>
  <sheetData>
    <row r="1" spans="2:29" ht="15" customHeight="1">
      <c r="B1" s="859" t="s">
        <v>873</v>
      </c>
      <c r="C1" s="860"/>
      <c r="D1" s="860"/>
      <c r="E1" s="860"/>
      <c r="F1" s="860"/>
      <c r="G1" s="860"/>
      <c r="H1" s="683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</row>
    <row r="2" spans="2:29" ht="15" customHeight="1">
      <c r="B2" s="860"/>
      <c r="C2" s="860"/>
      <c r="D2" s="860"/>
      <c r="E2" s="860"/>
      <c r="F2" s="860"/>
      <c r="G2" s="860"/>
      <c r="H2" s="683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</row>
    <row r="3" spans="2:29" ht="12" customHeight="1">
      <c r="B3" s="860"/>
      <c r="C3" s="860"/>
      <c r="D3" s="860"/>
      <c r="E3" s="860"/>
      <c r="F3" s="860"/>
      <c r="G3" s="860"/>
      <c r="H3" s="683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</row>
    <row r="4" spans="2:29" ht="9" hidden="1" customHeight="1">
      <c r="B4" s="683"/>
      <c r="C4" s="683"/>
      <c r="D4" s="683"/>
      <c r="E4" s="683"/>
      <c r="F4" s="683"/>
      <c r="G4" s="683"/>
      <c r="H4" s="683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</row>
    <row r="5" spans="2:29" ht="18.75" customHeight="1">
      <c r="B5" s="861" t="s">
        <v>874</v>
      </c>
      <c r="C5" s="861"/>
      <c r="D5" s="861"/>
      <c r="E5" s="861"/>
      <c r="F5" s="861"/>
      <c r="G5" s="861"/>
      <c r="H5" s="861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</row>
    <row r="6" spans="2:29" ht="15" customHeight="1">
      <c r="B6" s="862" t="s">
        <v>694</v>
      </c>
      <c r="C6" s="862"/>
      <c r="D6" s="862"/>
      <c r="E6" s="862"/>
      <c r="F6" s="862"/>
      <c r="G6" s="862"/>
      <c r="H6" s="862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</row>
    <row r="7" spans="2:29" ht="15" customHeight="1">
      <c r="B7" s="148" t="s">
        <v>169</v>
      </c>
      <c r="C7" s="148"/>
      <c r="D7" s="45"/>
      <c r="E7" s="45"/>
      <c r="F7" s="45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</row>
    <row r="8" spans="2:29" ht="6.75" customHeight="1">
      <c r="B8" s="37"/>
      <c r="C8" s="37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</row>
    <row r="9" spans="2:29" ht="15" customHeight="1">
      <c r="B9" s="37" t="s">
        <v>170</v>
      </c>
      <c r="C9" s="37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</row>
    <row r="10" spans="2:29" ht="17.25" customHeight="1">
      <c r="B10" s="858" t="s">
        <v>875</v>
      </c>
      <c r="C10" s="863"/>
      <c r="D10" s="863"/>
      <c r="E10" s="863"/>
      <c r="F10" s="863"/>
      <c r="G10" s="863"/>
      <c r="H10" s="832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</row>
    <row r="11" spans="2:29" ht="17.25" customHeight="1">
      <c r="B11" s="686" t="s">
        <v>878</v>
      </c>
      <c r="C11" s="47"/>
      <c r="D11" s="47"/>
      <c r="E11" s="47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</row>
    <row r="12" spans="2:29" s="470" customFormat="1" ht="43.5" customHeight="1">
      <c r="B12" s="471" t="s">
        <v>217</v>
      </c>
      <c r="C12" s="472" t="s">
        <v>608</v>
      </c>
      <c r="D12" s="472" t="s">
        <v>695</v>
      </c>
      <c r="E12" s="472" t="s">
        <v>871</v>
      </c>
      <c r="F12" s="513" t="s">
        <v>872</v>
      </c>
      <c r="G12" s="472" t="s">
        <v>534</v>
      </c>
      <c r="I12" s="473"/>
      <c r="J12" s="473"/>
      <c r="K12" s="473"/>
      <c r="L12" s="473"/>
      <c r="M12" s="473"/>
      <c r="N12" s="473"/>
      <c r="O12" s="473"/>
      <c r="P12" s="473"/>
      <c r="Q12" s="473"/>
      <c r="R12" s="473"/>
      <c r="S12" s="473"/>
      <c r="T12" s="473"/>
      <c r="U12" s="473"/>
      <c r="V12" s="473"/>
      <c r="W12" s="473"/>
      <c r="X12" s="473"/>
      <c r="Y12" s="473"/>
      <c r="Z12" s="473"/>
      <c r="AA12" s="473"/>
      <c r="AB12" s="473"/>
      <c r="AC12" s="473"/>
    </row>
    <row r="13" spans="2:29" s="521" customFormat="1" ht="11.25" customHeight="1">
      <c r="B13" s="522">
        <v>1</v>
      </c>
      <c r="C13" s="522"/>
      <c r="D13" s="523">
        <v>2</v>
      </c>
      <c r="E13" s="523">
        <v>3</v>
      </c>
      <c r="F13" s="523">
        <v>4</v>
      </c>
      <c r="G13" s="522">
        <v>5</v>
      </c>
      <c r="I13" s="524"/>
      <c r="J13" s="524"/>
      <c r="K13" s="524"/>
      <c r="L13" s="524"/>
      <c r="M13" s="524"/>
      <c r="N13" s="524"/>
      <c r="O13" s="524"/>
      <c r="P13" s="524"/>
      <c r="Q13" s="524"/>
      <c r="R13" s="524"/>
      <c r="S13" s="524"/>
      <c r="T13" s="524"/>
      <c r="U13" s="524"/>
      <c r="V13" s="524"/>
      <c r="W13" s="524"/>
      <c r="X13" s="524"/>
      <c r="Y13" s="524"/>
      <c r="Z13" s="524"/>
      <c r="AA13" s="524"/>
      <c r="AB13" s="524"/>
      <c r="AC13" s="524"/>
    </row>
    <row r="14" spans="2:29" s="470" customFormat="1" ht="14.1" customHeight="1">
      <c r="B14" s="474" t="s">
        <v>621</v>
      </c>
      <c r="C14" s="474"/>
      <c r="D14" s="475">
        <f>D15+D16+D17+D18+D19</f>
        <v>43409760</v>
      </c>
      <c r="E14" s="475">
        <f>E15+E16+E17+E18+E19</f>
        <v>43620153</v>
      </c>
      <c r="F14" s="514">
        <f>F15+F16+F17+F18+F19</f>
        <v>43581080</v>
      </c>
      <c r="G14" s="476">
        <f>IF(E14=0,,F14/E14*100)</f>
        <v>99.91042443156951</v>
      </c>
      <c r="H14" s="170"/>
      <c r="I14" s="473"/>
      <c r="J14" s="473"/>
      <c r="K14" s="473"/>
      <c r="L14" s="473"/>
      <c r="M14" s="473"/>
      <c r="N14" s="473"/>
      <c r="O14" s="473"/>
      <c r="P14" s="473"/>
      <c r="Q14" s="473"/>
      <c r="R14" s="473"/>
      <c r="S14" s="473"/>
      <c r="T14" s="473"/>
      <c r="U14" s="473"/>
      <c r="V14" s="473"/>
      <c r="W14" s="473"/>
      <c r="X14" s="473"/>
      <c r="Y14" s="473"/>
      <c r="Z14" s="473"/>
      <c r="AA14" s="473"/>
      <c r="AB14" s="473"/>
      <c r="AC14" s="473"/>
    </row>
    <row r="15" spans="2:29" s="470" customFormat="1" ht="12.95" customHeight="1">
      <c r="B15" s="477" t="s">
        <v>609</v>
      </c>
      <c r="C15" s="478">
        <v>710</v>
      </c>
      <c r="D15" s="479">
        <f>Prihodi!D5</f>
        <v>38168780</v>
      </c>
      <c r="E15" s="479">
        <f>Prihodi!E5</f>
        <v>38168780</v>
      </c>
      <c r="F15" s="467">
        <f>Prihodi!G5</f>
        <v>31336530</v>
      </c>
      <c r="G15" s="480">
        <f t="shared" ref="G15:G42" si="0">IF(E15=0,,F15/E15*100)</f>
        <v>82.099899446615794</v>
      </c>
      <c r="H15" s="170"/>
      <c r="I15" s="473"/>
      <c r="J15" s="473"/>
      <c r="K15" s="473"/>
      <c r="L15" s="473"/>
      <c r="M15" s="473"/>
      <c r="N15" s="473"/>
      <c r="O15" s="473"/>
      <c r="P15" s="473"/>
      <c r="Q15" s="473"/>
      <c r="R15" s="473"/>
      <c r="S15" s="473"/>
      <c r="T15" s="473"/>
      <c r="U15" s="473"/>
      <c r="V15" s="473"/>
      <c r="W15" s="473"/>
      <c r="X15" s="473"/>
      <c r="Y15" s="473"/>
      <c r="Z15" s="473"/>
      <c r="AA15" s="473"/>
      <c r="AB15" s="473"/>
      <c r="AC15" s="473"/>
    </row>
    <row r="16" spans="2:29" s="470" customFormat="1" ht="12.95" customHeight="1">
      <c r="B16" s="477" t="s">
        <v>610</v>
      </c>
      <c r="C16" s="478">
        <v>720</v>
      </c>
      <c r="D16" s="479">
        <f>Prihodi!D61</f>
        <v>3076110</v>
      </c>
      <c r="E16" s="479">
        <f>Prihodi!E61</f>
        <v>3136110</v>
      </c>
      <c r="F16" s="467">
        <f>Prihodi!G61</f>
        <v>2642220</v>
      </c>
      <c r="G16" s="480">
        <f t="shared" si="0"/>
        <v>84.251509035078485</v>
      </c>
      <c r="H16" s="170"/>
      <c r="I16" s="473"/>
      <c r="J16" s="473"/>
      <c r="K16" s="473"/>
      <c r="L16" s="473"/>
      <c r="M16" s="473"/>
      <c r="N16" s="473"/>
      <c r="O16" s="473"/>
      <c r="P16" s="473"/>
      <c r="Q16" s="473"/>
      <c r="R16" s="473"/>
      <c r="S16" s="473"/>
      <c r="T16" s="473"/>
      <c r="U16" s="473"/>
      <c r="V16" s="473"/>
      <c r="W16" s="473"/>
      <c r="X16" s="473"/>
      <c r="Y16" s="473"/>
      <c r="Z16" s="473"/>
      <c r="AA16" s="473"/>
      <c r="AB16" s="473"/>
      <c r="AC16" s="473"/>
    </row>
    <row r="17" spans="2:29" s="470" customFormat="1" ht="12.95" customHeight="1">
      <c r="B17" s="477" t="s">
        <v>611</v>
      </c>
      <c r="C17" s="478">
        <v>730</v>
      </c>
      <c r="D17" s="479">
        <f>Prihodi!D162</f>
        <v>2063550</v>
      </c>
      <c r="E17" s="479">
        <f>Prihodi!E162</f>
        <v>2063550</v>
      </c>
      <c r="F17" s="467">
        <f>Prihodi!G162</f>
        <v>9251620</v>
      </c>
      <c r="G17" s="480">
        <f t="shared" si="0"/>
        <v>448.33515059000268</v>
      </c>
      <c r="H17" s="170"/>
      <c r="I17" s="473"/>
      <c r="J17" s="473"/>
      <c r="K17" s="473"/>
      <c r="L17" s="473"/>
      <c r="M17" s="473"/>
      <c r="N17" s="473"/>
      <c r="O17" s="473"/>
      <c r="P17" s="473"/>
      <c r="Q17" s="473"/>
      <c r="R17" s="473"/>
      <c r="S17" s="473"/>
      <c r="T17" s="473"/>
      <c r="U17" s="473"/>
      <c r="V17" s="473"/>
      <c r="W17" s="473"/>
      <c r="X17" s="473"/>
      <c r="Y17" s="473"/>
      <c r="Z17" s="473"/>
      <c r="AA17" s="473"/>
      <c r="AB17" s="473"/>
      <c r="AC17" s="473"/>
    </row>
    <row r="18" spans="2:29" s="470" customFormat="1" ht="12.95" customHeight="1">
      <c r="B18" s="477" t="s">
        <v>612</v>
      </c>
      <c r="C18" s="478">
        <v>740</v>
      </c>
      <c r="D18" s="479">
        <f>Prihodi!D190</f>
        <v>100000</v>
      </c>
      <c r="E18" s="479">
        <f>Prihodi!E190</f>
        <v>250393</v>
      </c>
      <c r="F18" s="467">
        <f>Prihodi!G190</f>
        <v>350410</v>
      </c>
      <c r="G18" s="480">
        <f t="shared" si="0"/>
        <v>139.94400801939349</v>
      </c>
      <c r="H18" s="170"/>
      <c r="I18" s="473"/>
      <c r="J18" s="473"/>
      <c r="K18" s="473"/>
      <c r="L18" s="473"/>
      <c r="M18" s="473"/>
      <c r="N18" s="473"/>
      <c r="O18" s="473"/>
      <c r="P18" s="473"/>
      <c r="Q18" s="473"/>
      <c r="R18" s="473"/>
      <c r="S18" s="473"/>
      <c r="T18" s="473"/>
      <c r="U18" s="473"/>
      <c r="V18" s="473"/>
      <c r="W18" s="473"/>
      <c r="X18" s="473"/>
      <c r="Y18" s="473"/>
      <c r="Z18" s="473"/>
      <c r="AA18" s="473"/>
      <c r="AB18" s="473"/>
      <c r="AC18" s="473"/>
    </row>
    <row r="19" spans="2:29" s="470" customFormat="1" ht="12.95" customHeight="1">
      <c r="B19" s="477" t="s">
        <v>613</v>
      </c>
      <c r="C19" s="478">
        <v>770</v>
      </c>
      <c r="D19" s="479">
        <f>Prihodi!D219</f>
        <v>1320</v>
      </c>
      <c r="E19" s="479">
        <f>Prihodi!E219</f>
        <v>1320</v>
      </c>
      <c r="F19" s="467">
        <f>Prihodi!G219</f>
        <v>300</v>
      </c>
      <c r="G19" s="480">
        <f t="shared" si="0"/>
        <v>22.727272727272727</v>
      </c>
      <c r="H19" s="170"/>
      <c r="I19" s="473"/>
      <c r="J19" s="473"/>
      <c r="K19" s="473"/>
      <c r="L19" s="473"/>
      <c r="M19" s="473"/>
      <c r="N19" s="473"/>
      <c r="O19" s="473"/>
      <c r="P19" s="473"/>
      <c r="Q19" s="473"/>
      <c r="R19" s="473"/>
      <c r="S19" s="473"/>
      <c r="T19" s="473"/>
      <c r="U19" s="473"/>
      <c r="V19" s="473"/>
      <c r="W19" s="473"/>
      <c r="X19" s="473"/>
      <c r="Y19" s="473"/>
      <c r="Z19" s="473"/>
      <c r="AA19" s="473"/>
      <c r="AB19" s="473"/>
      <c r="AC19" s="473"/>
    </row>
    <row r="20" spans="2:29" s="470" customFormat="1" ht="14.1" customHeight="1">
      <c r="B20" s="485" t="s">
        <v>622</v>
      </c>
      <c r="C20" s="486"/>
      <c r="D20" s="487">
        <f>SUM(D21:D27)</f>
        <v>41039640</v>
      </c>
      <c r="E20" s="487">
        <f>SUM(E21:E27)</f>
        <v>41099640</v>
      </c>
      <c r="F20" s="515">
        <f>SUM(F21:F27)</f>
        <v>41102250</v>
      </c>
      <c r="G20" s="488">
        <f t="shared" si="0"/>
        <v>100.00635042058764</v>
      </c>
      <c r="H20" s="170"/>
      <c r="I20" s="473"/>
      <c r="J20" s="473"/>
      <c r="K20" s="473"/>
      <c r="L20" s="473"/>
      <c r="M20" s="473"/>
      <c r="N20" s="473"/>
      <c r="O20" s="473"/>
      <c r="P20" s="473"/>
      <c r="Q20" s="473"/>
      <c r="R20" s="473"/>
      <c r="S20" s="473"/>
      <c r="T20" s="473"/>
      <c r="U20" s="473"/>
      <c r="V20" s="473"/>
      <c r="W20" s="473"/>
      <c r="X20" s="473"/>
      <c r="Y20" s="473"/>
      <c r="Z20" s="473"/>
      <c r="AA20" s="473"/>
      <c r="AB20" s="473"/>
    </row>
    <row r="21" spans="2:29" s="489" customFormat="1" ht="12.95" customHeight="1">
      <c r="B21" s="481" t="s">
        <v>614</v>
      </c>
      <c r="C21" s="482">
        <v>600</v>
      </c>
      <c r="D21" s="479">
        <f>Rashodi!F9</f>
        <v>360000</v>
      </c>
      <c r="E21" s="479">
        <f>Rashodi!G9</f>
        <v>360000</v>
      </c>
      <c r="F21" s="467">
        <f>Rashodi!K9</f>
        <v>498000</v>
      </c>
      <c r="G21" s="484">
        <f t="shared" si="0"/>
        <v>138.33333333333334</v>
      </c>
      <c r="H21" s="490"/>
      <c r="I21" s="491"/>
      <c r="J21" s="491"/>
      <c r="K21" s="491"/>
      <c r="L21" s="491"/>
      <c r="M21" s="491"/>
      <c r="N21" s="491"/>
      <c r="O21" s="491"/>
      <c r="P21" s="491"/>
      <c r="Q21" s="491"/>
      <c r="R21" s="491"/>
      <c r="S21" s="491"/>
      <c r="T21" s="491"/>
      <c r="U21" s="491"/>
      <c r="V21" s="491"/>
      <c r="W21" s="491"/>
      <c r="X21" s="491"/>
      <c r="Y21" s="491"/>
      <c r="Z21" s="491"/>
      <c r="AA21" s="491"/>
      <c r="AB21" s="491"/>
    </row>
    <row r="22" spans="2:29" s="489" customFormat="1" ht="12.95" customHeight="1">
      <c r="B22" s="481" t="s">
        <v>615</v>
      </c>
      <c r="C22" s="482">
        <v>611</v>
      </c>
      <c r="D22" s="479">
        <f>Rashodi!F15</f>
        <v>22284570</v>
      </c>
      <c r="E22" s="479">
        <f>Rashodi!G15</f>
        <v>22284570</v>
      </c>
      <c r="F22" s="467">
        <f>Rashodi!K15</f>
        <v>21757980</v>
      </c>
      <c r="G22" s="484">
        <f t="shared" si="0"/>
        <v>97.636974821591807</v>
      </c>
      <c r="H22" s="490"/>
      <c r="I22" s="491"/>
      <c r="J22" s="491"/>
      <c r="K22" s="491"/>
      <c r="L22" s="491"/>
      <c r="M22" s="491"/>
      <c r="N22" s="491"/>
      <c r="O22" s="491"/>
      <c r="P22" s="491"/>
      <c r="Q22" s="491"/>
      <c r="R22" s="491"/>
      <c r="S22" s="491"/>
      <c r="T22" s="491"/>
      <c r="U22" s="491"/>
      <c r="V22" s="491"/>
      <c r="W22" s="491"/>
      <c r="X22" s="491"/>
      <c r="Y22" s="491"/>
      <c r="Z22" s="491"/>
      <c r="AA22" s="491"/>
      <c r="AB22" s="491"/>
    </row>
    <row r="23" spans="2:29" s="470" customFormat="1" ht="12.95" customHeight="1">
      <c r="B23" s="481" t="s">
        <v>616</v>
      </c>
      <c r="C23" s="482">
        <v>612</v>
      </c>
      <c r="D23" s="483">
        <f>Rashodi!F21</f>
        <v>2200640</v>
      </c>
      <c r="E23" s="483">
        <f>Rashodi!G21</f>
        <v>2200640</v>
      </c>
      <c r="F23" s="468">
        <f>Rashodi!K21</f>
        <v>2141380</v>
      </c>
      <c r="G23" s="484">
        <f t="shared" si="0"/>
        <v>97.307147011778397</v>
      </c>
      <c r="H23" s="170"/>
      <c r="I23" s="473"/>
      <c r="J23" s="473"/>
      <c r="K23" s="473"/>
      <c r="L23" s="473"/>
      <c r="M23" s="473"/>
      <c r="N23" s="473"/>
      <c r="O23" s="473"/>
      <c r="P23" s="473"/>
      <c r="Q23" s="473"/>
      <c r="R23" s="473"/>
      <c r="S23" s="473"/>
      <c r="T23" s="473"/>
      <c r="U23" s="473"/>
      <c r="V23" s="473"/>
      <c r="W23" s="473"/>
      <c r="X23" s="473"/>
      <c r="Y23" s="473"/>
      <c r="Z23" s="473"/>
      <c r="AA23" s="473"/>
      <c r="AB23" s="473"/>
      <c r="AC23" s="473"/>
    </row>
    <row r="24" spans="2:29" s="470" customFormat="1" ht="12.95" customHeight="1">
      <c r="B24" s="481" t="s">
        <v>617</v>
      </c>
      <c r="C24" s="482">
        <v>613</v>
      </c>
      <c r="D24" s="483">
        <f>Rashodi!F24</f>
        <v>4467680</v>
      </c>
      <c r="E24" s="483">
        <f>Rashodi!G24</f>
        <v>4467680</v>
      </c>
      <c r="F24" s="468">
        <f>Rashodi!K24</f>
        <v>3913180</v>
      </c>
      <c r="G24" s="484">
        <f>IF(E24=0,,F24/E24*100)</f>
        <v>87.588636607814351</v>
      </c>
      <c r="H24" s="170"/>
      <c r="I24" s="473"/>
      <c r="J24" s="473"/>
      <c r="K24" s="473"/>
      <c r="L24" s="473"/>
      <c r="M24" s="473"/>
      <c r="N24" s="473"/>
      <c r="O24" s="473"/>
      <c r="P24" s="473"/>
      <c r="Q24" s="473"/>
      <c r="R24" s="473"/>
      <c r="S24" s="473"/>
      <c r="T24" s="473"/>
      <c r="U24" s="473"/>
      <c r="V24" s="473"/>
      <c r="W24" s="473"/>
      <c r="X24" s="473"/>
      <c r="Y24" s="473"/>
      <c r="Z24" s="473"/>
      <c r="AA24" s="473"/>
      <c r="AB24" s="473"/>
    </row>
    <row r="25" spans="2:29" s="470" customFormat="1" ht="12.95" customHeight="1">
      <c r="B25" s="481" t="s">
        <v>618</v>
      </c>
      <c r="C25" s="482">
        <v>614</v>
      </c>
      <c r="D25" s="483">
        <f>Rashodi!F47</f>
        <v>10625000</v>
      </c>
      <c r="E25" s="483">
        <f>Rashodi!G47</f>
        <v>11385000</v>
      </c>
      <c r="F25" s="468">
        <f>Rashodi!K47</f>
        <v>12417000</v>
      </c>
      <c r="G25" s="484">
        <f t="shared" si="0"/>
        <v>109.06455862977602</v>
      </c>
      <c r="H25" s="170"/>
      <c r="I25" s="473"/>
      <c r="J25" s="473"/>
      <c r="K25" s="473"/>
      <c r="L25" s="473"/>
      <c r="M25" s="473"/>
      <c r="N25" s="473"/>
      <c r="O25" s="473"/>
      <c r="P25" s="473"/>
      <c r="Q25" s="473"/>
      <c r="R25" s="473"/>
      <c r="S25" s="473"/>
      <c r="T25" s="473"/>
      <c r="U25" s="473"/>
      <c r="V25" s="473"/>
      <c r="W25" s="473"/>
      <c r="X25" s="473"/>
      <c r="Y25" s="473"/>
      <c r="Z25" s="473"/>
      <c r="AA25" s="473"/>
      <c r="AB25" s="473"/>
    </row>
    <row r="26" spans="2:29" s="470" customFormat="1" ht="12.95" customHeight="1">
      <c r="B26" s="481" t="s">
        <v>619</v>
      </c>
      <c r="C26" s="482">
        <v>615</v>
      </c>
      <c r="D26" s="483">
        <f>Rashodi!F93</f>
        <v>1050000</v>
      </c>
      <c r="E26" s="483">
        <f>Rashodi!G93</f>
        <v>350000</v>
      </c>
      <c r="F26" s="468">
        <f>Rashodi!K93</f>
        <v>330000</v>
      </c>
      <c r="G26" s="484">
        <f>IF(E26=0,,F26/E26*100)</f>
        <v>94.285714285714278</v>
      </c>
      <c r="H26" s="170"/>
      <c r="I26" s="473"/>
      <c r="J26" s="473"/>
      <c r="K26" s="473"/>
      <c r="L26" s="473"/>
      <c r="M26" s="473"/>
      <c r="N26" s="473"/>
      <c r="O26" s="473"/>
      <c r="P26" s="473"/>
      <c r="Q26" s="473"/>
      <c r="R26" s="473"/>
      <c r="S26" s="473"/>
      <c r="T26" s="473"/>
      <c r="U26" s="473"/>
      <c r="V26" s="473"/>
      <c r="W26" s="473"/>
      <c r="X26" s="473"/>
      <c r="Y26" s="473"/>
      <c r="Z26" s="473"/>
      <c r="AA26" s="473"/>
      <c r="AB26" s="473"/>
    </row>
    <row r="27" spans="2:29" s="470" customFormat="1" ht="12.95" customHeight="1" thickBot="1">
      <c r="B27" s="492" t="s">
        <v>620</v>
      </c>
      <c r="C27" s="493">
        <v>616</v>
      </c>
      <c r="D27" s="494">
        <f>Rashodi!F99</f>
        <v>51750</v>
      </c>
      <c r="E27" s="494">
        <f>Rashodi!G99</f>
        <v>51750</v>
      </c>
      <c r="F27" s="469">
        <f>Rashodi!K99</f>
        <v>44710</v>
      </c>
      <c r="G27" s="495">
        <f t="shared" si="0"/>
        <v>86.39613526570048</v>
      </c>
      <c r="H27" s="170"/>
      <c r="I27" s="473"/>
      <c r="J27" s="473"/>
      <c r="K27" s="473"/>
      <c r="L27" s="473"/>
      <c r="M27" s="473"/>
      <c r="N27" s="473"/>
      <c r="O27" s="473"/>
      <c r="P27" s="473"/>
      <c r="Q27" s="473"/>
      <c r="R27" s="473"/>
      <c r="S27" s="473"/>
      <c r="T27" s="473"/>
      <c r="U27" s="473"/>
      <c r="V27" s="473"/>
      <c r="W27" s="473"/>
      <c r="X27" s="473"/>
      <c r="Y27" s="473"/>
      <c r="Z27" s="473"/>
      <c r="AA27" s="473"/>
      <c r="AB27" s="473"/>
    </row>
    <row r="28" spans="2:29" s="470" customFormat="1" ht="14.1" customHeight="1" thickTop="1" thickBot="1">
      <c r="B28" s="496" t="s">
        <v>623</v>
      </c>
      <c r="C28" s="497"/>
      <c r="D28" s="498">
        <f>D14-D20</f>
        <v>2370120</v>
      </c>
      <c r="E28" s="498">
        <f>E14-E20</f>
        <v>2520513</v>
      </c>
      <c r="F28" s="516">
        <f>F14-F20</f>
        <v>2478830</v>
      </c>
      <c r="G28" s="499">
        <f t="shared" si="0"/>
        <v>98.34624935479404</v>
      </c>
      <c r="H28" s="170"/>
      <c r="I28" s="473"/>
      <c r="J28" s="473"/>
      <c r="K28" s="473"/>
      <c r="L28" s="473"/>
      <c r="M28" s="473"/>
      <c r="N28" s="473"/>
      <c r="O28" s="473"/>
      <c r="P28" s="473"/>
      <c r="Q28" s="473"/>
      <c r="R28" s="473"/>
      <c r="S28" s="473"/>
      <c r="T28" s="473"/>
      <c r="U28" s="473"/>
      <c r="V28" s="473"/>
      <c r="W28" s="473"/>
      <c r="X28" s="473"/>
      <c r="Y28" s="473"/>
      <c r="Z28" s="473"/>
      <c r="AA28" s="473"/>
      <c r="AB28" s="473"/>
    </row>
    <row r="29" spans="2:29" s="470" customFormat="1" ht="14.1" customHeight="1" thickTop="1">
      <c r="B29" s="485" t="s">
        <v>624</v>
      </c>
      <c r="C29" s="486">
        <v>811</v>
      </c>
      <c r="D29" s="487">
        <f>Prihodi!D225</f>
        <v>0</v>
      </c>
      <c r="E29" s="487">
        <f>Prihodi!E225</f>
        <v>0</v>
      </c>
      <c r="F29" s="515">
        <f>Prihodi!G225</f>
        <v>5770</v>
      </c>
      <c r="G29" s="488">
        <f t="shared" si="0"/>
        <v>0</v>
      </c>
      <c r="H29" s="170"/>
      <c r="I29" s="473"/>
      <c r="J29" s="473"/>
      <c r="K29" s="473"/>
      <c r="L29" s="473"/>
      <c r="M29" s="473"/>
      <c r="N29" s="473"/>
      <c r="O29" s="473"/>
      <c r="P29" s="473"/>
      <c r="Q29" s="473"/>
      <c r="R29" s="473"/>
      <c r="S29" s="473"/>
      <c r="T29" s="473"/>
      <c r="U29" s="473"/>
      <c r="V29" s="473"/>
      <c r="W29" s="473"/>
      <c r="X29" s="473"/>
      <c r="Y29" s="473"/>
      <c r="Z29" s="473"/>
      <c r="AA29" s="473"/>
      <c r="AB29" s="473"/>
    </row>
    <row r="30" spans="2:29" s="470" customFormat="1" ht="14.1" customHeight="1">
      <c r="B30" s="485" t="s">
        <v>625</v>
      </c>
      <c r="C30" s="486">
        <v>821</v>
      </c>
      <c r="D30" s="487">
        <f>D31</f>
        <v>1829000</v>
      </c>
      <c r="E30" s="487">
        <f>E31</f>
        <v>1979393</v>
      </c>
      <c r="F30" s="515">
        <f>F31</f>
        <v>1959310</v>
      </c>
      <c r="G30" s="488">
        <f t="shared" si="0"/>
        <v>98.985396027974232</v>
      </c>
      <c r="H30" s="170"/>
      <c r="I30" s="473"/>
      <c r="J30" s="473"/>
      <c r="K30" s="473"/>
      <c r="L30" s="473"/>
      <c r="M30" s="473"/>
      <c r="N30" s="473"/>
      <c r="O30" s="473"/>
      <c r="P30" s="473"/>
      <c r="Q30" s="473"/>
      <c r="R30" s="473"/>
      <c r="S30" s="473"/>
      <c r="T30" s="473"/>
      <c r="U30" s="473"/>
      <c r="V30" s="473"/>
      <c r="W30" s="473"/>
      <c r="X30" s="473"/>
      <c r="Y30" s="473"/>
      <c r="Z30" s="473"/>
      <c r="AA30" s="473"/>
      <c r="AB30" s="473"/>
    </row>
    <row r="31" spans="2:29" s="470" customFormat="1" ht="12.95" customHeight="1" thickBot="1">
      <c r="B31" s="481" t="s">
        <v>461</v>
      </c>
      <c r="C31" s="482">
        <v>821</v>
      </c>
      <c r="D31" s="483">
        <f>Rashodi!F106</f>
        <v>1829000</v>
      </c>
      <c r="E31" s="483">
        <f>Rashodi!G106</f>
        <v>1979393</v>
      </c>
      <c r="F31" s="468">
        <f>Rashodi!K106</f>
        <v>1959310</v>
      </c>
      <c r="G31" s="484">
        <f>IF(E31=0,,F31/E31*100)</f>
        <v>98.985396027974232</v>
      </c>
      <c r="H31" s="170"/>
      <c r="I31" s="473"/>
      <c r="J31" s="473"/>
      <c r="K31" s="473"/>
      <c r="L31" s="473"/>
      <c r="M31" s="473"/>
      <c r="N31" s="473"/>
      <c r="O31" s="473"/>
      <c r="P31" s="473"/>
      <c r="Q31" s="473"/>
      <c r="R31" s="473"/>
      <c r="S31" s="473"/>
      <c r="T31" s="473"/>
      <c r="U31" s="473"/>
      <c r="V31" s="473"/>
      <c r="W31" s="473"/>
      <c r="X31" s="473"/>
      <c r="Y31" s="473"/>
      <c r="Z31" s="473"/>
      <c r="AA31" s="473"/>
      <c r="AB31" s="473"/>
      <c r="AC31" s="473"/>
    </row>
    <row r="32" spans="2:29" s="470" customFormat="1" ht="14.1" customHeight="1" thickTop="1" thickBot="1">
      <c r="B32" s="500" t="s">
        <v>626</v>
      </c>
      <c r="C32" s="501"/>
      <c r="D32" s="502">
        <f>D29-D30</f>
        <v>-1829000</v>
      </c>
      <c r="E32" s="502">
        <f>E29-E30</f>
        <v>-1979393</v>
      </c>
      <c r="F32" s="517">
        <f>F29-F30</f>
        <v>-1953540</v>
      </c>
      <c r="G32" s="503">
        <f t="shared" si="0"/>
        <v>98.693892521596268</v>
      </c>
      <c r="H32" s="170"/>
      <c r="I32" s="473"/>
      <c r="J32" s="473"/>
      <c r="K32" s="473"/>
      <c r="L32" s="473"/>
      <c r="M32" s="473"/>
      <c r="N32" s="473"/>
      <c r="O32" s="473"/>
      <c r="P32" s="473"/>
      <c r="Q32" s="473"/>
      <c r="R32" s="473"/>
      <c r="S32" s="473"/>
      <c r="T32" s="473"/>
      <c r="U32" s="473"/>
      <c r="V32" s="473"/>
      <c r="W32" s="473"/>
      <c r="X32" s="473"/>
      <c r="Y32" s="473"/>
      <c r="Z32" s="473"/>
      <c r="AA32" s="473"/>
      <c r="AB32" s="473"/>
    </row>
    <row r="33" spans="2:29" s="470" customFormat="1" ht="19.5" customHeight="1" thickTop="1" thickBot="1">
      <c r="B33" s="496" t="s">
        <v>627</v>
      </c>
      <c r="C33" s="497"/>
      <c r="D33" s="504">
        <f>D28+D32</f>
        <v>541120</v>
      </c>
      <c r="E33" s="504">
        <f>E28+E32</f>
        <v>541120</v>
      </c>
      <c r="F33" s="518">
        <f>F28+F32</f>
        <v>525290</v>
      </c>
      <c r="G33" s="499">
        <f t="shared" si="0"/>
        <v>97.074586043761087</v>
      </c>
      <c r="H33" s="170"/>
      <c r="I33" s="473"/>
      <c r="J33" s="473"/>
      <c r="K33" s="473"/>
      <c r="L33" s="473"/>
      <c r="M33" s="473"/>
      <c r="N33" s="473"/>
      <c r="O33" s="473"/>
      <c r="P33" s="473"/>
      <c r="Q33" s="473"/>
      <c r="R33" s="473"/>
      <c r="S33" s="473"/>
      <c r="T33" s="473"/>
      <c r="U33" s="473"/>
      <c r="V33" s="473"/>
      <c r="W33" s="473"/>
      <c r="X33" s="473"/>
      <c r="Y33" s="473"/>
      <c r="Z33" s="473"/>
      <c r="AA33" s="473"/>
      <c r="AB33" s="473"/>
    </row>
    <row r="34" spans="2:29" s="470" customFormat="1" ht="14.1" customHeight="1" thickTop="1">
      <c r="B34" s="485" t="s">
        <v>628</v>
      </c>
      <c r="C34" s="486" t="s">
        <v>607</v>
      </c>
      <c r="D34" s="487">
        <f>0</f>
        <v>0</v>
      </c>
      <c r="E34" s="487">
        <f>0</f>
        <v>0</v>
      </c>
      <c r="F34" s="515">
        <f>0</f>
        <v>0</v>
      </c>
      <c r="G34" s="488">
        <f t="shared" si="0"/>
        <v>0</v>
      </c>
      <c r="H34" s="170"/>
      <c r="I34" s="473"/>
      <c r="J34" s="473"/>
      <c r="K34" s="473"/>
      <c r="L34" s="473"/>
      <c r="M34" s="473"/>
      <c r="N34" s="473"/>
      <c r="O34" s="473"/>
      <c r="P34" s="473"/>
      <c r="Q34" s="473"/>
      <c r="R34" s="473"/>
      <c r="S34" s="473"/>
      <c r="T34" s="473"/>
      <c r="U34" s="473"/>
      <c r="V34" s="473"/>
      <c r="W34" s="473"/>
      <c r="X34" s="473"/>
      <c r="Y34" s="473"/>
      <c r="Z34" s="473"/>
      <c r="AA34" s="473"/>
      <c r="AB34" s="473"/>
    </row>
    <row r="35" spans="2:29" s="470" customFormat="1" ht="14.1" customHeight="1">
      <c r="B35" s="505" t="s">
        <v>629</v>
      </c>
      <c r="C35" s="506" t="s">
        <v>606</v>
      </c>
      <c r="D35" s="507">
        <f>D36</f>
        <v>527820</v>
      </c>
      <c r="E35" s="507">
        <f>E36</f>
        <v>527820</v>
      </c>
      <c r="F35" s="519">
        <f>F36</f>
        <v>518280</v>
      </c>
      <c r="G35" s="488">
        <f t="shared" si="0"/>
        <v>98.192565647379794</v>
      </c>
      <c r="H35" s="170"/>
      <c r="I35" s="473"/>
      <c r="J35" s="473"/>
      <c r="K35" s="473"/>
      <c r="L35" s="473"/>
      <c r="M35" s="473"/>
      <c r="N35" s="473"/>
      <c r="O35" s="473"/>
      <c r="P35" s="473"/>
      <c r="Q35" s="473"/>
      <c r="R35" s="473"/>
      <c r="S35" s="473"/>
      <c r="T35" s="473"/>
      <c r="U35" s="473"/>
      <c r="V35" s="473"/>
      <c r="W35" s="473"/>
      <c r="X35" s="473"/>
      <c r="Y35" s="473"/>
      <c r="Z35" s="473"/>
      <c r="AA35" s="473"/>
      <c r="AB35" s="473"/>
    </row>
    <row r="36" spans="2:29" s="470" customFormat="1" ht="12.95" customHeight="1" thickBot="1">
      <c r="B36" s="481" t="s">
        <v>333</v>
      </c>
      <c r="C36" s="482">
        <v>823</v>
      </c>
      <c r="D36" s="483">
        <f>Rashodi!F114</f>
        <v>527820</v>
      </c>
      <c r="E36" s="483">
        <f>Rashodi!G114</f>
        <v>527820</v>
      </c>
      <c r="F36" s="468">
        <f>Rashodi!K114</f>
        <v>518280</v>
      </c>
      <c r="G36" s="484">
        <f t="shared" si="0"/>
        <v>98.192565647379794</v>
      </c>
      <c r="H36" s="170"/>
      <c r="I36" s="473"/>
      <c r="J36" s="473"/>
      <c r="K36" s="473"/>
      <c r="L36" s="473"/>
      <c r="M36" s="473"/>
      <c r="N36" s="473"/>
      <c r="O36" s="473"/>
      <c r="P36" s="473"/>
      <c r="Q36" s="473"/>
      <c r="R36" s="473"/>
      <c r="S36" s="473"/>
      <c r="T36" s="473"/>
      <c r="U36" s="473"/>
      <c r="V36" s="473"/>
      <c r="W36" s="473"/>
      <c r="X36" s="473"/>
      <c r="Y36" s="473"/>
      <c r="Z36" s="473"/>
      <c r="AA36" s="473"/>
      <c r="AB36" s="473"/>
      <c r="AC36" s="473"/>
    </row>
    <row r="37" spans="2:29" s="470" customFormat="1" ht="14.1" customHeight="1" thickTop="1" thickBot="1">
      <c r="B37" s="500" t="s">
        <v>630</v>
      </c>
      <c r="C37" s="501"/>
      <c r="D37" s="502">
        <f>D34-D35</f>
        <v>-527820</v>
      </c>
      <c r="E37" s="502">
        <f>E34-E35</f>
        <v>-527820</v>
      </c>
      <c r="F37" s="517">
        <f>F34-F35</f>
        <v>-518280</v>
      </c>
      <c r="G37" s="503">
        <f t="shared" si="0"/>
        <v>98.192565647379794</v>
      </c>
      <c r="H37" s="170"/>
      <c r="I37" s="473"/>
      <c r="J37" s="473"/>
      <c r="K37" s="473"/>
      <c r="L37" s="473"/>
      <c r="M37" s="473"/>
      <c r="N37" s="473"/>
      <c r="O37" s="473"/>
      <c r="P37" s="473"/>
      <c r="Q37" s="473"/>
      <c r="R37" s="473"/>
      <c r="S37" s="473"/>
      <c r="T37" s="473"/>
      <c r="U37" s="473"/>
      <c r="V37" s="473"/>
      <c r="W37" s="473"/>
      <c r="X37" s="473"/>
      <c r="Y37" s="473"/>
      <c r="Z37" s="473"/>
      <c r="AA37" s="473"/>
      <c r="AB37" s="473"/>
    </row>
    <row r="38" spans="2:29" s="470" customFormat="1" ht="14.1" customHeight="1" thickTop="1" thickBot="1">
      <c r="B38" s="500" t="s">
        <v>631</v>
      </c>
      <c r="C38" s="501"/>
      <c r="D38" s="502">
        <f>D33+D37</f>
        <v>13300</v>
      </c>
      <c r="E38" s="502">
        <f>E33+E37</f>
        <v>13300</v>
      </c>
      <c r="F38" s="517">
        <f>F33+F37</f>
        <v>7010</v>
      </c>
      <c r="G38" s="503">
        <f t="shared" si="0"/>
        <v>52.706766917293237</v>
      </c>
      <c r="H38" s="170"/>
      <c r="I38" s="473"/>
      <c r="J38" s="473"/>
      <c r="K38" s="473"/>
      <c r="L38" s="473"/>
      <c r="M38" s="473"/>
      <c r="N38" s="473"/>
      <c r="O38" s="473"/>
      <c r="P38" s="473"/>
      <c r="Q38" s="473"/>
      <c r="R38" s="473"/>
      <c r="S38" s="473"/>
      <c r="T38" s="473"/>
      <c r="U38" s="473"/>
      <c r="V38" s="473"/>
      <c r="W38" s="473"/>
      <c r="X38" s="473"/>
      <c r="Y38" s="473"/>
      <c r="Z38" s="473"/>
      <c r="AA38" s="473"/>
      <c r="AB38" s="473"/>
    </row>
    <row r="39" spans="2:29" s="470" customFormat="1" ht="9" customHeight="1" thickTop="1">
      <c r="B39" s="508"/>
      <c r="C39" s="509"/>
      <c r="D39" s="510"/>
      <c r="E39" s="510"/>
      <c r="F39" s="520"/>
      <c r="G39" s="511"/>
      <c r="H39" s="170"/>
      <c r="I39" s="473"/>
      <c r="J39" s="473"/>
      <c r="K39" s="473"/>
      <c r="L39" s="473"/>
      <c r="M39" s="473"/>
      <c r="N39" s="473"/>
      <c r="O39" s="473"/>
      <c r="P39" s="473"/>
      <c r="Q39" s="473"/>
      <c r="R39" s="473"/>
      <c r="S39" s="473"/>
      <c r="T39" s="473"/>
      <c r="U39" s="473"/>
      <c r="V39" s="473"/>
      <c r="W39" s="473"/>
      <c r="X39" s="473"/>
      <c r="Y39" s="473"/>
      <c r="Z39" s="473"/>
      <c r="AA39" s="473"/>
      <c r="AB39" s="473"/>
    </row>
    <row r="40" spans="2:29" s="470" customFormat="1" ht="14.1" customHeight="1">
      <c r="B40" s="485" t="s">
        <v>632</v>
      </c>
      <c r="C40" s="486"/>
      <c r="D40" s="487">
        <f>D14+D29+D34</f>
        <v>43409760</v>
      </c>
      <c r="E40" s="487">
        <f>E14+E29+E34</f>
        <v>43620153</v>
      </c>
      <c r="F40" s="515">
        <f>F14+F29+F34</f>
        <v>43586850</v>
      </c>
      <c r="G40" s="488">
        <f t="shared" si="0"/>
        <v>99.92365226229262</v>
      </c>
      <c r="H40" s="170"/>
      <c r="I40" s="512"/>
      <c r="J40" s="512"/>
      <c r="K40" s="473"/>
      <c r="L40" s="473"/>
      <c r="M40" s="473"/>
      <c r="N40" s="473"/>
      <c r="O40" s="473"/>
      <c r="P40" s="473"/>
      <c r="Q40" s="473"/>
      <c r="R40" s="473"/>
      <c r="S40" s="473"/>
      <c r="T40" s="473"/>
      <c r="U40" s="473"/>
      <c r="V40" s="473"/>
      <c r="W40" s="473"/>
      <c r="X40" s="473"/>
      <c r="Y40" s="473"/>
      <c r="Z40" s="473"/>
      <c r="AA40" s="473"/>
      <c r="AB40" s="473"/>
    </row>
    <row r="41" spans="2:29" s="470" customFormat="1" ht="14.1" customHeight="1">
      <c r="B41" s="485" t="s">
        <v>633</v>
      </c>
      <c r="C41" s="486"/>
      <c r="D41" s="487">
        <f>D20+D30+D35</f>
        <v>43396460</v>
      </c>
      <c r="E41" s="487">
        <f>E20+E30+E35</f>
        <v>43606853</v>
      </c>
      <c r="F41" s="515">
        <f>F20+F30+F35</f>
        <v>43579840</v>
      </c>
      <c r="G41" s="488">
        <f t="shared" si="0"/>
        <v>99.938053314693448</v>
      </c>
      <c r="H41" s="170"/>
      <c r="I41" s="473"/>
      <c r="J41" s="512"/>
      <c r="K41" s="473"/>
      <c r="L41" s="473"/>
      <c r="M41" s="473"/>
      <c r="N41" s="473"/>
      <c r="O41" s="473"/>
      <c r="P41" s="473"/>
      <c r="Q41" s="473"/>
      <c r="R41" s="473"/>
      <c r="S41" s="473"/>
      <c r="T41" s="473"/>
      <c r="U41" s="473"/>
      <c r="V41" s="473"/>
      <c r="W41" s="473"/>
      <c r="X41" s="473"/>
      <c r="Y41" s="473"/>
      <c r="Z41" s="473"/>
      <c r="AA41" s="473"/>
      <c r="AB41" s="473"/>
    </row>
    <row r="42" spans="2:29" s="470" customFormat="1" ht="14.1" customHeight="1">
      <c r="B42" s="485" t="s">
        <v>634</v>
      </c>
      <c r="C42" s="486"/>
      <c r="D42" s="487">
        <f>D40-D41</f>
        <v>13300</v>
      </c>
      <c r="E42" s="487">
        <f>E40-E41</f>
        <v>13300</v>
      </c>
      <c r="F42" s="515">
        <f>F40-F41</f>
        <v>7010</v>
      </c>
      <c r="G42" s="488">
        <f t="shared" si="0"/>
        <v>52.706766917293237</v>
      </c>
      <c r="I42" s="473"/>
      <c r="J42" s="512"/>
      <c r="K42" s="473"/>
      <c r="L42" s="473"/>
      <c r="M42" s="473"/>
      <c r="N42" s="473"/>
      <c r="O42" s="473"/>
      <c r="P42" s="473"/>
      <c r="Q42" s="473"/>
      <c r="R42" s="473"/>
      <c r="S42" s="473"/>
      <c r="T42" s="473"/>
      <c r="U42" s="473"/>
      <c r="V42" s="473"/>
      <c r="W42" s="473"/>
      <c r="X42" s="473"/>
      <c r="Y42" s="473"/>
      <c r="Z42" s="473"/>
      <c r="AA42" s="473"/>
      <c r="AB42" s="473"/>
      <c r="AC42" s="473"/>
    </row>
    <row r="43" spans="2:29" ht="7.5" customHeight="1">
      <c r="B43" s="149"/>
      <c r="C43" s="149"/>
      <c r="D43" s="211"/>
      <c r="E43" s="211"/>
      <c r="F43" s="211"/>
      <c r="G43" s="212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</row>
    <row r="44" spans="2:29" ht="15" customHeight="1">
      <c r="B44" s="37" t="s">
        <v>191</v>
      </c>
      <c r="C44" s="37"/>
      <c r="E44" s="545"/>
      <c r="F44" s="74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</row>
    <row r="45" spans="2:29" ht="15" customHeight="1">
      <c r="B45" s="684" t="s">
        <v>876</v>
      </c>
      <c r="C45" s="684"/>
      <c r="D45" s="684"/>
      <c r="E45" s="684"/>
      <c r="F45" s="826"/>
      <c r="G45" s="684"/>
      <c r="H45" s="684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</row>
    <row r="46" spans="2:29" ht="15.75" customHeight="1">
      <c r="B46" s="858" t="s">
        <v>877</v>
      </c>
      <c r="C46" s="858"/>
      <c r="D46" s="858"/>
      <c r="E46" s="858"/>
      <c r="F46" s="858"/>
      <c r="G46" s="858"/>
      <c r="H46" s="858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</row>
    <row r="47" spans="2:29" ht="15" customHeight="1">
      <c r="B47" s="60"/>
      <c r="C47" s="60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</row>
    <row r="48" spans="2:29" ht="15" customHeight="1"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</row>
    <row r="49" spans="2:29" ht="15" customHeight="1"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</row>
    <row r="50" spans="2:29" ht="15" customHeight="1"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</row>
    <row r="51" spans="2:29" ht="15" customHeight="1"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</row>
    <row r="52" spans="2:29" ht="15" customHeight="1"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</row>
    <row r="53" spans="2:29" ht="15" customHeight="1"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</row>
    <row r="54" spans="2:29" ht="15" customHeight="1"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</row>
    <row r="55" spans="2:29" ht="15" customHeight="1"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</row>
    <row r="56" spans="2:29" ht="15" customHeight="1"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</row>
    <row r="57" spans="2:29" ht="15" customHeight="1"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</row>
    <row r="58" spans="2:29" ht="15" customHeight="1"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</row>
    <row r="59" spans="2:29" ht="15" customHeight="1"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</row>
    <row r="60" spans="2:29" ht="15" customHeight="1"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</row>
    <row r="61" spans="2:29" ht="15" customHeight="1"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</row>
    <row r="62" spans="2:29" ht="15" customHeight="1"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</row>
    <row r="63" spans="2:29" ht="15" customHeight="1"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</row>
    <row r="64" spans="2:29" ht="15" customHeight="1"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</row>
    <row r="65" spans="2:29" ht="15" customHeight="1"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</row>
    <row r="66" spans="2:29" ht="15" customHeight="1"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</row>
    <row r="67" spans="2:29" ht="15" customHeight="1"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</row>
    <row r="68" spans="2:29" ht="15" customHeight="1"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</row>
    <row r="69" spans="2:29" ht="15" customHeight="1"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</row>
    <row r="70" spans="2:29" ht="15" customHeight="1"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</row>
    <row r="71" spans="2:29" ht="15" customHeight="1"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</row>
    <row r="72" spans="2:29" ht="15" customHeight="1"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</row>
    <row r="73" spans="2:29" ht="15" customHeight="1"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</row>
    <row r="74" spans="2:29" ht="15" customHeight="1"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</row>
    <row r="75" spans="2:29" ht="15" customHeight="1"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</row>
    <row r="76" spans="2:29" ht="15" customHeight="1"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</row>
    <row r="77" spans="2:29" ht="15" customHeight="1"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</row>
    <row r="78" spans="2:29" ht="15" customHeight="1"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</row>
    <row r="79" spans="2:29" ht="15" customHeight="1"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</row>
    <row r="80" spans="2:29" ht="15" customHeight="1"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</row>
    <row r="81" spans="2:29" ht="15" customHeight="1"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</row>
    <row r="82" spans="2:29" ht="15" customHeight="1"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</row>
    <row r="83" spans="2:29" ht="15" customHeight="1"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</row>
    <row r="84" spans="2:29" ht="15" customHeight="1"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</row>
    <row r="85" spans="2:29" ht="15" customHeight="1"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</row>
    <row r="86" spans="2:29" ht="15" customHeight="1"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</row>
    <row r="87" spans="2:29" ht="15" customHeight="1"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</row>
    <row r="88" spans="2:29" ht="15" customHeight="1"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</row>
    <row r="89" spans="2:29" ht="15" customHeight="1"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</row>
    <row r="90" spans="2:29" ht="15" customHeight="1"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</row>
    <row r="91" spans="2:29" ht="15" customHeight="1"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</row>
    <row r="92" spans="2:29" ht="15" customHeight="1"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  <c r="AA92" s="59"/>
      <c r="AB92" s="59"/>
      <c r="AC92" s="59"/>
    </row>
    <row r="93" spans="2:29" ht="15" customHeight="1"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</row>
    <row r="94" spans="2:29" ht="15" customHeight="1"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</row>
    <row r="95" spans="2:29" ht="15" customHeight="1"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/>
    </row>
    <row r="96" spans="2:29" ht="15" customHeight="1"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</row>
    <row r="97" spans="2:29" ht="15" customHeight="1">
      <c r="B97" s="59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</row>
    <row r="98" spans="2:29" ht="15" customHeight="1">
      <c r="B98" s="59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  <c r="AA98" s="59"/>
      <c r="AB98" s="59"/>
      <c r="AC98" s="59"/>
    </row>
    <row r="99" spans="2:29" ht="15" customHeight="1"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</row>
    <row r="100" spans="2:29" ht="15" customHeight="1"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  <c r="AA100" s="59"/>
      <c r="AB100" s="59"/>
      <c r="AC100" s="59"/>
    </row>
    <row r="101" spans="2:29" ht="15" customHeight="1">
      <c r="B101" s="59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59"/>
      <c r="Y101" s="59"/>
      <c r="Z101" s="59"/>
      <c r="AA101" s="59"/>
      <c r="AB101" s="59"/>
      <c r="AC101" s="59"/>
    </row>
    <row r="102" spans="2:29" ht="15" customHeight="1"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  <c r="AA102" s="59"/>
      <c r="AB102" s="59"/>
      <c r="AC102" s="59"/>
    </row>
    <row r="103" spans="2:29" ht="15" customHeight="1"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59"/>
      <c r="AA103" s="59"/>
      <c r="AB103" s="59"/>
      <c r="AC103" s="59"/>
    </row>
    <row r="104" spans="2:29" ht="15" customHeight="1">
      <c r="B104" s="59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59"/>
      <c r="AA104" s="59"/>
      <c r="AB104" s="59"/>
      <c r="AC104" s="59"/>
    </row>
    <row r="105" spans="2:29" ht="15" customHeight="1">
      <c r="B105" s="59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9"/>
      <c r="Z105" s="59"/>
      <c r="AA105" s="59"/>
      <c r="AB105" s="59"/>
      <c r="AC105" s="59"/>
    </row>
    <row r="106" spans="2:29" ht="15" customHeight="1">
      <c r="B106" s="59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  <c r="AA106" s="59"/>
      <c r="AB106" s="59"/>
      <c r="AC106" s="59"/>
    </row>
    <row r="107" spans="2:29" ht="15" customHeight="1">
      <c r="B107" s="59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9"/>
      <c r="Z107" s="59"/>
      <c r="AA107" s="59"/>
      <c r="AB107" s="59"/>
      <c r="AC107" s="59"/>
    </row>
    <row r="108" spans="2:29" ht="15" customHeight="1">
      <c r="B108" s="59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9"/>
      <c r="Z108" s="59"/>
      <c r="AA108" s="59"/>
      <c r="AB108" s="59"/>
      <c r="AC108" s="59"/>
    </row>
    <row r="109" spans="2:29" ht="15" customHeight="1"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9"/>
      <c r="Z109" s="59"/>
      <c r="AA109" s="59"/>
      <c r="AB109" s="59"/>
      <c r="AC109" s="59"/>
    </row>
    <row r="110" spans="2:29" ht="15" customHeight="1"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9"/>
      <c r="Z110" s="59"/>
      <c r="AA110" s="59"/>
      <c r="AB110" s="59"/>
      <c r="AC110" s="59"/>
    </row>
    <row r="111" spans="2:29" ht="15" customHeight="1"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9"/>
      <c r="Z111" s="59"/>
      <c r="AA111" s="59"/>
      <c r="AB111" s="59"/>
      <c r="AC111" s="59"/>
    </row>
    <row r="112" spans="2:29" ht="15" customHeight="1"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9"/>
      <c r="Z112" s="59"/>
      <c r="AA112" s="59"/>
      <c r="AB112" s="59"/>
      <c r="AC112" s="59"/>
    </row>
    <row r="113" spans="2:29" ht="15" customHeight="1">
      <c r="B113" s="59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/>
      <c r="Y113" s="59"/>
      <c r="Z113" s="59"/>
      <c r="AA113" s="59"/>
      <c r="AB113" s="59"/>
      <c r="AC113" s="59"/>
    </row>
    <row r="114" spans="2:29" ht="15" customHeight="1">
      <c r="B114" s="59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59"/>
      <c r="Y114" s="59"/>
      <c r="Z114" s="59"/>
      <c r="AA114" s="59"/>
      <c r="AB114" s="59"/>
      <c r="AC114" s="59"/>
    </row>
    <row r="115" spans="2:29" ht="15" customHeight="1">
      <c r="B115" s="59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59"/>
      <c r="Z115" s="59"/>
      <c r="AA115" s="59"/>
      <c r="AB115" s="59"/>
      <c r="AC115" s="59"/>
    </row>
    <row r="116" spans="2:29" ht="15" customHeight="1">
      <c r="B116" s="59"/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59"/>
      <c r="Y116" s="59"/>
      <c r="Z116" s="59"/>
      <c r="AA116" s="59"/>
      <c r="AB116" s="59"/>
      <c r="AC116" s="59"/>
    </row>
    <row r="117" spans="2:29" ht="15" customHeight="1">
      <c r="B117" s="59"/>
      <c r="C117" s="59"/>
      <c r="D117" s="59"/>
      <c r="E117" s="59"/>
      <c r="F117" s="59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59"/>
      <c r="V117" s="59"/>
      <c r="W117" s="59"/>
      <c r="X117" s="59"/>
      <c r="Y117" s="59"/>
      <c r="Z117" s="59"/>
      <c r="AA117" s="59"/>
      <c r="AB117" s="59"/>
      <c r="AC117" s="59"/>
    </row>
    <row r="118" spans="2:29" ht="15" customHeight="1">
      <c r="B118" s="59"/>
      <c r="C118" s="59"/>
      <c r="D118" s="59"/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59"/>
      <c r="Y118" s="59"/>
      <c r="Z118" s="59"/>
      <c r="AA118" s="59"/>
      <c r="AB118" s="59"/>
      <c r="AC118" s="59"/>
    </row>
    <row r="119" spans="2:29" ht="15" customHeight="1">
      <c r="B119" s="59"/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9"/>
      <c r="Y119" s="59"/>
      <c r="Z119" s="59"/>
      <c r="AA119" s="59"/>
      <c r="AB119" s="59"/>
      <c r="AC119" s="59"/>
    </row>
    <row r="120" spans="2:29" ht="15" customHeight="1">
      <c r="B120" s="59"/>
      <c r="C120" s="59"/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59"/>
      <c r="Y120" s="59"/>
      <c r="Z120" s="59"/>
      <c r="AA120" s="59"/>
      <c r="AB120" s="59"/>
      <c r="AC120" s="59"/>
    </row>
    <row r="121" spans="2:29" ht="15" customHeight="1">
      <c r="B121" s="59"/>
      <c r="C121" s="59"/>
      <c r="D121" s="59"/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59"/>
      <c r="Y121" s="59"/>
      <c r="Z121" s="59"/>
      <c r="AA121" s="59"/>
      <c r="AB121" s="59"/>
      <c r="AC121" s="59"/>
    </row>
    <row r="122" spans="2:29" ht="15" customHeight="1">
      <c r="B122" s="59"/>
      <c r="C122" s="59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59"/>
      <c r="X122" s="59"/>
      <c r="Y122" s="59"/>
      <c r="Z122" s="59"/>
      <c r="AA122" s="59"/>
      <c r="AB122" s="59"/>
      <c r="AC122" s="59"/>
    </row>
    <row r="123" spans="2:29" ht="15" customHeight="1">
      <c r="B123" s="59"/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59"/>
      <c r="Y123" s="59"/>
      <c r="Z123" s="59"/>
      <c r="AA123" s="59"/>
      <c r="AB123" s="59"/>
      <c r="AC123" s="59"/>
    </row>
    <row r="124" spans="2:29" ht="15" customHeight="1">
      <c r="B124" s="59"/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59"/>
      <c r="Y124" s="59"/>
      <c r="Z124" s="59"/>
      <c r="AA124" s="59"/>
      <c r="AB124" s="59"/>
      <c r="AC124" s="59"/>
    </row>
    <row r="125" spans="2:29" ht="15" customHeight="1">
      <c r="B125" s="59"/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59"/>
      <c r="V125" s="59"/>
      <c r="W125" s="59"/>
      <c r="X125" s="59"/>
      <c r="Y125" s="59"/>
      <c r="Z125" s="59"/>
      <c r="AA125" s="59"/>
      <c r="AB125" s="59"/>
      <c r="AC125" s="59"/>
    </row>
    <row r="126" spans="2:29" ht="15" customHeight="1">
      <c r="B126" s="59"/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59"/>
      <c r="Y126" s="59"/>
      <c r="Z126" s="59"/>
      <c r="AA126" s="59"/>
      <c r="AB126" s="59"/>
      <c r="AC126" s="59"/>
    </row>
    <row r="127" spans="2:29" ht="15" customHeight="1">
      <c r="B127" s="59"/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59"/>
      <c r="W127" s="59"/>
      <c r="X127" s="59"/>
      <c r="Y127" s="59"/>
      <c r="Z127" s="59"/>
      <c r="AA127" s="59"/>
      <c r="AB127" s="59"/>
      <c r="AC127" s="59"/>
    </row>
    <row r="128" spans="2:29" ht="15" customHeight="1">
      <c r="B128" s="59"/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59"/>
      <c r="W128" s="59"/>
      <c r="X128" s="59"/>
      <c r="Y128" s="59"/>
      <c r="Z128" s="59"/>
      <c r="AA128" s="59"/>
      <c r="AB128" s="59"/>
      <c r="AC128" s="59"/>
    </row>
    <row r="129" spans="2:29" ht="15" customHeight="1">
      <c r="B129" s="59"/>
      <c r="C129" s="59"/>
      <c r="D129" s="59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59"/>
      <c r="Y129" s="59"/>
      <c r="Z129" s="59"/>
      <c r="AA129" s="59"/>
      <c r="AB129" s="59"/>
      <c r="AC129" s="59"/>
    </row>
    <row r="130" spans="2:29" ht="15" customHeight="1">
      <c r="B130" s="59"/>
      <c r="C130" s="59"/>
      <c r="D130" s="59"/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59"/>
      <c r="V130" s="59"/>
      <c r="W130" s="59"/>
      <c r="X130" s="59"/>
      <c r="Y130" s="59"/>
      <c r="Z130" s="59"/>
      <c r="AA130" s="59"/>
      <c r="AB130" s="59"/>
      <c r="AC130" s="59"/>
    </row>
    <row r="131" spans="2:29" ht="15" customHeight="1">
      <c r="B131" s="59"/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59"/>
      <c r="Y131" s="59"/>
      <c r="Z131" s="59"/>
      <c r="AA131" s="59"/>
      <c r="AB131" s="59"/>
      <c r="AC131" s="59"/>
    </row>
    <row r="132" spans="2:29" ht="15" customHeight="1">
      <c r="B132" s="59"/>
      <c r="C132" s="59"/>
      <c r="D132" s="59"/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59"/>
      <c r="Y132" s="59"/>
      <c r="Z132" s="59"/>
      <c r="AA132" s="59"/>
      <c r="AB132" s="59"/>
      <c r="AC132" s="59"/>
    </row>
    <row r="133" spans="2:29" ht="15" customHeight="1">
      <c r="B133" s="59"/>
      <c r="C133" s="59"/>
      <c r="D133" s="59"/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59"/>
      <c r="W133" s="59"/>
      <c r="X133" s="59"/>
      <c r="Y133" s="59"/>
      <c r="Z133" s="59"/>
      <c r="AA133" s="59"/>
      <c r="AB133" s="59"/>
      <c r="AC133" s="59"/>
    </row>
    <row r="134" spans="2:29" ht="15" customHeight="1">
      <c r="B134" s="59"/>
      <c r="C134" s="59"/>
      <c r="D134" s="59"/>
      <c r="E134" s="59"/>
      <c r="F134" s="59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59"/>
      <c r="W134" s="59"/>
      <c r="X134" s="59"/>
      <c r="Y134" s="59"/>
      <c r="Z134" s="59"/>
      <c r="AA134" s="59"/>
      <c r="AB134" s="59"/>
      <c r="AC134" s="59"/>
    </row>
    <row r="135" spans="2:29" ht="15" customHeight="1">
      <c r="B135" s="59"/>
      <c r="C135" s="59"/>
      <c r="D135" s="59"/>
      <c r="E135" s="59"/>
      <c r="F135" s="59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59"/>
      <c r="V135" s="59"/>
      <c r="W135" s="59"/>
      <c r="X135" s="59"/>
      <c r="Y135" s="59"/>
      <c r="Z135" s="59"/>
      <c r="AA135" s="59"/>
      <c r="AB135" s="59"/>
      <c r="AC135" s="59"/>
    </row>
    <row r="136" spans="2:29" ht="15" customHeight="1">
      <c r="B136" s="59"/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59"/>
      <c r="W136" s="59"/>
      <c r="X136" s="59"/>
      <c r="Y136" s="59"/>
      <c r="Z136" s="59"/>
      <c r="AA136" s="59"/>
      <c r="AB136" s="59"/>
      <c r="AC136" s="59"/>
    </row>
    <row r="137" spans="2:29" ht="15" customHeight="1">
      <c r="B137" s="59"/>
      <c r="C137" s="59"/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59"/>
      <c r="V137" s="59"/>
      <c r="W137" s="59"/>
      <c r="X137" s="59"/>
      <c r="Y137" s="59"/>
      <c r="Z137" s="59"/>
      <c r="AA137" s="59"/>
      <c r="AB137" s="59"/>
      <c r="AC137" s="59"/>
    </row>
    <row r="138" spans="2:29" ht="15" customHeight="1">
      <c r="B138" s="59"/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59"/>
      <c r="W138" s="59"/>
      <c r="X138" s="59"/>
      <c r="Y138" s="59"/>
      <c r="Z138" s="59"/>
      <c r="AA138" s="59"/>
      <c r="AB138" s="59"/>
      <c r="AC138" s="59"/>
    </row>
    <row r="139" spans="2:29" ht="15" customHeight="1">
      <c r="B139" s="59"/>
      <c r="C139" s="59"/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59"/>
      <c r="Y139" s="59"/>
      <c r="Z139" s="59"/>
      <c r="AA139" s="59"/>
      <c r="AB139" s="59"/>
      <c r="AC139" s="59"/>
    </row>
    <row r="140" spans="2:29" ht="15" customHeight="1">
      <c r="B140" s="59"/>
      <c r="C140" s="59"/>
      <c r="D140" s="59"/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59"/>
      <c r="V140" s="59"/>
      <c r="W140" s="59"/>
      <c r="X140" s="59"/>
      <c r="Y140" s="59"/>
      <c r="Z140" s="59"/>
      <c r="AA140" s="59"/>
      <c r="AB140" s="59"/>
      <c r="AC140" s="59"/>
    </row>
    <row r="141" spans="2:29" ht="15" customHeight="1">
      <c r="B141" s="59"/>
      <c r="C141" s="59"/>
      <c r="D141" s="59"/>
      <c r="E141" s="59"/>
      <c r="F141" s="59"/>
      <c r="G141" s="59"/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59"/>
      <c r="V141" s="59"/>
      <c r="W141" s="59"/>
      <c r="X141" s="59"/>
      <c r="Y141" s="59"/>
      <c r="Z141" s="59"/>
      <c r="AA141" s="59"/>
      <c r="AB141" s="59"/>
      <c r="AC141" s="59"/>
    </row>
    <row r="142" spans="2:29" ht="15" customHeight="1">
      <c r="B142" s="59"/>
      <c r="C142" s="59"/>
      <c r="D142" s="59"/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59"/>
      <c r="V142" s="59"/>
      <c r="W142" s="59"/>
      <c r="X142" s="59"/>
      <c r="Y142" s="59"/>
      <c r="Z142" s="59"/>
      <c r="AA142" s="59"/>
      <c r="AB142" s="59"/>
      <c r="AC142" s="59"/>
    </row>
    <row r="143" spans="2:29" ht="15" customHeight="1">
      <c r="B143" s="59"/>
      <c r="C143" s="59"/>
      <c r="D143" s="59"/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59"/>
      <c r="V143" s="59"/>
      <c r="W143" s="59"/>
      <c r="X143" s="59"/>
      <c r="Y143" s="59"/>
      <c r="Z143" s="59"/>
      <c r="AA143" s="59"/>
      <c r="AB143" s="59"/>
      <c r="AC143" s="59"/>
    </row>
    <row r="144" spans="2:29" ht="15" customHeight="1">
      <c r="B144" s="59"/>
      <c r="C144" s="59"/>
      <c r="D144" s="59"/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59"/>
      <c r="V144" s="59"/>
      <c r="W144" s="59"/>
      <c r="X144" s="59"/>
      <c r="Y144" s="59"/>
      <c r="Z144" s="59"/>
      <c r="AA144" s="59"/>
      <c r="AB144" s="59"/>
      <c r="AC144" s="59"/>
    </row>
    <row r="145" spans="2:29" ht="15" customHeight="1">
      <c r="B145" s="59"/>
      <c r="C145" s="59"/>
      <c r="D145" s="59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59"/>
      <c r="Y145" s="59"/>
      <c r="Z145" s="59"/>
      <c r="AA145" s="59"/>
      <c r="AB145" s="59"/>
      <c r="AC145" s="59"/>
    </row>
    <row r="146" spans="2:29" ht="15" customHeight="1">
      <c r="B146" s="59"/>
      <c r="C146" s="59"/>
      <c r="D146" s="59"/>
      <c r="E146" s="59"/>
      <c r="F146" s="59"/>
      <c r="G146" s="59"/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59"/>
      <c r="W146" s="59"/>
      <c r="X146" s="59"/>
      <c r="Y146" s="59"/>
      <c r="Z146" s="59"/>
      <c r="AA146" s="59"/>
      <c r="AB146" s="59"/>
      <c r="AC146" s="59"/>
    </row>
    <row r="147" spans="2:29" ht="15" customHeight="1">
      <c r="B147" s="59"/>
      <c r="C147" s="59"/>
      <c r="D147" s="59"/>
      <c r="E147" s="59"/>
      <c r="F147" s="59"/>
      <c r="G147" s="59"/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59"/>
      <c r="V147" s="59"/>
      <c r="W147" s="59"/>
      <c r="X147" s="59"/>
      <c r="Y147" s="59"/>
      <c r="Z147" s="59"/>
      <c r="AA147" s="59"/>
      <c r="AB147" s="59"/>
      <c r="AC147" s="59"/>
    </row>
    <row r="148" spans="2:29" ht="15" customHeight="1">
      <c r="B148" s="59"/>
      <c r="C148" s="59"/>
      <c r="D148" s="59"/>
      <c r="E148" s="59"/>
      <c r="F148" s="59"/>
      <c r="G148" s="59"/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59"/>
      <c r="T148" s="59"/>
      <c r="U148" s="59"/>
      <c r="V148" s="59"/>
      <c r="W148" s="59"/>
      <c r="X148" s="59"/>
      <c r="Y148" s="59"/>
      <c r="Z148" s="59"/>
      <c r="AA148" s="59"/>
      <c r="AB148" s="59"/>
      <c r="AC148" s="59"/>
    </row>
    <row r="149" spans="2:29" ht="15" customHeight="1">
      <c r="B149" s="59"/>
      <c r="C149" s="59"/>
      <c r="D149" s="59"/>
      <c r="E149" s="59"/>
      <c r="F149" s="59"/>
      <c r="G149" s="59"/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59"/>
      <c r="T149" s="59"/>
      <c r="U149" s="59"/>
      <c r="V149" s="59"/>
      <c r="W149" s="59"/>
      <c r="X149" s="59"/>
      <c r="Y149" s="59"/>
      <c r="Z149" s="59"/>
      <c r="AA149" s="59"/>
      <c r="AB149" s="59"/>
      <c r="AC149" s="59"/>
    </row>
    <row r="150" spans="2:29" ht="15" customHeight="1">
      <c r="B150" s="59"/>
      <c r="C150" s="59"/>
      <c r="D150" s="59"/>
      <c r="E150" s="59"/>
      <c r="F150" s="59"/>
      <c r="G150" s="59"/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59"/>
      <c r="T150" s="59"/>
      <c r="U150" s="59"/>
      <c r="V150" s="59"/>
      <c r="W150" s="59"/>
      <c r="X150" s="59"/>
      <c r="Y150" s="59"/>
      <c r="Z150" s="59"/>
      <c r="AA150" s="59"/>
      <c r="AB150" s="59"/>
      <c r="AC150" s="59"/>
    </row>
    <row r="151" spans="2:29" ht="15" customHeight="1">
      <c r="B151" s="59"/>
      <c r="C151" s="59"/>
      <c r="D151" s="59"/>
      <c r="E151" s="59"/>
      <c r="F151" s="59"/>
      <c r="G151" s="59"/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59"/>
      <c r="T151" s="59"/>
      <c r="U151" s="59"/>
      <c r="V151" s="59"/>
      <c r="W151" s="59"/>
      <c r="X151" s="59"/>
      <c r="Y151" s="59"/>
      <c r="Z151" s="59"/>
      <c r="AA151" s="59"/>
      <c r="AB151" s="59"/>
      <c r="AC151" s="59"/>
    </row>
    <row r="152" spans="2:29" ht="15" customHeight="1">
      <c r="B152" s="59"/>
      <c r="C152" s="59"/>
      <c r="D152" s="59"/>
      <c r="E152" s="59"/>
      <c r="F152" s="59"/>
      <c r="G152" s="59"/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59"/>
      <c r="T152" s="59"/>
      <c r="U152" s="59"/>
      <c r="V152" s="59"/>
      <c r="W152" s="59"/>
      <c r="X152" s="59"/>
      <c r="Y152" s="59"/>
      <c r="Z152" s="59"/>
      <c r="AA152" s="59"/>
      <c r="AB152" s="59"/>
      <c r="AC152" s="59"/>
    </row>
    <row r="153" spans="2:29" ht="15" customHeight="1">
      <c r="B153" s="59"/>
      <c r="C153" s="59"/>
      <c r="D153" s="59"/>
      <c r="E153" s="59"/>
      <c r="F153" s="59"/>
      <c r="G153" s="59"/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59"/>
      <c r="T153" s="59"/>
      <c r="U153" s="59"/>
      <c r="V153" s="59"/>
      <c r="W153" s="59"/>
      <c r="X153" s="59"/>
      <c r="Y153" s="59"/>
      <c r="Z153" s="59"/>
      <c r="AA153" s="59"/>
      <c r="AB153" s="59"/>
      <c r="AC153" s="59"/>
    </row>
    <row r="154" spans="2:29" ht="15" customHeight="1">
      <c r="B154" s="59"/>
      <c r="C154" s="59"/>
      <c r="D154" s="59"/>
      <c r="E154" s="59"/>
      <c r="F154" s="59"/>
      <c r="G154" s="59"/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59"/>
      <c r="T154" s="59"/>
      <c r="U154" s="59"/>
      <c r="V154" s="59"/>
      <c r="W154" s="59"/>
      <c r="X154" s="59"/>
      <c r="Y154" s="59"/>
      <c r="Z154" s="59"/>
      <c r="AA154" s="59"/>
      <c r="AB154" s="59"/>
      <c r="AC154" s="59"/>
    </row>
    <row r="155" spans="2:29" ht="15" customHeight="1">
      <c r="B155" s="59"/>
      <c r="C155" s="59"/>
      <c r="D155" s="59"/>
      <c r="E155" s="59"/>
      <c r="F155" s="59"/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59"/>
      <c r="Y155" s="59"/>
      <c r="Z155" s="59"/>
      <c r="AA155" s="59"/>
      <c r="AB155" s="59"/>
      <c r="AC155" s="59"/>
    </row>
    <row r="156" spans="2:29" ht="15" customHeight="1">
      <c r="B156" s="59"/>
      <c r="C156" s="59"/>
      <c r="D156" s="59"/>
      <c r="E156" s="59"/>
      <c r="F156" s="59"/>
      <c r="G156" s="59"/>
      <c r="H156" s="59"/>
      <c r="I156" s="59"/>
      <c r="J156" s="59"/>
      <c r="K156" s="59"/>
      <c r="L156" s="59"/>
      <c r="M156" s="59"/>
      <c r="N156" s="59"/>
      <c r="O156" s="59"/>
      <c r="P156" s="59"/>
      <c r="Q156" s="59"/>
      <c r="R156" s="59"/>
      <c r="S156" s="59"/>
      <c r="T156" s="59"/>
      <c r="U156" s="59"/>
      <c r="V156" s="59"/>
      <c r="W156" s="59"/>
      <c r="X156" s="59"/>
      <c r="Y156" s="59"/>
      <c r="Z156" s="59"/>
      <c r="AA156" s="59"/>
      <c r="AB156" s="59"/>
      <c r="AC156" s="59"/>
    </row>
    <row r="157" spans="2:29" ht="15" customHeight="1">
      <c r="B157" s="59"/>
      <c r="C157" s="59"/>
      <c r="D157" s="59"/>
      <c r="E157" s="59"/>
      <c r="F157" s="59"/>
      <c r="G157" s="59"/>
      <c r="H157" s="59"/>
      <c r="I157" s="59"/>
      <c r="J157" s="59"/>
      <c r="K157" s="59"/>
      <c r="L157" s="59"/>
      <c r="M157" s="59"/>
      <c r="N157" s="59"/>
      <c r="O157" s="59"/>
      <c r="P157" s="59"/>
      <c r="Q157" s="59"/>
      <c r="R157" s="59"/>
      <c r="S157" s="59"/>
      <c r="T157" s="59"/>
      <c r="U157" s="59"/>
      <c r="V157" s="59"/>
      <c r="W157" s="59"/>
      <c r="X157" s="59"/>
      <c r="Y157" s="59"/>
      <c r="Z157" s="59"/>
      <c r="AA157" s="59"/>
      <c r="AB157" s="59"/>
      <c r="AC157" s="59"/>
    </row>
    <row r="158" spans="2:29" ht="15" customHeight="1">
      <c r="B158" s="59"/>
      <c r="C158" s="59"/>
      <c r="D158" s="59"/>
      <c r="E158" s="59"/>
      <c r="F158" s="59"/>
      <c r="G158" s="59"/>
      <c r="H158" s="59"/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59"/>
      <c r="T158" s="59"/>
      <c r="U158" s="59"/>
      <c r="V158" s="59"/>
      <c r="W158" s="59"/>
      <c r="X158" s="59"/>
      <c r="Y158" s="59"/>
      <c r="Z158" s="59"/>
      <c r="AA158" s="59"/>
      <c r="AB158" s="59"/>
      <c r="AC158" s="59"/>
    </row>
    <row r="159" spans="2:29" ht="15" customHeight="1">
      <c r="B159" s="59"/>
      <c r="C159" s="59"/>
      <c r="D159" s="59"/>
      <c r="E159" s="59"/>
      <c r="F159" s="59"/>
      <c r="G159" s="59"/>
      <c r="H159" s="59"/>
      <c r="I159" s="59"/>
      <c r="J159" s="59"/>
      <c r="K159" s="59"/>
      <c r="L159" s="59"/>
      <c r="M159" s="59"/>
      <c r="N159" s="59"/>
      <c r="O159" s="59"/>
      <c r="P159" s="59"/>
      <c r="Q159" s="59"/>
      <c r="R159" s="59"/>
      <c r="S159" s="59"/>
      <c r="T159" s="59"/>
      <c r="U159" s="59"/>
      <c r="V159" s="59"/>
      <c r="W159" s="59"/>
      <c r="X159" s="59"/>
      <c r="Y159" s="59"/>
      <c r="Z159" s="59"/>
      <c r="AA159" s="59"/>
      <c r="AB159" s="59"/>
      <c r="AC159" s="59"/>
    </row>
    <row r="160" spans="2:29" ht="15" customHeight="1">
      <c r="B160" s="59"/>
      <c r="C160" s="59"/>
      <c r="D160" s="59"/>
      <c r="E160" s="59"/>
      <c r="F160" s="59"/>
      <c r="G160" s="59"/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59"/>
      <c r="T160" s="59"/>
      <c r="U160" s="59"/>
      <c r="V160" s="59"/>
      <c r="W160" s="59"/>
      <c r="X160" s="59"/>
      <c r="Y160" s="59"/>
      <c r="Z160" s="59"/>
      <c r="AA160" s="59"/>
      <c r="AB160" s="59"/>
      <c r="AC160" s="59"/>
    </row>
    <row r="161" spans="2:29" ht="15" customHeight="1">
      <c r="B161" s="59"/>
      <c r="C161" s="59"/>
      <c r="D161" s="59"/>
      <c r="E161" s="59"/>
      <c r="F161" s="59"/>
      <c r="G161" s="59"/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59"/>
      <c r="T161" s="59"/>
      <c r="U161" s="59"/>
      <c r="V161" s="59"/>
      <c r="W161" s="59"/>
      <c r="X161" s="59"/>
      <c r="Y161" s="59"/>
      <c r="Z161" s="59"/>
      <c r="AA161" s="59"/>
      <c r="AB161" s="59"/>
      <c r="AC161" s="59"/>
    </row>
    <row r="162" spans="2:29" ht="15" customHeight="1">
      <c r="B162" s="59"/>
      <c r="C162" s="59"/>
      <c r="D162" s="59"/>
      <c r="E162" s="59"/>
      <c r="F162" s="59"/>
      <c r="G162" s="59"/>
      <c r="H162" s="59"/>
      <c r="I162" s="59"/>
      <c r="J162" s="59"/>
      <c r="K162" s="59"/>
      <c r="L162" s="59"/>
      <c r="M162" s="59"/>
      <c r="N162" s="59"/>
      <c r="O162" s="59"/>
      <c r="P162" s="59"/>
      <c r="Q162" s="59"/>
      <c r="R162" s="59"/>
      <c r="S162" s="59"/>
      <c r="T162" s="59"/>
      <c r="U162" s="59"/>
      <c r="V162" s="59"/>
      <c r="W162" s="59"/>
      <c r="X162" s="59"/>
      <c r="Y162" s="59"/>
      <c r="Z162" s="59"/>
      <c r="AA162" s="59"/>
      <c r="AB162" s="59"/>
      <c r="AC162" s="59"/>
    </row>
    <row r="163" spans="2:29" ht="15" customHeight="1">
      <c r="B163" s="59"/>
      <c r="C163" s="59"/>
      <c r="D163" s="59"/>
      <c r="E163" s="59"/>
      <c r="F163" s="59"/>
      <c r="G163" s="59"/>
      <c r="H163" s="59"/>
      <c r="I163" s="59"/>
      <c r="J163" s="59"/>
      <c r="K163" s="59"/>
      <c r="L163" s="59"/>
      <c r="M163" s="59"/>
      <c r="N163" s="59"/>
      <c r="O163" s="59"/>
      <c r="P163" s="59"/>
      <c r="Q163" s="59"/>
      <c r="R163" s="59"/>
      <c r="S163" s="59"/>
      <c r="T163" s="59"/>
      <c r="U163" s="59"/>
      <c r="V163" s="59"/>
      <c r="W163" s="59"/>
      <c r="X163" s="59"/>
      <c r="Y163" s="59"/>
      <c r="Z163" s="59"/>
      <c r="AA163" s="59"/>
      <c r="AB163" s="59"/>
      <c r="AC163" s="59"/>
    </row>
    <row r="164" spans="2:29" ht="15" customHeight="1">
      <c r="B164" s="59"/>
      <c r="C164" s="59"/>
      <c r="D164" s="59"/>
      <c r="E164" s="59"/>
      <c r="F164" s="59"/>
      <c r="G164" s="59"/>
      <c r="H164" s="59"/>
      <c r="I164" s="59"/>
      <c r="J164" s="59"/>
      <c r="K164" s="59"/>
      <c r="L164" s="59"/>
      <c r="M164" s="59"/>
      <c r="N164" s="59"/>
      <c r="O164" s="59"/>
      <c r="P164" s="59"/>
      <c r="Q164" s="59"/>
      <c r="R164" s="59"/>
      <c r="S164" s="59"/>
      <c r="T164" s="59"/>
      <c r="U164" s="59"/>
      <c r="V164" s="59"/>
      <c r="W164" s="59"/>
      <c r="X164" s="59"/>
      <c r="Y164" s="59"/>
      <c r="Z164" s="59"/>
      <c r="AA164" s="59"/>
      <c r="AB164" s="59"/>
      <c r="AC164" s="59"/>
    </row>
    <row r="165" spans="2:29" ht="15" customHeight="1">
      <c r="B165" s="59"/>
      <c r="C165" s="59"/>
      <c r="D165" s="59"/>
      <c r="E165" s="59"/>
      <c r="F165" s="59"/>
      <c r="G165" s="59"/>
      <c r="H165" s="59"/>
      <c r="I165" s="59"/>
      <c r="J165" s="59"/>
      <c r="K165" s="59"/>
      <c r="L165" s="59"/>
      <c r="M165" s="59"/>
      <c r="N165" s="59"/>
      <c r="O165" s="59"/>
      <c r="P165" s="59"/>
      <c r="Q165" s="59"/>
      <c r="R165" s="59"/>
      <c r="S165" s="59"/>
      <c r="T165" s="59"/>
      <c r="U165" s="59"/>
      <c r="V165" s="59"/>
      <c r="W165" s="59"/>
      <c r="X165" s="59"/>
      <c r="Y165" s="59"/>
      <c r="Z165" s="59"/>
      <c r="AA165" s="59"/>
      <c r="AB165" s="59"/>
      <c r="AC165" s="59"/>
    </row>
    <row r="166" spans="2:29" ht="15" customHeight="1">
      <c r="I166" s="59"/>
      <c r="J166" s="59"/>
      <c r="K166" s="59"/>
      <c r="L166" s="59"/>
      <c r="M166" s="59"/>
      <c r="N166" s="59"/>
      <c r="O166" s="59"/>
      <c r="P166" s="59"/>
      <c r="Q166" s="59"/>
      <c r="R166" s="59"/>
      <c r="S166" s="59"/>
      <c r="T166" s="59"/>
      <c r="U166" s="59"/>
      <c r="V166" s="59"/>
      <c r="W166" s="59"/>
      <c r="X166" s="59"/>
      <c r="Y166" s="59"/>
      <c r="Z166" s="59"/>
      <c r="AA166" s="59"/>
      <c r="AB166" s="59"/>
      <c r="AC166" s="59"/>
    </row>
    <row r="167" spans="2:29" ht="15" customHeight="1">
      <c r="I167" s="59"/>
      <c r="J167" s="59"/>
      <c r="K167" s="59"/>
      <c r="L167" s="59"/>
      <c r="M167" s="59"/>
      <c r="N167" s="59"/>
      <c r="O167" s="59"/>
      <c r="P167" s="59"/>
      <c r="Q167" s="59"/>
      <c r="R167" s="59"/>
      <c r="S167" s="59"/>
      <c r="T167" s="59"/>
      <c r="U167" s="59"/>
      <c r="V167" s="59"/>
      <c r="W167" s="59"/>
      <c r="X167" s="59"/>
      <c r="Y167" s="59"/>
      <c r="Z167" s="59"/>
      <c r="AA167" s="59"/>
      <c r="AB167" s="59"/>
      <c r="AC167" s="59"/>
    </row>
    <row r="168" spans="2:29" ht="15" customHeight="1">
      <c r="I168" s="59"/>
      <c r="J168" s="59"/>
      <c r="K168" s="59"/>
      <c r="L168" s="59"/>
      <c r="M168" s="59"/>
      <c r="N168" s="59"/>
      <c r="O168" s="59"/>
      <c r="P168" s="59"/>
      <c r="Q168" s="59"/>
      <c r="R168" s="59"/>
      <c r="S168" s="59"/>
      <c r="T168" s="59"/>
      <c r="U168" s="59"/>
      <c r="V168" s="59"/>
      <c r="W168" s="59"/>
      <c r="X168" s="59"/>
      <c r="Y168" s="59"/>
      <c r="Z168" s="59"/>
      <c r="AA168" s="59"/>
      <c r="AB168" s="59"/>
      <c r="AC168" s="59"/>
    </row>
    <row r="169" spans="2:29" ht="15" customHeight="1">
      <c r="I169" s="59"/>
      <c r="J169" s="59"/>
      <c r="K169" s="59"/>
      <c r="L169" s="59"/>
      <c r="M169" s="59"/>
      <c r="N169" s="59"/>
      <c r="O169" s="59"/>
      <c r="P169" s="59"/>
      <c r="Q169" s="59"/>
      <c r="R169" s="59"/>
      <c r="S169" s="59"/>
      <c r="T169" s="59"/>
      <c r="U169" s="59"/>
      <c r="V169" s="59"/>
      <c r="W169" s="59"/>
      <c r="X169" s="59"/>
      <c r="Y169" s="59"/>
      <c r="Z169" s="59"/>
      <c r="AA169" s="59"/>
      <c r="AB169" s="59"/>
      <c r="AC169" s="59"/>
    </row>
    <row r="170" spans="2:29" ht="15" customHeight="1">
      <c r="I170" s="59"/>
      <c r="J170" s="59"/>
      <c r="K170" s="59"/>
      <c r="L170" s="59"/>
      <c r="M170" s="59"/>
      <c r="N170" s="59"/>
      <c r="O170" s="59"/>
      <c r="P170" s="59"/>
      <c r="Q170" s="59"/>
      <c r="R170" s="59"/>
      <c r="S170" s="59"/>
      <c r="T170" s="59"/>
      <c r="U170" s="59"/>
      <c r="V170" s="59"/>
      <c r="W170" s="59"/>
      <c r="X170" s="59"/>
      <c r="Y170" s="59"/>
      <c r="Z170" s="59"/>
      <c r="AA170" s="59"/>
      <c r="AB170" s="59"/>
      <c r="AC170" s="59"/>
    </row>
    <row r="171" spans="2:29" ht="15" customHeight="1">
      <c r="I171" s="59"/>
      <c r="J171" s="59"/>
      <c r="K171" s="59"/>
      <c r="L171" s="59"/>
      <c r="M171" s="59"/>
      <c r="N171" s="59"/>
      <c r="O171" s="59"/>
      <c r="P171" s="59"/>
      <c r="Q171" s="59"/>
      <c r="R171" s="59"/>
      <c r="S171" s="59"/>
      <c r="T171" s="59"/>
      <c r="U171" s="59"/>
      <c r="V171" s="59"/>
      <c r="W171" s="59"/>
      <c r="X171" s="59"/>
      <c r="Y171" s="59"/>
      <c r="Z171" s="59"/>
      <c r="AA171" s="59"/>
      <c r="AB171" s="59"/>
      <c r="AC171" s="59"/>
    </row>
    <row r="172" spans="2:29" ht="15" customHeight="1">
      <c r="I172" s="59"/>
      <c r="J172" s="59"/>
      <c r="K172" s="59"/>
      <c r="L172" s="59"/>
      <c r="M172" s="59"/>
      <c r="N172" s="59"/>
      <c r="O172" s="59"/>
      <c r="P172" s="59"/>
      <c r="Q172" s="59"/>
      <c r="R172" s="59"/>
      <c r="S172" s="59"/>
      <c r="T172" s="59"/>
      <c r="U172" s="59"/>
      <c r="V172" s="59"/>
      <c r="W172" s="59"/>
      <c r="X172" s="59"/>
      <c r="Y172" s="59"/>
      <c r="Z172" s="59"/>
      <c r="AA172" s="59"/>
      <c r="AB172" s="59"/>
      <c r="AC172" s="59"/>
    </row>
    <row r="173" spans="2:29" ht="15" customHeight="1">
      <c r="I173" s="59"/>
      <c r="J173" s="59"/>
      <c r="K173" s="59"/>
      <c r="L173" s="59"/>
      <c r="M173" s="59"/>
      <c r="N173" s="59"/>
      <c r="O173" s="59"/>
      <c r="P173" s="59"/>
      <c r="Q173" s="59"/>
      <c r="R173" s="59"/>
      <c r="S173" s="59"/>
      <c r="T173" s="59"/>
      <c r="U173" s="59"/>
      <c r="V173" s="59"/>
      <c r="W173" s="59"/>
      <c r="X173" s="59"/>
      <c r="Y173" s="59"/>
      <c r="Z173" s="59"/>
      <c r="AA173" s="59"/>
      <c r="AB173" s="59"/>
      <c r="AC173" s="59"/>
    </row>
    <row r="174" spans="2:29" ht="15" customHeight="1">
      <c r="I174" s="59"/>
      <c r="J174" s="59"/>
      <c r="K174" s="59"/>
      <c r="L174" s="59"/>
      <c r="M174" s="59"/>
      <c r="N174" s="59"/>
      <c r="O174" s="59"/>
      <c r="P174" s="59"/>
      <c r="Q174" s="59"/>
      <c r="R174" s="59"/>
      <c r="S174" s="59"/>
      <c r="T174" s="59"/>
      <c r="U174" s="59"/>
      <c r="V174" s="59"/>
      <c r="W174" s="59"/>
      <c r="X174" s="59"/>
      <c r="Y174" s="59"/>
      <c r="Z174" s="59"/>
      <c r="AA174" s="59"/>
      <c r="AB174" s="59"/>
      <c r="AC174" s="59"/>
    </row>
    <row r="175" spans="2:29" ht="15" customHeight="1">
      <c r="I175" s="59"/>
      <c r="J175" s="59"/>
      <c r="K175" s="59"/>
      <c r="L175" s="59"/>
      <c r="M175" s="59"/>
      <c r="N175" s="59"/>
      <c r="O175" s="59"/>
      <c r="P175" s="59"/>
      <c r="Q175" s="59"/>
      <c r="R175" s="59"/>
      <c r="S175" s="59"/>
      <c r="T175" s="59"/>
      <c r="U175" s="59"/>
      <c r="V175" s="59"/>
      <c r="W175" s="59"/>
      <c r="X175" s="59"/>
      <c r="Y175" s="59"/>
      <c r="Z175" s="59"/>
      <c r="AA175" s="59"/>
      <c r="AB175" s="59"/>
      <c r="AC175" s="59"/>
    </row>
    <row r="176" spans="2:29" ht="15" customHeight="1">
      <c r="I176" s="59"/>
      <c r="J176" s="59"/>
      <c r="K176" s="59"/>
      <c r="L176" s="59"/>
      <c r="M176" s="59"/>
      <c r="N176" s="59"/>
      <c r="O176" s="59"/>
      <c r="P176" s="59"/>
      <c r="Q176" s="59"/>
      <c r="R176" s="59"/>
      <c r="S176" s="59"/>
      <c r="T176" s="59"/>
      <c r="U176" s="59"/>
      <c r="V176" s="59"/>
      <c r="W176" s="59"/>
      <c r="X176" s="59"/>
      <c r="Y176" s="59"/>
      <c r="Z176" s="59"/>
      <c r="AA176" s="59"/>
      <c r="AB176" s="59"/>
      <c r="AC176" s="59"/>
    </row>
    <row r="177" spans="9:29" ht="15" customHeight="1">
      <c r="I177" s="59"/>
      <c r="J177" s="59"/>
      <c r="K177" s="59"/>
      <c r="L177" s="59"/>
      <c r="M177" s="59"/>
      <c r="N177" s="59"/>
      <c r="O177" s="59"/>
      <c r="P177" s="59"/>
      <c r="Q177" s="59"/>
      <c r="R177" s="59"/>
      <c r="S177" s="59"/>
      <c r="T177" s="59"/>
      <c r="U177" s="59"/>
      <c r="V177" s="59"/>
      <c r="W177" s="59"/>
      <c r="X177" s="59"/>
      <c r="Y177" s="59"/>
      <c r="Z177" s="59"/>
      <c r="AA177" s="59"/>
      <c r="AB177" s="59"/>
      <c r="AC177" s="59"/>
    </row>
    <row r="178" spans="9:29" ht="15" customHeight="1">
      <c r="I178" s="59"/>
      <c r="J178" s="59"/>
      <c r="K178" s="59"/>
      <c r="L178" s="59"/>
      <c r="M178" s="59"/>
      <c r="N178" s="59"/>
      <c r="O178" s="59"/>
      <c r="P178" s="59"/>
      <c r="Q178" s="59"/>
      <c r="R178" s="59"/>
      <c r="S178" s="59"/>
      <c r="T178" s="59"/>
      <c r="U178" s="59"/>
      <c r="V178" s="59"/>
      <c r="W178" s="59"/>
      <c r="X178" s="59"/>
      <c r="Y178" s="59"/>
      <c r="Z178" s="59"/>
      <c r="AA178" s="59"/>
      <c r="AB178" s="59"/>
      <c r="AC178" s="59"/>
    </row>
    <row r="179" spans="9:29" ht="15" customHeight="1">
      <c r="I179" s="59"/>
      <c r="J179" s="59"/>
      <c r="K179" s="59"/>
      <c r="L179" s="59"/>
      <c r="M179" s="59"/>
      <c r="N179" s="59"/>
      <c r="O179" s="59"/>
      <c r="P179" s="59"/>
      <c r="Q179" s="59"/>
      <c r="R179" s="59"/>
      <c r="S179" s="59"/>
      <c r="T179" s="59"/>
      <c r="U179" s="59"/>
      <c r="V179" s="59"/>
      <c r="W179" s="59"/>
      <c r="X179" s="59"/>
      <c r="Y179" s="59"/>
      <c r="Z179" s="59"/>
      <c r="AA179" s="59"/>
      <c r="AB179" s="59"/>
      <c r="AC179" s="59"/>
    </row>
    <row r="180" spans="9:29" ht="15" customHeight="1">
      <c r="I180" s="59"/>
      <c r="J180" s="59"/>
      <c r="K180" s="59"/>
      <c r="L180" s="59"/>
      <c r="M180" s="59"/>
      <c r="N180" s="59"/>
      <c r="O180" s="59"/>
      <c r="P180" s="59"/>
      <c r="Q180" s="59"/>
      <c r="R180" s="59"/>
      <c r="S180" s="59"/>
      <c r="T180" s="59"/>
      <c r="U180" s="59"/>
      <c r="V180" s="59"/>
      <c r="W180" s="59"/>
      <c r="X180" s="59"/>
      <c r="Y180" s="59"/>
      <c r="Z180" s="59"/>
      <c r="AA180" s="59"/>
      <c r="AB180" s="59"/>
      <c r="AC180" s="59"/>
    </row>
    <row r="181" spans="9:29" ht="15" customHeight="1">
      <c r="I181" s="59"/>
      <c r="J181" s="59"/>
      <c r="K181" s="59"/>
      <c r="L181" s="59"/>
      <c r="M181" s="59"/>
      <c r="N181" s="59"/>
      <c r="O181" s="59"/>
      <c r="P181" s="59"/>
      <c r="Q181" s="59"/>
      <c r="R181" s="59"/>
      <c r="S181" s="59"/>
      <c r="T181" s="59"/>
      <c r="U181" s="59"/>
      <c r="V181" s="59"/>
      <c r="W181" s="59"/>
      <c r="X181" s="59"/>
      <c r="Y181" s="59"/>
      <c r="Z181" s="59"/>
      <c r="AA181" s="59"/>
      <c r="AB181" s="59"/>
      <c r="AC181" s="59"/>
    </row>
    <row r="182" spans="9:29" ht="15" customHeight="1">
      <c r="I182" s="59"/>
      <c r="J182" s="59"/>
      <c r="K182" s="59"/>
      <c r="L182" s="59"/>
      <c r="M182" s="59"/>
      <c r="N182" s="59"/>
      <c r="O182" s="59"/>
      <c r="P182" s="59"/>
      <c r="Q182" s="59"/>
      <c r="R182" s="59"/>
      <c r="S182" s="59"/>
      <c r="T182" s="59"/>
      <c r="U182" s="59"/>
      <c r="V182" s="59"/>
      <c r="W182" s="59"/>
      <c r="X182" s="59"/>
      <c r="Y182" s="59"/>
      <c r="Z182" s="59"/>
      <c r="AA182" s="59"/>
      <c r="AB182" s="59"/>
      <c r="AC182" s="59"/>
    </row>
    <row r="183" spans="9:29" ht="15" customHeight="1">
      <c r="I183" s="59"/>
      <c r="J183" s="59"/>
      <c r="K183" s="59"/>
      <c r="L183" s="59"/>
      <c r="M183" s="59"/>
      <c r="N183" s="59"/>
      <c r="O183" s="59"/>
      <c r="P183" s="59"/>
      <c r="Q183" s="59"/>
      <c r="R183" s="59"/>
      <c r="S183" s="59"/>
      <c r="T183" s="59"/>
      <c r="U183" s="59"/>
      <c r="V183" s="59"/>
      <c r="W183" s="59"/>
      <c r="X183" s="59"/>
      <c r="Y183" s="59"/>
      <c r="Z183" s="59"/>
      <c r="AA183" s="59"/>
      <c r="AB183" s="59"/>
      <c r="AC183" s="59"/>
    </row>
    <row r="184" spans="9:29" ht="15" customHeight="1">
      <c r="I184" s="59"/>
      <c r="J184" s="59"/>
      <c r="K184" s="59"/>
      <c r="L184" s="59"/>
      <c r="M184" s="59"/>
      <c r="N184" s="59"/>
      <c r="O184" s="59"/>
      <c r="P184" s="59"/>
      <c r="Q184" s="59"/>
      <c r="R184" s="59"/>
      <c r="S184" s="59"/>
      <c r="T184" s="59"/>
      <c r="U184" s="59"/>
      <c r="V184" s="59"/>
      <c r="W184" s="59"/>
      <c r="X184" s="59"/>
      <c r="Y184" s="59"/>
      <c r="Z184" s="59"/>
      <c r="AA184" s="59"/>
      <c r="AB184" s="59"/>
      <c r="AC184" s="59"/>
    </row>
    <row r="185" spans="9:29" ht="15" customHeight="1">
      <c r="I185" s="59"/>
      <c r="J185" s="59"/>
      <c r="K185" s="59"/>
      <c r="L185" s="59"/>
      <c r="M185" s="59"/>
      <c r="N185" s="59"/>
      <c r="O185" s="59"/>
      <c r="P185" s="59"/>
      <c r="Q185" s="59"/>
      <c r="R185" s="59"/>
      <c r="S185" s="59"/>
      <c r="T185" s="59"/>
      <c r="U185" s="59"/>
      <c r="V185" s="59"/>
      <c r="W185" s="59"/>
      <c r="X185" s="59"/>
      <c r="Y185" s="59"/>
      <c r="Z185" s="59"/>
      <c r="AA185" s="59"/>
      <c r="AB185" s="59"/>
      <c r="AC185" s="59"/>
    </row>
    <row r="186" spans="9:29" ht="15" customHeight="1">
      <c r="I186" s="59"/>
      <c r="J186" s="59"/>
      <c r="K186" s="59"/>
      <c r="L186" s="59"/>
      <c r="M186" s="59"/>
      <c r="N186" s="59"/>
      <c r="O186" s="59"/>
      <c r="P186" s="59"/>
      <c r="Q186" s="59"/>
      <c r="R186" s="59"/>
      <c r="S186" s="59"/>
      <c r="T186" s="59"/>
      <c r="U186" s="59"/>
      <c r="V186" s="59"/>
      <c r="W186" s="59"/>
      <c r="X186" s="59"/>
      <c r="Y186" s="59"/>
      <c r="Z186" s="59"/>
      <c r="AA186" s="59"/>
      <c r="AB186" s="59"/>
      <c r="AC186" s="59"/>
    </row>
    <row r="187" spans="9:29" ht="15" customHeight="1">
      <c r="I187" s="59"/>
      <c r="J187" s="59"/>
      <c r="K187" s="59"/>
      <c r="L187" s="59"/>
      <c r="M187" s="59"/>
      <c r="N187" s="59"/>
      <c r="O187" s="59"/>
      <c r="P187" s="59"/>
      <c r="Q187" s="59"/>
      <c r="R187" s="59"/>
      <c r="S187" s="59"/>
      <c r="T187" s="59"/>
      <c r="U187" s="59"/>
      <c r="V187" s="59"/>
      <c r="W187" s="59"/>
      <c r="X187" s="59"/>
      <c r="Y187" s="59"/>
      <c r="Z187" s="59"/>
      <c r="AA187" s="59"/>
      <c r="AB187" s="59"/>
      <c r="AC187" s="59"/>
    </row>
    <row r="188" spans="9:29" ht="15" customHeight="1">
      <c r="I188" s="59"/>
      <c r="J188" s="59"/>
      <c r="K188" s="59"/>
      <c r="L188" s="59"/>
      <c r="M188" s="59"/>
      <c r="N188" s="59"/>
      <c r="O188" s="59"/>
      <c r="P188" s="59"/>
      <c r="Q188" s="59"/>
      <c r="R188" s="59"/>
      <c r="S188" s="59"/>
      <c r="T188" s="59"/>
      <c r="U188" s="59"/>
      <c r="V188" s="59"/>
      <c r="W188" s="59"/>
      <c r="X188" s="59"/>
      <c r="Y188" s="59"/>
      <c r="Z188" s="59"/>
      <c r="AA188" s="59"/>
      <c r="AB188" s="59"/>
      <c r="AC188" s="59"/>
    </row>
    <row r="189" spans="9:29" ht="15" customHeight="1">
      <c r="I189" s="59"/>
      <c r="J189" s="59"/>
      <c r="K189" s="59"/>
      <c r="L189" s="59"/>
      <c r="M189" s="59"/>
      <c r="N189" s="59"/>
      <c r="O189" s="59"/>
      <c r="P189" s="59"/>
      <c r="Q189" s="59"/>
      <c r="R189" s="59"/>
      <c r="S189" s="59"/>
      <c r="T189" s="59"/>
      <c r="U189" s="59"/>
      <c r="V189" s="59"/>
      <c r="W189" s="59"/>
      <c r="X189" s="59"/>
      <c r="Y189" s="59"/>
      <c r="Z189" s="59"/>
      <c r="AA189" s="59"/>
      <c r="AB189" s="59"/>
      <c r="AC189" s="59"/>
    </row>
    <row r="190" spans="9:29" ht="15" customHeight="1">
      <c r="I190" s="59"/>
      <c r="J190" s="59"/>
      <c r="K190" s="59"/>
      <c r="L190" s="59"/>
      <c r="M190" s="59"/>
      <c r="N190" s="59"/>
      <c r="O190" s="59"/>
      <c r="P190" s="59"/>
      <c r="Q190" s="59"/>
      <c r="R190" s="59"/>
      <c r="S190" s="59"/>
      <c r="T190" s="59"/>
      <c r="U190" s="59"/>
      <c r="V190" s="59"/>
      <c r="W190" s="59"/>
      <c r="X190" s="59"/>
      <c r="Y190" s="59"/>
      <c r="Z190" s="59"/>
      <c r="AA190" s="59"/>
      <c r="AB190" s="59"/>
      <c r="AC190" s="59"/>
    </row>
    <row r="191" spans="9:29" ht="15" customHeight="1">
      <c r="I191" s="59"/>
      <c r="J191" s="59"/>
      <c r="K191" s="59"/>
      <c r="L191" s="59"/>
      <c r="M191" s="59"/>
      <c r="N191" s="59"/>
      <c r="O191" s="59"/>
      <c r="P191" s="59"/>
      <c r="Q191" s="59"/>
      <c r="R191" s="59"/>
      <c r="S191" s="59"/>
      <c r="T191" s="59"/>
      <c r="U191" s="59"/>
      <c r="V191" s="59"/>
      <c r="W191" s="59"/>
      <c r="X191" s="59"/>
      <c r="Y191" s="59"/>
      <c r="Z191" s="59"/>
      <c r="AA191" s="59"/>
      <c r="AB191" s="59"/>
      <c r="AC191" s="59"/>
    </row>
    <row r="192" spans="9:29" ht="15" customHeight="1">
      <c r="I192" s="59"/>
      <c r="J192" s="59"/>
      <c r="K192" s="59"/>
      <c r="L192" s="59"/>
      <c r="M192" s="59"/>
      <c r="N192" s="59"/>
      <c r="O192" s="59"/>
      <c r="P192" s="59"/>
      <c r="Q192" s="59"/>
      <c r="R192" s="59"/>
      <c r="S192" s="59"/>
      <c r="T192" s="59"/>
      <c r="U192" s="59"/>
      <c r="V192" s="59"/>
      <c r="W192" s="59"/>
      <c r="X192" s="59"/>
      <c r="Y192" s="59"/>
      <c r="Z192" s="59"/>
      <c r="AA192" s="59"/>
      <c r="AB192" s="59"/>
      <c r="AC192" s="59"/>
    </row>
    <row r="193" spans="9:29" ht="15" customHeight="1">
      <c r="I193" s="59"/>
      <c r="J193" s="59"/>
      <c r="K193" s="59"/>
      <c r="L193" s="59"/>
      <c r="M193" s="59"/>
      <c r="N193" s="59"/>
      <c r="O193" s="59"/>
      <c r="P193" s="59"/>
      <c r="Q193" s="59"/>
      <c r="R193" s="59"/>
      <c r="S193" s="59"/>
      <c r="T193" s="59"/>
      <c r="U193" s="59"/>
      <c r="V193" s="59"/>
      <c r="W193" s="59"/>
      <c r="X193" s="59"/>
      <c r="Y193" s="59"/>
      <c r="Z193" s="59"/>
      <c r="AA193" s="59"/>
      <c r="AB193" s="59"/>
      <c r="AC193" s="59"/>
    </row>
    <row r="194" spans="9:29" ht="15" customHeight="1">
      <c r="I194" s="59"/>
      <c r="J194" s="59"/>
      <c r="K194" s="59"/>
      <c r="L194" s="59"/>
      <c r="M194" s="59"/>
      <c r="N194" s="59"/>
      <c r="O194" s="59"/>
      <c r="P194" s="59"/>
      <c r="Q194" s="59"/>
      <c r="R194" s="59"/>
      <c r="S194" s="59"/>
      <c r="T194" s="59"/>
      <c r="U194" s="59"/>
      <c r="V194" s="59"/>
      <c r="W194" s="59"/>
      <c r="X194" s="59"/>
      <c r="Y194" s="59"/>
      <c r="Z194" s="59"/>
      <c r="AA194" s="59"/>
      <c r="AB194" s="59"/>
      <c r="AC194" s="59"/>
    </row>
    <row r="195" spans="9:29" ht="15" customHeight="1">
      <c r="I195" s="59"/>
      <c r="J195" s="59"/>
      <c r="K195" s="59"/>
      <c r="L195" s="59"/>
      <c r="M195" s="59"/>
      <c r="N195" s="59"/>
      <c r="O195" s="59"/>
      <c r="P195" s="59"/>
      <c r="Q195" s="59"/>
      <c r="R195" s="59"/>
      <c r="S195" s="59"/>
      <c r="T195" s="59"/>
      <c r="U195" s="59"/>
      <c r="V195" s="59"/>
      <c r="W195" s="59"/>
      <c r="X195" s="59"/>
      <c r="Y195" s="59"/>
      <c r="Z195" s="59"/>
      <c r="AA195" s="59"/>
      <c r="AB195" s="59"/>
      <c r="AC195" s="59"/>
    </row>
    <row r="196" spans="9:29" ht="15" customHeight="1">
      <c r="I196" s="59"/>
      <c r="J196" s="59"/>
      <c r="K196" s="59"/>
      <c r="L196" s="59"/>
      <c r="M196" s="59"/>
      <c r="N196" s="59"/>
      <c r="O196" s="59"/>
      <c r="P196" s="59"/>
      <c r="Q196" s="59"/>
      <c r="R196" s="59"/>
      <c r="S196" s="59"/>
      <c r="T196" s="59"/>
      <c r="U196" s="59"/>
      <c r="V196" s="59"/>
      <c r="W196" s="59"/>
      <c r="X196" s="59"/>
      <c r="Y196" s="59"/>
      <c r="Z196" s="59"/>
      <c r="AA196" s="59"/>
      <c r="AB196" s="59"/>
      <c r="AC196" s="59"/>
    </row>
    <row r="197" spans="9:29" ht="15" customHeight="1">
      <c r="I197" s="59"/>
      <c r="J197" s="59"/>
      <c r="K197" s="59"/>
      <c r="L197" s="59"/>
      <c r="M197" s="59"/>
      <c r="N197" s="59"/>
      <c r="O197" s="59"/>
      <c r="P197" s="59"/>
      <c r="Q197" s="59"/>
      <c r="R197" s="59"/>
      <c r="S197" s="59"/>
      <c r="T197" s="59"/>
      <c r="U197" s="59"/>
      <c r="V197" s="59"/>
      <c r="W197" s="59"/>
      <c r="X197" s="59"/>
      <c r="Y197" s="59"/>
      <c r="Z197" s="59"/>
      <c r="AA197" s="59"/>
      <c r="AB197" s="59"/>
      <c r="AC197" s="59"/>
    </row>
    <row r="198" spans="9:29" ht="15" customHeight="1">
      <c r="I198" s="59"/>
      <c r="J198" s="59"/>
      <c r="K198" s="59"/>
      <c r="L198" s="59"/>
      <c r="M198" s="59"/>
      <c r="N198" s="59"/>
      <c r="O198" s="59"/>
      <c r="P198" s="59"/>
      <c r="Q198" s="59"/>
      <c r="R198" s="59"/>
      <c r="S198" s="59"/>
      <c r="T198" s="59"/>
      <c r="U198" s="59"/>
      <c r="V198" s="59"/>
      <c r="W198" s="59"/>
      <c r="X198" s="59"/>
      <c r="Y198" s="59"/>
      <c r="Z198" s="59"/>
      <c r="AA198" s="59"/>
      <c r="AB198" s="59"/>
      <c r="AC198" s="59"/>
    </row>
    <row r="199" spans="9:29" ht="15" customHeight="1">
      <c r="I199" s="59"/>
      <c r="J199" s="59"/>
      <c r="K199" s="59"/>
      <c r="L199" s="59"/>
      <c r="M199" s="59"/>
      <c r="N199" s="59"/>
      <c r="O199" s="59"/>
      <c r="P199" s="59"/>
      <c r="Q199" s="59"/>
      <c r="R199" s="59"/>
      <c r="S199" s="59"/>
      <c r="T199" s="59"/>
      <c r="U199" s="59"/>
      <c r="V199" s="59"/>
      <c r="W199" s="59"/>
      <c r="X199" s="59"/>
      <c r="Y199" s="59"/>
      <c r="Z199" s="59"/>
      <c r="AA199" s="59"/>
      <c r="AB199" s="59"/>
      <c r="AC199" s="59"/>
    </row>
    <row r="200" spans="9:29" ht="15" customHeight="1">
      <c r="I200" s="59"/>
      <c r="J200" s="59"/>
      <c r="K200" s="59"/>
      <c r="L200" s="59"/>
      <c r="M200" s="59"/>
      <c r="N200" s="59"/>
      <c r="O200" s="59"/>
      <c r="P200" s="59"/>
      <c r="Q200" s="59"/>
      <c r="R200" s="59"/>
      <c r="S200" s="59"/>
      <c r="T200" s="59"/>
      <c r="U200" s="59"/>
      <c r="V200" s="59"/>
      <c r="W200" s="59"/>
      <c r="X200" s="59"/>
      <c r="Y200" s="59"/>
      <c r="Z200" s="59"/>
      <c r="AA200" s="59"/>
      <c r="AB200" s="59"/>
      <c r="AC200" s="59"/>
    </row>
    <row r="201" spans="9:29" ht="15" customHeight="1">
      <c r="I201" s="59"/>
      <c r="J201" s="59"/>
      <c r="K201" s="59"/>
      <c r="L201" s="59"/>
      <c r="M201" s="59"/>
      <c r="N201" s="59"/>
      <c r="O201" s="59"/>
      <c r="P201" s="59"/>
      <c r="Q201" s="59"/>
      <c r="R201" s="59"/>
      <c r="S201" s="59"/>
      <c r="T201" s="59"/>
      <c r="U201" s="59"/>
      <c r="V201" s="59"/>
      <c r="W201" s="59"/>
      <c r="X201" s="59"/>
      <c r="Y201" s="59"/>
      <c r="Z201" s="59"/>
      <c r="AA201" s="59"/>
      <c r="AB201" s="59"/>
      <c r="AC201" s="59"/>
    </row>
    <row r="202" spans="9:29" ht="15" customHeight="1">
      <c r="I202" s="59"/>
      <c r="J202" s="59"/>
      <c r="K202" s="59"/>
      <c r="L202" s="59"/>
      <c r="M202" s="59"/>
      <c r="N202" s="59"/>
      <c r="O202" s="59"/>
      <c r="P202" s="59"/>
      <c r="Q202" s="59"/>
      <c r="R202" s="59"/>
      <c r="S202" s="59"/>
      <c r="T202" s="59"/>
      <c r="U202" s="59"/>
      <c r="V202" s="59"/>
      <c r="W202" s="59"/>
      <c r="X202" s="59"/>
      <c r="Y202" s="59"/>
      <c r="Z202" s="59"/>
      <c r="AA202" s="59"/>
      <c r="AB202" s="59"/>
      <c r="AC202" s="59"/>
    </row>
    <row r="203" spans="9:29" ht="15" customHeight="1">
      <c r="I203" s="59"/>
      <c r="J203" s="59"/>
      <c r="K203" s="59"/>
      <c r="L203" s="59"/>
      <c r="M203" s="59"/>
      <c r="N203" s="59"/>
      <c r="O203" s="59"/>
      <c r="P203" s="59"/>
      <c r="Q203" s="59"/>
      <c r="R203" s="59"/>
      <c r="S203" s="59"/>
      <c r="T203" s="59"/>
      <c r="U203" s="59"/>
      <c r="V203" s="59"/>
      <c r="W203" s="59"/>
      <c r="X203" s="59"/>
      <c r="Y203" s="59"/>
      <c r="Z203" s="59"/>
      <c r="AA203" s="59"/>
      <c r="AB203" s="59"/>
      <c r="AC203" s="59"/>
    </row>
    <row r="204" spans="9:29" ht="15" customHeight="1">
      <c r="I204" s="59"/>
      <c r="J204" s="59"/>
      <c r="K204" s="59"/>
      <c r="L204" s="59"/>
      <c r="M204" s="59"/>
      <c r="N204" s="59"/>
      <c r="O204" s="59"/>
      <c r="P204" s="59"/>
      <c r="Q204" s="59"/>
      <c r="R204" s="59"/>
      <c r="S204" s="59"/>
      <c r="T204" s="59"/>
      <c r="U204" s="59"/>
      <c r="V204" s="59"/>
      <c r="W204" s="59"/>
      <c r="X204" s="59"/>
      <c r="Y204" s="59"/>
      <c r="Z204" s="59"/>
      <c r="AA204" s="59"/>
      <c r="AB204" s="59"/>
      <c r="AC204" s="59"/>
    </row>
    <row r="205" spans="9:29" ht="15" customHeight="1">
      <c r="I205" s="59"/>
      <c r="J205" s="59"/>
      <c r="K205" s="59"/>
      <c r="L205" s="59"/>
      <c r="M205" s="59"/>
      <c r="N205" s="59"/>
      <c r="O205" s="59"/>
      <c r="P205" s="59"/>
      <c r="Q205" s="59"/>
      <c r="R205" s="59"/>
      <c r="S205" s="59"/>
      <c r="T205" s="59"/>
      <c r="U205" s="59"/>
      <c r="V205" s="59"/>
      <c r="W205" s="59"/>
      <c r="X205" s="59"/>
      <c r="Y205" s="59"/>
      <c r="Z205" s="59"/>
      <c r="AA205" s="59"/>
      <c r="AB205" s="59"/>
      <c r="AC205" s="59"/>
    </row>
    <row r="206" spans="9:29" ht="15" customHeight="1">
      <c r="I206" s="59"/>
      <c r="J206" s="59"/>
      <c r="K206" s="59"/>
      <c r="L206" s="59"/>
      <c r="M206" s="59"/>
      <c r="N206" s="59"/>
      <c r="O206" s="59"/>
      <c r="P206" s="59"/>
      <c r="Q206" s="59"/>
      <c r="R206" s="59"/>
      <c r="S206" s="59"/>
      <c r="T206" s="59"/>
      <c r="U206" s="59"/>
      <c r="V206" s="59"/>
      <c r="W206" s="59"/>
      <c r="X206" s="59"/>
      <c r="Y206" s="59"/>
      <c r="Z206" s="59"/>
      <c r="AA206" s="59"/>
      <c r="AB206" s="59"/>
      <c r="AC206" s="59"/>
    </row>
    <row r="207" spans="9:29" ht="15" customHeight="1">
      <c r="I207" s="59"/>
      <c r="J207" s="59"/>
      <c r="K207" s="59"/>
      <c r="L207" s="59"/>
      <c r="M207" s="59"/>
      <c r="N207" s="59"/>
      <c r="O207" s="59"/>
      <c r="P207" s="59"/>
      <c r="Q207" s="59"/>
      <c r="R207" s="59"/>
      <c r="S207" s="59"/>
      <c r="T207" s="59"/>
      <c r="U207" s="59"/>
      <c r="V207" s="59"/>
      <c r="W207" s="59"/>
      <c r="X207" s="59"/>
      <c r="Y207" s="59"/>
      <c r="Z207" s="59"/>
      <c r="AA207" s="59"/>
      <c r="AB207" s="59"/>
      <c r="AC207" s="59"/>
    </row>
    <row r="208" spans="9:29" ht="15" customHeight="1">
      <c r="I208" s="59"/>
      <c r="J208" s="59"/>
      <c r="K208" s="59"/>
      <c r="L208" s="59"/>
      <c r="M208" s="59"/>
      <c r="N208" s="59"/>
      <c r="O208" s="59"/>
      <c r="P208" s="59"/>
      <c r="Q208" s="59"/>
      <c r="R208" s="59"/>
      <c r="S208" s="59"/>
      <c r="T208" s="59"/>
      <c r="U208" s="59"/>
      <c r="V208" s="59"/>
      <c r="W208" s="59"/>
      <c r="X208" s="59"/>
      <c r="Y208" s="59"/>
      <c r="Z208" s="59"/>
      <c r="AA208" s="59"/>
      <c r="AB208" s="59"/>
      <c r="AC208" s="59"/>
    </row>
    <row r="209" spans="9:29" ht="15" customHeight="1">
      <c r="I209" s="59"/>
      <c r="J209" s="59"/>
      <c r="K209" s="59"/>
      <c r="L209" s="59"/>
      <c r="M209" s="59"/>
      <c r="N209" s="59"/>
      <c r="O209" s="59"/>
      <c r="P209" s="59"/>
      <c r="Q209" s="59"/>
      <c r="R209" s="59"/>
      <c r="S209" s="59"/>
      <c r="T209" s="59"/>
      <c r="U209" s="59"/>
      <c r="V209" s="59"/>
      <c r="W209" s="59"/>
      <c r="X209" s="59"/>
      <c r="Y209" s="59"/>
      <c r="Z209" s="59"/>
      <c r="AA209" s="59"/>
      <c r="AB209" s="59"/>
      <c r="AC209" s="59"/>
    </row>
    <row r="210" spans="9:29" ht="15" customHeight="1">
      <c r="I210" s="59"/>
      <c r="J210" s="59"/>
      <c r="K210" s="59"/>
      <c r="L210" s="59"/>
      <c r="M210" s="59"/>
      <c r="N210" s="59"/>
      <c r="O210" s="59"/>
      <c r="P210" s="59"/>
      <c r="Q210" s="59"/>
      <c r="R210" s="59"/>
      <c r="S210" s="59"/>
      <c r="T210" s="59"/>
      <c r="U210" s="59"/>
      <c r="V210" s="59"/>
      <c r="W210" s="59"/>
      <c r="X210" s="59"/>
      <c r="Y210" s="59"/>
      <c r="Z210" s="59"/>
      <c r="AA210" s="59"/>
      <c r="AB210" s="59"/>
      <c r="AC210" s="59"/>
    </row>
    <row r="211" spans="9:29" ht="15" customHeight="1">
      <c r="I211" s="59"/>
      <c r="J211" s="59"/>
      <c r="K211" s="59"/>
      <c r="L211" s="59"/>
      <c r="M211" s="59"/>
      <c r="N211" s="59"/>
      <c r="O211" s="59"/>
      <c r="P211" s="59"/>
      <c r="Q211" s="59"/>
      <c r="R211" s="59"/>
      <c r="S211" s="59"/>
      <c r="T211" s="59"/>
      <c r="U211" s="59"/>
      <c r="V211" s="59"/>
      <c r="W211" s="59"/>
      <c r="X211" s="59"/>
      <c r="Y211" s="59"/>
      <c r="Z211" s="59"/>
      <c r="AA211" s="59"/>
      <c r="AB211" s="59"/>
      <c r="AC211" s="59"/>
    </row>
    <row r="212" spans="9:29" ht="15" customHeight="1">
      <c r="I212" s="59"/>
      <c r="J212" s="59"/>
      <c r="K212" s="59"/>
      <c r="L212" s="59"/>
      <c r="M212" s="59"/>
      <c r="N212" s="59"/>
      <c r="O212" s="59"/>
      <c r="P212" s="59"/>
      <c r="Q212" s="59"/>
      <c r="R212" s="59"/>
      <c r="S212" s="59"/>
      <c r="T212" s="59"/>
      <c r="U212" s="59"/>
      <c r="V212" s="59"/>
      <c r="W212" s="59"/>
      <c r="X212" s="59"/>
      <c r="Y212" s="59"/>
      <c r="Z212" s="59"/>
      <c r="AA212" s="59"/>
      <c r="AB212" s="59"/>
      <c r="AC212" s="59"/>
    </row>
    <row r="213" spans="9:29" ht="15" customHeight="1">
      <c r="I213" s="59"/>
      <c r="J213" s="59"/>
      <c r="K213" s="59"/>
      <c r="L213" s="59"/>
      <c r="M213" s="59"/>
      <c r="N213" s="59"/>
      <c r="O213" s="59"/>
      <c r="P213" s="59"/>
      <c r="Q213" s="59"/>
      <c r="R213" s="59"/>
      <c r="S213" s="59"/>
      <c r="T213" s="59"/>
      <c r="U213" s="59"/>
      <c r="V213" s="59"/>
      <c r="W213" s="59"/>
      <c r="X213" s="59"/>
      <c r="Y213" s="59"/>
      <c r="Z213" s="59"/>
      <c r="AA213" s="59"/>
      <c r="AB213" s="59"/>
      <c r="AC213" s="59"/>
    </row>
    <row r="214" spans="9:29" ht="15" customHeight="1">
      <c r="I214" s="59"/>
      <c r="J214" s="59"/>
      <c r="K214" s="59"/>
      <c r="L214" s="59"/>
      <c r="M214" s="59"/>
      <c r="N214" s="59"/>
      <c r="O214" s="59"/>
      <c r="P214" s="59"/>
      <c r="Q214" s="59"/>
      <c r="R214" s="59"/>
      <c r="S214" s="59"/>
      <c r="T214" s="59"/>
      <c r="U214" s="59"/>
      <c r="V214" s="59"/>
      <c r="W214" s="59"/>
      <c r="X214" s="59"/>
      <c r="Y214" s="59"/>
      <c r="Z214" s="59"/>
      <c r="AA214" s="59"/>
      <c r="AB214" s="59"/>
      <c r="AC214" s="59"/>
    </row>
    <row r="215" spans="9:29" ht="15" customHeight="1">
      <c r="I215" s="59"/>
      <c r="J215" s="59"/>
      <c r="K215" s="59"/>
      <c r="L215" s="59"/>
      <c r="M215" s="59"/>
      <c r="N215" s="59"/>
      <c r="O215" s="59"/>
      <c r="P215" s="59"/>
      <c r="Q215" s="59"/>
      <c r="R215" s="59"/>
      <c r="S215" s="59"/>
      <c r="T215" s="59"/>
      <c r="U215" s="59"/>
      <c r="V215" s="59"/>
      <c r="W215" s="59"/>
      <c r="X215" s="59"/>
      <c r="Y215" s="59"/>
      <c r="Z215" s="59"/>
      <c r="AA215" s="59"/>
      <c r="AB215" s="59"/>
      <c r="AC215" s="59"/>
    </row>
    <row r="216" spans="9:29" ht="15" customHeight="1">
      <c r="I216" s="59"/>
      <c r="J216" s="59"/>
      <c r="K216" s="59"/>
      <c r="L216" s="59"/>
      <c r="M216" s="59"/>
      <c r="N216" s="59"/>
      <c r="O216" s="59"/>
      <c r="P216" s="59"/>
      <c r="Q216" s="59"/>
      <c r="R216" s="59"/>
      <c r="S216" s="59"/>
      <c r="T216" s="59"/>
      <c r="U216" s="59"/>
      <c r="V216" s="59"/>
      <c r="W216" s="59"/>
      <c r="X216" s="59"/>
      <c r="Y216" s="59"/>
      <c r="Z216" s="59"/>
      <c r="AA216" s="59"/>
      <c r="AB216" s="59"/>
      <c r="AC216" s="59"/>
    </row>
    <row r="217" spans="9:29" ht="15" customHeight="1">
      <c r="I217" s="59"/>
      <c r="J217" s="59"/>
      <c r="K217" s="59"/>
      <c r="L217" s="59"/>
      <c r="M217" s="59"/>
      <c r="N217" s="59"/>
      <c r="O217" s="59"/>
      <c r="P217" s="59"/>
      <c r="Q217" s="59"/>
      <c r="R217" s="59"/>
      <c r="S217" s="59"/>
      <c r="T217" s="59"/>
      <c r="U217" s="59"/>
      <c r="V217" s="59"/>
      <c r="W217" s="59"/>
      <c r="X217" s="59"/>
      <c r="Y217" s="59"/>
      <c r="Z217" s="59"/>
      <c r="AA217" s="59"/>
      <c r="AB217" s="59"/>
      <c r="AC217" s="59"/>
    </row>
    <row r="218" spans="9:29" ht="15" customHeight="1">
      <c r="I218" s="59"/>
      <c r="J218" s="59"/>
      <c r="K218" s="59"/>
      <c r="L218" s="59"/>
      <c r="M218" s="59"/>
      <c r="N218" s="59"/>
      <c r="O218" s="59"/>
      <c r="P218" s="59"/>
      <c r="Q218" s="59"/>
      <c r="R218" s="59"/>
      <c r="S218" s="59"/>
      <c r="T218" s="59"/>
      <c r="U218" s="59"/>
      <c r="V218" s="59"/>
      <c r="W218" s="59"/>
      <c r="X218" s="59"/>
      <c r="Y218" s="59"/>
      <c r="Z218" s="59"/>
      <c r="AA218" s="59"/>
      <c r="AB218" s="59"/>
      <c r="AC218" s="59"/>
    </row>
    <row r="219" spans="9:29" ht="15" customHeight="1">
      <c r="I219" s="59"/>
      <c r="J219" s="59"/>
      <c r="K219" s="59"/>
      <c r="L219" s="59"/>
      <c r="M219" s="59"/>
      <c r="N219" s="59"/>
      <c r="O219" s="59"/>
      <c r="P219" s="59"/>
      <c r="Q219" s="59"/>
      <c r="R219" s="59"/>
      <c r="S219" s="59"/>
      <c r="T219" s="59"/>
      <c r="U219" s="59"/>
      <c r="V219" s="59"/>
      <c r="W219" s="59"/>
      <c r="X219" s="59"/>
      <c r="Y219" s="59"/>
      <c r="Z219" s="59"/>
      <c r="AA219" s="59"/>
      <c r="AB219" s="59"/>
      <c r="AC219" s="59"/>
    </row>
    <row r="220" spans="9:29" ht="15" customHeight="1">
      <c r="I220" s="59"/>
      <c r="J220" s="59"/>
      <c r="K220" s="59"/>
      <c r="L220" s="59"/>
      <c r="M220" s="59"/>
      <c r="N220" s="59"/>
      <c r="O220" s="59"/>
      <c r="P220" s="59"/>
      <c r="Q220" s="59"/>
      <c r="R220" s="59"/>
      <c r="S220" s="59"/>
      <c r="T220" s="59"/>
      <c r="U220" s="59"/>
      <c r="V220" s="59"/>
      <c r="W220" s="59"/>
      <c r="X220" s="59"/>
      <c r="Y220" s="59"/>
      <c r="Z220" s="59"/>
      <c r="AA220" s="59"/>
      <c r="AB220" s="59"/>
      <c r="AC220" s="59"/>
    </row>
    <row r="221" spans="9:29" ht="15" customHeight="1">
      <c r="I221" s="59"/>
      <c r="J221" s="59"/>
      <c r="K221" s="59"/>
      <c r="L221" s="59"/>
      <c r="M221" s="59"/>
      <c r="N221" s="59"/>
      <c r="O221" s="59"/>
      <c r="P221" s="59"/>
      <c r="Q221" s="59"/>
      <c r="R221" s="59"/>
      <c r="S221" s="59"/>
      <c r="T221" s="59"/>
      <c r="U221" s="59"/>
      <c r="V221" s="59"/>
      <c r="W221" s="59"/>
      <c r="X221" s="59"/>
      <c r="Y221" s="59"/>
      <c r="Z221" s="59"/>
      <c r="AA221" s="59"/>
      <c r="AB221" s="59"/>
      <c r="AC221" s="59"/>
    </row>
    <row r="222" spans="9:29" ht="15" customHeight="1">
      <c r="I222" s="59"/>
      <c r="J222" s="59"/>
      <c r="K222" s="59"/>
      <c r="L222" s="59"/>
      <c r="M222" s="59"/>
      <c r="N222" s="59"/>
      <c r="O222" s="59"/>
      <c r="P222" s="59"/>
      <c r="Q222" s="59"/>
      <c r="R222" s="59"/>
      <c r="S222" s="59"/>
      <c r="T222" s="59"/>
      <c r="U222" s="59"/>
      <c r="V222" s="59"/>
      <c r="W222" s="59"/>
      <c r="X222" s="59"/>
      <c r="Y222" s="59"/>
      <c r="Z222" s="59"/>
      <c r="AA222" s="59"/>
      <c r="AB222" s="59"/>
      <c r="AC222" s="59"/>
    </row>
    <row r="223" spans="9:29" ht="15" customHeight="1">
      <c r="I223" s="59"/>
      <c r="J223" s="59"/>
      <c r="K223" s="59"/>
      <c r="L223" s="59"/>
      <c r="M223" s="59"/>
      <c r="N223" s="59"/>
      <c r="O223" s="59"/>
      <c r="P223" s="59"/>
      <c r="Q223" s="59"/>
      <c r="R223" s="59"/>
      <c r="S223" s="59"/>
      <c r="T223" s="59"/>
      <c r="U223" s="59"/>
      <c r="V223" s="59"/>
      <c r="W223" s="59"/>
      <c r="X223" s="59"/>
      <c r="Y223" s="59"/>
      <c r="Z223" s="59"/>
      <c r="AA223" s="59"/>
      <c r="AB223" s="59"/>
      <c r="AC223" s="59"/>
    </row>
    <row r="224" spans="9:29" ht="15" customHeight="1">
      <c r="I224" s="59"/>
      <c r="J224" s="59"/>
      <c r="K224" s="59"/>
      <c r="L224" s="59"/>
      <c r="M224" s="59"/>
      <c r="N224" s="59"/>
      <c r="O224" s="59"/>
      <c r="P224" s="59"/>
      <c r="Q224" s="59"/>
      <c r="R224" s="59"/>
      <c r="S224" s="59"/>
      <c r="T224" s="59"/>
      <c r="U224" s="59"/>
      <c r="V224" s="59"/>
      <c r="W224" s="59"/>
      <c r="X224" s="59"/>
      <c r="Y224" s="59"/>
      <c r="Z224" s="59"/>
      <c r="AA224" s="59"/>
      <c r="AB224" s="59"/>
      <c r="AC224" s="59"/>
    </row>
    <row r="225" spans="9:29" ht="15" customHeight="1">
      <c r="I225" s="59"/>
      <c r="J225" s="59"/>
      <c r="K225" s="59"/>
      <c r="L225" s="59"/>
      <c r="M225" s="59"/>
      <c r="N225" s="59"/>
      <c r="O225" s="59"/>
      <c r="P225" s="59"/>
      <c r="Q225" s="59"/>
      <c r="R225" s="59"/>
      <c r="S225" s="59"/>
      <c r="T225" s="59"/>
      <c r="U225" s="59"/>
      <c r="V225" s="59"/>
      <c r="W225" s="59"/>
      <c r="X225" s="59"/>
      <c r="Y225" s="59"/>
      <c r="Z225" s="59"/>
      <c r="AA225" s="59"/>
      <c r="AB225" s="59"/>
      <c r="AC225" s="59"/>
    </row>
    <row r="226" spans="9:29" ht="15" customHeight="1">
      <c r="I226" s="59"/>
      <c r="J226" s="59"/>
      <c r="K226" s="59"/>
      <c r="L226" s="59"/>
      <c r="M226" s="59"/>
      <c r="N226" s="59"/>
      <c r="O226" s="59"/>
      <c r="P226" s="59"/>
      <c r="Q226" s="59"/>
      <c r="R226" s="59"/>
      <c r="S226" s="59"/>
      <c r="T226" s="59"/>
      <c r="U226" s="59"/>
      <c r="V226" s="59"/>
      <c r="W226" s="59"/>
      <c r="X226" s="59"/>
      <c r="Y226" s="59"/>
      <c r="Z226" s="59"/>
      <c r="AA226" s="59"/>
      <c r="AB226" s="59"/>
      <c r="AC226" s="59"/>
    </row>
    <row r="227" spans="9:29" ht="15" customHeight="1">
      <c r="I227" s="59"/>
      <c r="J227" s="59"/>
      <c r="K227" s="59"/>
      <c r="L227" s="59"/>
      <c r="M227" s="59"/>
      <c r="N227" s="59"/>
      <c r="O227" s="59"/>
      <c r="P227" s="59"/>
      <c r="Q227" s="59"/>
      <c r="R227" s="59"/>
      <c r="S227" s="59"/>
      <c r="T227" s="59"/>
      <c r="U227" s="59"/>
      <c r="V227" s="59"/>
      <c r="W227" s="59"/>
      <c r="X227" s="59"/>
      <c r="Y227" s="59"/>
      <c r="Z227" s="59"/>
      <c r="AA227" s="59"/>
      <c r="AB227" s="59"/>
      <c r="AC227" s="59"/>
    </row>
    <row r="228" spans="9:29" ht="15" customHeight="1">
      <c r="I228" s="59"/>
      <c r="J228" s="59"/>
      <c r="K228" s="59"/>
      <c r="L228" s="59"/>
      <c r="M228" s="59"/>
      <c r="N228" s="59"/>
      <c r="O228" s="59"/>
      <c r="P228" s="59"/>
      <c r="Q228" s="59"/>
      <c r="R228" s="59"/>
      <c r="S228" s="59"/>
      <c r="T228" s="59"/>
      <c r="U228" s="59"/>
      <c r="V228" s="59"/>
      <c r="W228" s="59"/>
      <c r="X228" s="59"/>
      <c r="Y228" s="59"/>
      <c r="Z228" s="59"/>
      <c r="AA228" s="59"/>
      <c r="AB228" s="59"/>
      <c r="AC228" s="59"/>
    </row>
    <row r="229" spans="9:29" ht="15" customHeight="1">
      <c r="I229" s="59"/>
      <c r="J229" s="59"/>
      <c r="K229" s="59"/>
      <c r="L229" s="59"/>
      <c r="M229" s="59"/>
      <c r="N229" s="59"/>
      <c r="O229" s="59"/>
      <c r="P229" s="59"/>
      <c r="Q229" s="59"/>
      <c r="R229" s="59"/>
      <c r="S229" s="59"/>
      <c r="T229" s="59"/>
      <c r="U229" s="59"/>
      <c r="V229" s="59"/>
      <c r="W229" s="59"/>
      <c r="X229" s="59"/>
      <c r="Y229" s="59"/>
      <c r="Z229" s="59"/>
      <c r="AA229" s="59"/>
      <c r="AB229" s="59"/>
      <c r="AC229" s="59"/>
    </row>
    <row r="230" spans="9:29" ht="15" customHeight="1">
      <c r="I230" s="59"/>
      <c r="J230" s="59"/>
      <c r="K230" s="59"/>
      <c r="L230" s="59"/>
      <c r="M230" s="59"/>
      <c r="N230" s="59"/>
      <c r="O230" s="59"/>
      <c r="P230" s="59"/>
      <c r="Q230" s="59"/>
      <c r="R230" s="59"/>
      <c r="S230" s="59"/>
      <c r="T230" s="59"/>
      <c r="U230" s="59"/>
      <c r="V230" s="59"/>
      <c r="W230" s="59"/>
      <c r="X230" s="59"/>
      <c r="Y230" s="59"/>
      <c r="Z230" s="59"/>
      <c r="AA230" s="59"/>
      <c r="AB230" s="59"/>
      <c r="AC230" s="59"/>
    </row>
    <row r="231" spans="9:29" ht="15" customHeight="1">
      <c r="I231" s="59"/>
      <c r="J231" s="59"/>
      <c r="K231" s="59"/>
      <c r="L231" s="59"/>
      <c r="M231" s="59"/>
      <c r="N231" s="59"/>
      <c r="O231" s="59"/>
      <c r="P231" s="59"/>
      <c r="Q231" s="59"/>
      <c r="R231" s="59"/>
      <c r="S231" s="59"/>
      <c r="T231" s="59"/>
      <c r="U231" s="59"/>
      <c r="V231" s="59"/>
      <c r="W231" s="59"/>
      <c r="X231" s="59"/>
      <c r="Y231" s="59"/>
      <c r="Z231" s="59"/>
      <c r="AA231" s="59"/>
      <c r="AB231" s="59"/>
      <c r="AC231" s="59"/>
    </row>
    <row r="232" spans="9:29" ht="15" customHeight="1">
      <c r="I232" s="59"/>
      <c r="J232" s="59"/>
      <c r="K232" s="59"/>
      <c r="L232" s="59"/>
      <c r="M232" s="59"/>
      <c r="N232" s="59"/>
      <c r="O232" s="59"/>
      <c r="P232" s="59"/>
      <c r="Q232" s="59"/>
      <c r="R232" s="59"/>
      <c r="S232" s="59"/>
      <c r="T232" s="59"/>
      <c r="U232" s="59"/>
      <c r="V232" s="59"/>
      <c r="W232" s="59"/>
      <c r="X232" s="59"/>
      <c r="Y232" s="59"/>
      <c r="Z232" s="59"/>
      <c r="AA232" s="59"/>
      <c r="AB232" s="59"/>
      <c r="AC232" s="59"/>
    </row>
    <row r="233" spans="9:29" ht="15" customHeight="1">
      <c r="I233" s="59"/>
      <c r="J233" s="59"/>
      <c r="K233" s="59"/>
      <c r="L233" s="59"/>
      <c r="M233" s="59"/>
      <c r="N233" s="59"/>
      <c r="O233" s="59"/>
      <c r="P233" s="59"/>
      <c r="Q233" s="59"/>
      <c r="R233" s="59"/>
      <c r="S233" s="59"/>
      <c r="T233" s="59"/>
      <c r="U233" s="59"/>
      <c r="V233" s="59"/>
      <c r="W233" s="59"/>
      <c r="X233" s="59"/>
      <c r="Y233" s="59"/>
      <c r="Z233" s="59"/>
      <c r="AA233" s="59"/>
      <c r="AB233" s="59"/>
      <c r="AC233" s="59"/>
    </row>
    <row r="234" spans="9:29" ht="15" customHeight="1">
      <c r="I234" s="59"/>
      <c r="J234" s="59"/>
      <c r="K234" s="59"/>
      <c r="L234" s="59"/>
      <c r="M234" s="59"/>
      <c r="N234" s="59"/>
      <c r="O234" s="59"/>
      <c r="P234" s="59"/>
      <c r="Q234" s="59"/>
      <c r="R234" s="59"/>
      <c r="S234" s="59"/>
      <c r="T234" s="59"/>
      <c r="U234" s="59"/>
      <c r="V234" s="59"/>
      <c r="W234" s="59"/>
      <c r="X234" s="59"/>
      <c r="Y234" s="59"/>
      <c r="Z234" s="59"/>
      <c r="AA234" s="59"/>
      <c r="AB234" s="59"/>
      <c r="AC234" s="59"/>
    </row>
    <row r="235" spans="9:29" ht="15" customHeight="1">
      <c r="I235" s="59"/>
      <c r="J235" s="59"/>
      <c r="K235" s="59"/>
      <c r="L235" s="59"/>
      <c r="M235" s="59"/>
      <c r="N235" s="59"/>
      <c r="O235" s="59"/>
      <c r="P235" s="59"/>
      <c r="Q235" s="59"/>
      <c r="R235" s="59"/>
      <c r="S235" s="59"/>
      <c r="T235" s="59"/>
      <c r="U235" s="59"/>
      <c r="V235" s="59"/>
      <c r="W235" s="59"/>
      <c r="X235" s="59"/>
      <c r="Y235" s="59"/>
      <c r="Z235" s="59"/>
      <c r="AA235" s="59"/>
      <c r="AB235" s="59"/>
      <c r="AC235" s="59"/>
    </row>
    <row r="236" spans="9:29" ht="15" customHeight="1">
      <c r="I236" s="59"/>
      <c r="J236" s="59"/>
      <c r="K236" s="59"/>
      <c r="L236" s="59"/>
      <c r="M236" s="59"/>
      <c r="N236" s="59"/>
      <c r="O236" s="59"/>
      <c r="P236" s="59"/>
      <c r="Q236" s="59"/>
      <c r="R236" s="59"/>
      <c r="S236" s="59"/>
      <c r="T236" s="59"/>
      <c r="U236" s="59"/>
      <c r="V236" s="59"/>
      <c r="W236" s="59"/>
      <c r="X236" s="59"/>
      <c r="Y236" s="59"/>
      <c r="Z236" s="59"/>
      <c r="AA236" s="59"/>
      <c r="AB236" s="59"/>
      <c r="AC236" s="59"/>
    </row>
    <row r="237" spans="9:29" ht="15" customHeight="1">
      <c r="I237" s="59"/>
      <c r="J237" s="59"/>
      <c r="K237" s="59"/>
      <c r="L237" s="59"/>
      <c r="M237" s="59"/>
      <c r="N237" s="59"/>
      <c r="O237" s="59"/>
      <c r="P237" s="59"/>
      <c r="Q237" s="59"/>
      <c r="R237" s="59"/>
      <c r="S237" s="59"/>
      <c r="T237" s="59"/>
      <c r="U237" s="59"/>
      <c r="V237" s="59"/>
      <c r="W237" s="59"/>
      <c r="X237" s="59"/>
      <c r="Y237" s="59"/>
      <c r="Z237" s="59"/>
      <c r="AA237" s="59"/>
      <c r="AB237" s="59"/>
      <c r="AC237" s="59"/>
    </row>
    <row r="238" spans="9:29" ht="15" customHeight="1">
      <c r="I238" s="59"/>
      <c r="J238" s="59"/>
      <c r="K238" s="59"/>
      <c r="L238" s="59"/>
      <c r="M238" s="59"/>
      <c r="N238" s="59"/>
      <c r="O238" s="59"/>
      <c r="P238" s="59"/>
      <c r="Q238" s="59"/>
      <c r="R238" s="59"/>
      <c r="S238" s="59"/>
      <c r="T238" s="59"/>
      <c r="U238" s="59"/>
      <c r="V238" s="59"/>
      <c r="W238" s="59"/>
      <c r="X238" s="59"/>
      <c r="Y238" s="59"/>
      <c r="Z238" s="59"/>
      <c r="AA238" s="59"/>
      <c r="AB238" s="59"/>
      <c r="AC238" s="59"/>
    </row>
    <row r="239" spans="9:29" ht="15" customHeight="1">
      <c r="I239" s="59"/>
      <c r="J239" s="59"/>
      <c r="K239" s="59"/>
      <c r="L239" s="59"/>
      <c r="M239" s="59"/>
      <c r="N239" s="59"/>
      <c r="O239" s="59"/>
      <c r="P239" s="59"/>
      <c r="Q239" s="59"/>
      <c r="R239" s="59"/>
      <c r="S239" s="59"/>
      <c r="T239" s="59"/>
      <c r="U239" s="59"/>
      <c r="V239" s="59"/>
      <c r="W239" s="59"/>
      <c r="X239" s="59"/>
      <c r="Y239" s="59"/>
      <c r="Z239" s="59"/>
      <c r="AA239" s="59"/>
      <c r="AB239" s="59"/>
      <c r="AC239" s="59"/>
    </row>
    <row r="240" spans="9:29" ht="15" customHeight="1">
      <c r="I240" s="59"/>
      <c r="J240" s="59"/>
      <c r="K240" s="59"/>
      <c r="L240" s="59"/>
      <c r="M240" s="59"/>
      <c r="N240" s="59"/>
      <c r="O240" s="59"/>
      <c r="P240" s="59"/>
      <c r="Q240" s="59"/>
      <c r="R240" s="59"/>
      <c r="S240" s="59"/>
      <c r="T240" s="59"/>
      <c r="U240" s="59"/>
      <c r="V240" s="59"/>
      <c r="W240" s="59"/>
      <c r="X240" s="59"/>
      <c r="Y240" s="59"/>
      <c r="Z240" s="59"/>
      <c r="AA240" s="59"/>
      <c r="AB240" s="59"/>
      <c r="AC240" s="59"/>
    </row>
    <row r="241" spans="9:29" ht="15" customHeight="1">
      <c r="I241" s="59"/>
      <c r="J241" s="59"/>
      <c r="K241" s="59"/>
      <c r="L241" s="59"/>
      <c r="M241" s="59"/>
      <c r="N241" s="59"/>
      <c r="O241" s="59"/>
      <c r="P241" s="59"/>
      <c r="Q241" s="59"/>
      <c r="R241" s="59"/>
      <c r="S241" s="59"/>
      <c r="T241" s="59"/>
      <c r="U241" s="59"/>
      <c r="V241" s="59"/>
      <c r="W241" s="59"/>
      <c r="X241" s="59"/>
      <c r="Y241" s="59"/>
      <c r="Z241" s="59"/>
      <c r="AA241" s="59"/>
      <c r="AB241" s="59"/>
      <c r="AC241" s="59"/>
    </row>
    <row r="242" spans="9:29" ht="15" customHeight="1">
      <c r="I242" s="59"/>
      <c r="J242" s="59"/>
      <c r="K242" s="59"/>
      <c r="L242" s="59"/>
      <c r="M242" s="59"/>
      <c r="N242" s="59"/>
      <c r="O242" s="59"/>
      <c r="P242" s="59"/>
      <c r="Q242" s="59"/>
      <c r="R242" s="59"/>
      <c r="S242" s="59"/>
      <c r="T242" s="59"/>
      <c r="U242" s="59"/>
      <c r="V242" s="59"/>
      <c r="W242" s="59"/>
      <c r="X242" s="59"/>
      <c r="Y242" s="59"/>
      <c r="Z242" s="59"/>
      <c r="AA242" s="59"/>
      <c r="AB242" s="59"/>
      <c r="AC242" s="59"/>
    </row>
    <row r="243" spans="9:29" ht="15" customHeight="1">
      <c r="I243" s="59"/>
      <c r="J243" s="59"/>
      <c r="K243" s="59"/>
      <c r="L243" s="59"/>
      <c r="M243" s="59"/>
      <c r="N243" s="59"/>
      <c r="O243" s="59"/>
      <c r="P243" s="59"/>
      <c r="Q243" s="59"/>
      <c r="R243" s="59"/>
      <c r="S243" s="59"/>
      <c r="T243" s="59"/>
      <c r="U243" s="59"/>
      <c r="V243" s="59"/>
      <c r="W243" s="59"/>
      <c r="X243" s="59"/>
      <c r="Y243" s="59"/>
      <c r="Z243" s="59"/>
      <c r="AA243" s="59"/>
      <c r="AB243" s="59"/>
      <c r="AC243" s="59"/>
    </row>
    <row r="244" spans="9:29" ht="15" customHeight="1">
      <c r="I244" s="59"/>
      <c r="J244" s="59"/>
      <c r="K244" s="59"/>
      <c r="L244" s="59"/>
      <c r="M244" s="59"/>
      <c r="N244" s="59"/>
      <c r="O244" s="59"/>
      <c r="P244" s="59"/>
      <c r="Q244" s="59"/>
      <c r="R244" s="59"/>
      <c r="S244" s="59"/>
      <c r="T244" s="59"/>
      <c r="U244" s="59"/>
      <c r="V244" s="59"/>
      <c r="W244" s="59"/>
      <c r="X244" s="59"/>
      <c r="Y244" s="59"/>
      <c r="Z244" s="59"/>
      <c r="AA244" s="59"/>
      <c r="AB244" s="59"/>
      <c r="AC244" s="59"/>
    </row>
    <row r="245" spans="9:29" ht="15" customHeight="1">
      <c r="I245" s="59"/>
      <c r="J245" s="59"/>
      <c r="K245" s="59"/>
      <c r="L245" s="59"/>
      <c r="M245" s="59"/>
      <c r="N245" s="59"/>
      <c r="O245" s="59"/>
      <c r="P245" s="59"/>
      <c r="Q245" s="59"/>
      <c r="R245" s="59"/>
      <c r="S245" s="59"/>
      <c r="T245" s="59"/>
      <c r="U245" s="59"/>
      <c r="V245" s="59"/>
      <c r="W245" s="59"/>
      <c r="X245" s="59"/>
      <c r="Y245" s="59"/>
      <c r="Z245" s="59"/>
      <c r="AA245" s="59"/>
      <c r="AB245" s="59"/>
      <c r="AC245" s="59"/>
    </row>
    <row r="246" spans="9:29" ht="15" customHeight="1">
      <c r="I246" s="59"/>
      <c r="J246" s="59"/>
      <c r="K246" s="59"/>
      <c r="L246" s="59"/>
      <c r="M246" s="59"/>
      <c r="N246" s="59"/>
      <c r="O246" s="59"/>
      <c r="P246" s="59"/>
      <c r="Q246" s="59"/>
      <c r="R246" s="59"/>
      <c r="S246" s="59"/>
      <c r="T246" s="59"/>
      <c r="U246" s="59"/>
      <c r="V246" s="59"/>
      <c r="W246" s="59"/>
      <c r="X246" s="59"/>
      <c r="Y246" s="59"/>
      <c r="Z246" s="59"/>
      <c r="AA246" s="59"/>
      <c r="AB246" s="59"/>
      <c r="AC246" s="59"/>
    </row>
    <row r="247" spans="9:29" ht="15" customHeight="1">
      <c r="I247" s="59"/>
      <c r="J247" s="59"/>
      <c r="K247" s="59"/>
      <c r="L247" s="59"/>
      <c r="M247" s="59"/>
      <c r="N247" s="59"/>
      <c r="O247" s="59"/>
      <c r="P247" s="59"/>
      <c r="Q247" s="59"/>
      <c r="R247" s="59"/>
      <c r="S247" s="59"/>
      <c r="T247" s="59"/>
      <c r="U247" s="59"/>
      <c r="V247" s="59"/>
      <c r="W247" s="59"/>
      <c r="X247" s="59"/>
      <c r="Y247" s="59"/>
      <c r="Z247" s="59"/>
      <c r="AA247" s="59"/>
      <c r="AB247" s="59"/>
      <c r="AC247" s="59"/>
    </row>
    <row r="248" spans="9:29" ht="15" customHeight="1">
      <c r="I248" s="59"/>
      <c r="J248" s="59"/>
      <c r="K248" s="59"/>
      <c r="L248" s="59"/>
      <c r="M248" s="59"/>
      <c r="N248" s="59"/>
      <c r="O248" s="59"/>
      <c r="P248" s="59"/>
      <c r="Q248" s="59"/>
      <c r="R248" s="59"/>
      <c r="S248" s="59"/>
      <c r="T248" s="59"/>
      <c r="U248" s="59"/>
      <c r="V248" s="59"/>
      <c r="W248" s="59"/>
      <c r="X248" s="59"/>
      <c r="Y248" s="59"/>
      <c r="Z248" s="59"/>
      <c r="AA248" s="59"/>
      <c r="AB248" s="59"/>
      <c r="AC248" s="59"/>
    </row>
    <row r="249" spans="9:29" ht="15" customHeight="1">
      <c r="I249" s="59"/>
      <c r="J249" s="59"/>
      <c r="K249" s="59"/>
      <c r="L249" s="59"/>
      <c r="M249" s="59"/>
      <c r="N249" s="59"/>
      <c r="O249" s="59"/>
      <c r="P249" s="59"/>
      <c r="Q249" s="59"/>
      <c r="R249" s="59"/>
      <c r="S249" s="59"/>
      <c r="T249" s="59"/>
      <c r="U249" s="59"/>
      <c r="V249" s="59"/>
      <c r="W249" s="59"/>
      <c r="X249" s="59"/>
      <c r="Y249" s="59"/>
      <c r="Z249" s="59"/>
      <c r="AA249" s="59"/>
      <c r="AB249" s="59"/>
      <c r="AC249" s="59"/>
    </row>
    <row r="250" spans="9:29" ht="15" customHeight="1">
      <c r="I250" s="59"/>
      <c r="J250" s="59"/>
      <c r="K250" s="59"/>
      <c r="L250" s="59"/>
      <c r="M250" s="59"/>
      <c r="N250" s="59"/>
      <c r="O250" s="59"/>
      <c r="P250" s="59"/>
      <c r="Q250" s="59"/>
      <c r="R250" s="59"/>
      <c r="S250" s="59"/>
      <c r="T250" s="59"/>
      <c r="U250" s="59"/>
      <c r="V250" s="59"/>
      <c r="W250" s="59"/>
      <c r="X250" s="59"/>
      <c r="Y250" s="59"/>
      <c r="Z250" s="59"/>
      <c r="AA250" s="59"/>
      <c r="AB250" s="59"/>
      <c r="AC250" s="59"/>
    </row>
    <row r="251" spans="9:29" ht="15" customHeight="1">
      <c r="I251" s="59"/>
      <c r="J251" s="59"/>
      <c r="K251" s="59"/>
      <c r="L251" s="59"/>
      <c r="M251" s="59"/>
      <c r="N251" s="59"/>
      <c r="O251" s="59"/>
      <c r="P251" s="59"/>
      <c r="Q251" s="59"/>
      <c r="R251" s="59"/>
      <c r="S251" s="59"/>
      <c r="T251" s="59"/>
      <c r="U251" s="59"/>
      <c r="V251" s="59"/>
      <c r="W251" s="59"/>
      <c r="X251" s="59"/>
      <c r="Y251" s="59"/>
      <c r="Z251" s="59"/>
      <c r="AA251" s="59"/>
      <c r="AB251" s="59"/>
      <c r="AC251" s="59"/>
    </row>
    <row r="252" spans="9:29" ht="15" customHeight="1">
      <c r="I252" s="59"/>
      <c r="J252" s="59"/>
      <c r="K252" s="59"/>
      <c r="L252" s="59"/>
      <c r="M252" s="59"/>
      <c r="N252" s="59"/>
      <c r="O252" s="59"/>
      <c r="P252" s="59"/>
      <c r="Q252" s="59"/>
      <c r="R252" s="59"/>
      <c r="S252" s="59"/>
      <c r="T252" s="59"/>
      <c r="U252" s="59"/>
      <c r="V252" s="59"/>
      <c r="W252" s="59"/>
      <c r="X252" s="59"/>
      <c r="Y252" s="59"/>
      <c r="Z252" s="59"/>
      <c r="AA252" s="59"/>
      <c r="AB252" s="59"/>
      <c r="AC252" s="59"/>
    </row>
    <row r="253" spans="9:29" ht="15" customHeight="1">
      <c r="I253" s="59"/>
      <c r="J253" s="59"/>
      <c r="K253" s="59"/>
      <c r="L253" s="59"/>
      <c r="M253" s="59"/>
      <c r="N253" s="59"/>
      <c r="O253" s="59"/>
      <c r="P253" s="59"/>
      <c r="Q253" s="59"/>
      <c r="R253" s="59"/>
      <c r="S253" s="59"/>
      <c r="T253" s="59"/>
      <c r="U253" s="59"/>
      <c r="V253" s="59"/>
      <c r="W253" s="59"/>
      <c r="X253" s="59"/>
      <c r="Y253" s="59"/>
      <c r="Z253" s="59"/>
      <c r="AA253" s="59"/>
      <c r="AB253" s="59"/>
      <c r="AC253" s="59"/>
    </row>
    <row r="254" spans="9:29" ht="15" customHeight="1">
      <c r="I254" s="59"/>
      <c r="J254" s="59"/>
      <c r="K254" s="59"/>
      <c r="L254" s="59"/>
      <c r="M254" s="59"/>
      <c r="N254" s="59"/>
      <c r="O254" s="59"/>
      <c r="P254" s="59"/>
      <c r="Q254" s="59"/>
      <c r="R254" s="59"/>
      <c r="S254" s="59"/>
      <c r="T254" s="59"/>
      <c r="U254" s="59"/>
      <c r="V254" s="59"/>
      <c r="W254" s="59"/>
      <c r="X254" s="59"/>
      <c r="Y254" s="59"/>
      <c r="Z254" s="59"/>
      <c r="AA254" s="59"/>
      <c r="AB254" s="59"/>
      <c r="AC254" s="59"/>
    </row>
    <row r="255" spans="9:29" ht="15" customHeight="1">
      <c r="I255" s="59"/>
      <c r="J255" s="59"/>
      <c r="K255" s="59"/>
      <c r="L255" s="59"/>
      <c r="M255" s="59"/>
      <c r="N255" s="59"/>
      <c r="O255" s="59"/>
      <c r="P255" s="59"/>
      <c r="Q255" s="59"/>
      <c r="R255" s="59"/>
      <c r="S255" s="59"/>
      <c r="T255" s="59"/>
      <c r="U255" s="59"/>
      <c r="V255" s="59"/>
      <c r="W255" s="59"/>
      <c r="X255" s="59"/>
      <c r="Y255" s="59"/>
      <c r="Z255" s="59"/>
      <c r="AA255" s="59"/>
      <c r="AB255" s="59"/>
      <c r="AC255" s="59"/>
    </row>
    <row r="256" spans="9:29" ht="15" customHeight="1">
      <c r="I256" s="59"/>
      <c r="J256" s="59"/>
      <c r="K256" s="59"/>
      <c r="L256" s="59"/>
      <c r="M256" s="59"/>
      <c r="N256" s="59"/>
      <c r="O256" s="59"/>
      <c r="P256" s="59"/>
      <c r="Q256" s="59"/>
      <c r="R256" s="59"/>
      <c r="S256" s="59"/>
      <c r="T256" s="59"/>
      <c r="U256" s="59"/>
      <c r="V256" s="59"/>
      <c r="W256" s="59"/>
      <c r="X256" s="59"/>
      <c r="Y256" s="59"/>
      <c r="Z256" s="59"/>
      <c r="AA256" s="59"/>
      <c r="AB256" s="59"/>
      <c r="AC256" s="59"/>
    </row>
    <row r="257" spans="9:29" ht="15" customHeight="1">
      <c r="I257" s="59"/>
      <c r="J257" s="59"/>
      <c r="K257" s="59"/>
      <c r="L257" s="59"/>
      <c r="M257" s="59"/>
      <c r="N257" s="59"/>
      <c r="O257" s="59"/>
      <c r="P257" s="59"/>
      <c r="Q257" s="59"/>
      <c r="R257" s="59"/>
      <c r="S257" s="59"/>
      <c r="T257" s="59"/>
      <c r="U257" s="59"/>
      <c r="V257" s="59"/>
      <c r="W257" s="59"/>
      <c r="X257" s="59"/>
      <c r="Y257" s="59"/>
      <c r="Z257" s="59"/>
      <c r="AA257" s="59"/>
      <c r="AB257" s="59"/>
      <c r="AC257" s="59"/>
    </row>
    <row r="258" spans="9:29" ht="15" customHeight="1">
      <c r="I258" s="59"/>
      <c r="J258" s="59"/>
      <c r="K258" s="59"/>
      <c r="L258" s="59"/>
      <c r="M258" s="59"/>
      <c r="N258" s="59"/>
      <c r="O258" s="59"/>
      <c r="P258" s="59"/>
      <c r="Q258" s="59"/>
      <c r="R258" s="59"/>
      <c r="S258" s="59"/>
      <c r="T258" s="59"/>
      <c r="U258" s="59"/>
      <c r="V258" s="59"/>
      <c r="W258" s="59"/>
      <c r="X258" s="59"/>
      <c r="Y258" s="59"/>
      <c r="Z258" s="59"/>
      <c r="AA258" s="59"/>
      <c r="AB258" s="59"/>
      <c r="AC258" s="59"/>
    </row>
    <row r="259" spans="9:29" ht="15" customHeight="1">
      <c r="I259" s="59"/>
      <c r="J259" s="59"/>
      <c r="K259" s="59"/>
      <c r="L259" s="59"/>
      <c r="M259" s="59"/>
      <c r="N259" s="59"/>
      <c r="O259" s="59"/>
      <c r="P259" s="59"/>
      <c r="Q259" s="59"/>
      <c r="R259" s="59"/>
      <c r="S259" s="59"/>
      <c r="T259" s="59"/>
      <c r="U259" s="59"/>
      <c r="V259" s="59"/>
      <c r="W259" s="59"/>
      <c r="X259" s="59"/>
      <c r="Y259" s="59"/>
      <c r="Z259" s="59"/>
      <c r="AA259" s="59"/>
      <c r="AB259" s="59"/>
      <c r="AC259" s="59"/>
    </row>
    <row r="260" spans="9:29" ht="15" customHeight="1">
      <c r="I260" s="59"/>
      <c r="J260" s="59"/>
      <c r="K260" s="59"/>
      <c r="L260" s="59"/>
      <c r="M260" s="59"/>
      <c r="N260" s="59"/>
      <c r="O260" s="59"/>
      <c r="P260" s="59"/>
      <c r="Q260" s="59"/>
      <c r="R260" s="59"/>
      <c r="S260" s="59"/>
      <c r="T260" s="59"/>
      <c r="U260" s="59"/>
      <c r="V260" s="59"/>
      <c r="W260" s="59"/>
      <c r="X260" s="59"/>
      <c r="Y260" s="59"/>
      <c r="Z260" s="59"/>
      <c r="AA260" s="59"/>
      <c r="AB260" s="59"/>
      <c r="AC260" s="59"/>
    </row>
    <row r="261" spans="9:29" ht="15" customHeight="1">
      <c r="I261" s="59"/>
      <c r="J261" s="59"/>
      <c r="K261" s="59"/>
      <c r="L261" s="59"/>
      <c r="M261" s="59"/>
      <c r="N261" s="59"/>
      <c r="O261" s="59"/>
      <c r="P261" s="59"/>
      <c r="Q261" s="59"/>
      <c r="R261" s="59"/>
      <c r="S261" s="59"/>
      <c r="T261" s="59"/>
      <c r="U261" s="59"/>
      <c r="V261" s="59"/>
      <c r="W261" s="59"/>
      <c r="X261" s="59"/>
      <c r="Y261" s="59"/>
      <c r="Z261" s="59"/>
      <c r="AA261" s="59"/>
      <c r="AB261" s="59"/>
      <c r="AC261" s="59"/>
    </row>
    <row r="262" spans="9:29" ht="15" customHeight="1">
      <c r="I262" s="59"/>
      <c r="J262" s="59"/>
      <c r="K262" s="59"/>
      <c r="L262" s="59"/>
      <c r="M262" s="59"/>
      <c r="N262" s="59"/>
      <c r="O262" s="59"/>
      <c r="P262" s="59"/>
      <c r="Q262" s="59"/>
      <c r="R262" s="59"/>
      <c r="S262" s="59"/>
      <c r="T262" s="59"/>
      <c r="U262" s="59"/>
      <c r="V262" s="59"/>
      <c r="W262" s="59"/>
      <c r="X262" s="59"/>
      <c r="Y262" s="59"/>
      <c r="Z262" s="59"/>
      <c r="AA262" s="59"/>
      <c r="AB262" s="59"/>
      <c r="AC262" s="59"/>
    </row>
    <row r="263" spans="9:29" ht="15" customHeight="1">
      <c r="I263" s="59"/>
      <c r="J263" s="59"/>
      <c r="K263" s="59"/>
      <c r="L263" s="59"/>
      <c r="M263" s="59"/>
      <c r="N263" s="59"/>
      <c r="O263" s="59"/>
      <c r="P263" s="59"/>
      <c r="Q263" s="59"/>
      <c r="R263" s="59"/>
      <c r="S263" s="59"/>
      <c r="T263" s="59"/>
      <c r="U263" s="59"/>
      <c r="V263" s="59"/>
      <c r="W263" s="59"/>
      <c r="X263" s="59"/>
      <c r="Y263" s="59"/>
      <c r="Z263" s="59"/>
      <c r="AA263" s="59"/>
      <c r="AB263" s="59"/>
      <c r="AC263" s="59"/>
    </row>
    <row r="264" spans="9:29" ht="15" customHeight="1">
      <c r="I264" s="59"/>
      <c r="J264" s="59"/>
      <c r="K264" s="59"/>
      <c r="L264" s="59"/>
      <c r="M264" s="59"/>
      <c r="N264" s="59"/>
      <c r="O264" s="59"/>
      <c r="P264" s="59"/>
      <c r="Q264" s="59"/>
      <c r="R264" s="59"/>
      <c r="S264" s="59"/>
      <c r="T264" s="59"/>
      <c r="U264" s="59"/>
      <c r="V264" s="59"/>
      <c r="W264" s="59"/>
      <c r="X264" s="59"/>
      <c r="Y264" s="59"/>
      <c r="Z264" s="59"/>
      <c r="AA264" s="59"/>
      <c r="AB264" s="59"/>
      <c r="AC264" s="59"/>
    </row>
    <row r="265" spans="9:29" ht="15" customHeight="1">
      <c r="I265" s="59"/>
      <c r="J265" s="59"/>
      <c r="K265" s="59"/>
      <c r="L265" s="59"/>
      <c r="M265" s="59"/>
      <c r="N265" s="59"/>
      <c r="O265" s="59"/>
      <c r="P265" s="59"/>
      <c r="Q265" s="59"/>
      <c r="R265" s="59"/>
      <c r="S265" s="59"/>
      <c r="T265" s="59"/>
      <c r="U265" s="59"/>
      <c r="V265" s="59"/>
      <c r="W265" s="59"/>
      <c r="X265" s="59"/>
      <c r="Y265" s="59"/>
      <c r="Z265" s="59"/>
      <c r="AA265" s="59"/>
      <c r="AB265" s="59"/>
      <c r="AC265" s="59"/>
    </row>
    <row r="266" spans="9:29" ht="15" customHeight="1">
      <c r="I266" s="59"/>
      <c r="J266" s="59"/>
      <c r="K266" s="59"/>
      <c r="L266" s="59"/>
      <c r="M266" s="59"/>
      <c r="N266" s="59"/>
      <c r="O266" s="59"/>
      <c r="P266" s="59"/>
      <c r="Q266" s="59"/>
      <c r="R266" s="59"/>
      <c r="S266" s="59"/>
      <c r="T266" s="59"/>
      <c r="U266" s="59"/>
      <c r="V266" s="59"/>
      <c r="W266" s="59"/>
      <c r="X266" s="59"/>
      <c r="Y266" s="59"/>
      <c r="Z266" s="59"/>
      <c r="AA266" s="59"/>
      <c r="AB266" s="59"/>
      <c r="AC266" s="59"/>
    </row>
    <row r="267" spans="9:29" ht="15" customHeight="1">
      <c r="I267" s="59"/>
      <c r="J267" s="59"/>
      <c r="K267" s="59"/>
      <c r="L267" s="59"/>
      <c r="M267" s="59"/>
      <c r="N267" s="59"/>
      <c r="O267" s="59"/>
      <c r="P267" s="59"/>
      <c r="Q267" s="59"/>
      <c r="R267" s="59"/>
      <c r="S267" s="59"/>
      <c r="T267" s="59"/>
      <c r="U267" s="59"/>
      <c r="V267" s="59"/>
      <c r="W267" s="59"/>
      <c r="X267" s="59"/>
      <c r="Y267" s="59"/>
      <c r="Z267" s="59"/>
      <c r="AA267" s="59"/>
      <c r="AB267" s="59"/>
      <c r="AC267" s="59"/>
    </row>
    <row r="268" spans="9:29" ht="15" customHeight="1">
      <c r="I268" s="59"/>
      <c r="J268" s="59"/>
      <c r="K268" s="59"/>
      <c r="L268" s="59"/>
      <c r="M268" s="59"/>
      <c r="N268" s="59"/>
      <c r="O268" s="59"/>
      <c r="P268" s="59"/>
      <c r="Q268" s="59"/>
      <c r="R268" s="59"/>
      <c r="S268" s="59"/>
      <c r="T268" s="59"/>
      <c r="U268" s="59"/>
      <c r="V268" s="59"/>
      <c r="W268" s="59"/>
      <c r="X268" s="59"/>
      <c r="Y268" s="59"/>
      <c r="Z268" s="59"/>
      <c r="AA268" s="59"/>
      <c r="AB268" s="59"/>
      <c r="AC268" s="59"/>
    </row>
    <row r="269" spans="9:29" ht="15" customHeight="1">
      <c r="I269" s="59"/>
      <c r="J269" s="59"/>
      <c r="K269" s="59"/>
      <c r="L269" s="59"/>
      <c r="M269" s="59"/>
      <c r="N269" s="59"/>
      <c r="O269" s="59"/>
      <c r="P269" s="59"/>
      <c r="Q269" s="59"/>
      <c r="R269" s="59"/>
      <c r="S269" s="59"/>
      <c r="T269" s="59"/>
      <c r="U269" s="59"/>
      <c r="V269" s="59"/>
      <c r="W269" s="59"/>
      <c r="X269" s="59"/>
      <c r="Y269" s="59"/>
      <c r="Z269" s="59"/>
      <c r="AA269" s="59"/>
      <c r="AB269" s="59"/>
      <c r="AC269" s="59"/>
    </row>
    <row r="270" spans="9:29" ht="15" customHeight="1">
      <c r="I270" s="59"/>
      <c r="J270" s="59"/>
      <c r="K270" s="59"/>
      <c r="L270" s="59"/>
      <c r="M270" s="59"/>
      <c r="N270" s="59"/>
      <c r="O270" s="59"/>
      <c r="P270" s="59"/>
      <c r="Q270" s="59"/>
      <c r="R270" s="59"/>
      <c r="S270" s="59"/>
      <c r="T270" s="59"/>
      <c r="U270" s="59"/>
      <c r="V270" s="59"/>
      <c r="W270" s="59"/>
      <c r="X270" s="59"/>
      <c r="Y270" s="59"/>
      <c r="Z270" s="59"/>
      <c r="AA270" s="59"/>
      <c r="AB270" s="59"/>
      <c r="AC270" s="59"/>
    </row>
    <row r="271" spans="9:29" ht="15" customHeight="1">
      <c r="I271" s="59"/>
      <c r="J271" s="59"/>
      <c r="K271" s="59"/>
      <c r="L271" s="59"/>
      <c r="M271" s="59"/>
      <c r="N271" s="59"/>
      <c r="O271" s="59"/>
      <c r="P271" s="59"/>
      <c r="Q271" s="59"/>
      <c r="R271" s="59"/>
      <c r="S271" s="59"/>
      <c r="T271" s="59"/>
      <c r="U271" s="59"/>
      <c r="V271" s="59"/>
      <c r="W271" s="59"/>
      <c r="X271" s="59"/>
      <c r="Y271" s="59"/>
      <c r="Z271" s="59"/>
      <c r="AA271" s="59"/>
      <c r="AB271" s="59"/>
      <c r="AC271" s="59"/>
    </row>
    <row r="272" spans="9:29" ht="15" customHeight="1">
      <c r="I272" s="59"/>
      <c r="J272" s="59"/>
      <c r="K272" s="59"/>
      <c r="L272" s="59"/>
      <c r="M272" s="59"/>
      <c r="N272" s="59"/>
      <c r="O272" s="59"/>
      <c r="P272" s="59"/>
      <c r="Q272" s="59"/>
      <c r="R272" s="59"/>
      <c r="S272" s="59"/>
      <c r="T272" s="59"/>
      <c r="U272" s="59"/>
      <c r="V272" s="59"/>
      <c r="W272" s="59"/>
      <c r="X272" s="59"/>
      <c r="Y272" s="59"/>
      <c r="Z272" s="59"/>
      <c r="AA272" s="59"/>
      <c r="AB272" s="59"/>
      <c r="AC272" s="59"/>
    </row>
    <row r="273" spans="9:29" ht="15" customHeight="1">
      <c r="I273" s="59"/>
      <c r="J273" s="59"/>
      <c r="K273" s="59"/>
      <c r="L273" s="59"/>
      <c r="M273" s="59"/>
      <c r="N273" s="59"/>
      <c r="O273" s="59"/>
      <c r="P273" s="59"/>
      <c r="Q273" s="59"/>
      <c r="R273" s="59"/>
      <c r="S273" s="59"/>
      <c r="T273" s="59"/>
      <c r="U273" s="59"/>
      <c r="V273" s="59"/>
      <c r="W273" s="59"/>
      <c r="X273" s="59"/>
      <c r="Y273" s="59"/>
      <c r="Z273" s="59"/>
      <c r="AA273" s="59"/>
      <c r="AB273" s="59"/>
      <c r="AC273" s="59"/>
    </row>
    <row r="274" spans="9:29" ht="15" customHeight="1">
      <c r="I274" s="59"/>
      <c r="J274" s="59"/>
      <c r="K274" s="59"/>
      <c r="L274" s="59"/>
      <c r="M274" s="59"/>
      <c r="N274" s="59"/>
      <c r="O274" s="59"/>
      <c r="P274" s="59"/>
      <c r="Q274" s="59"/>
      <c r="R274" s="59"/>
      <c r="S274" s="59"/>
      <c r="T274" s="59"/>
      <c r="U274" s="59"/>
      <c r="V274" s="59"/>
      <c r="W274" s="59"/>
      <c r="X274" s="59"/>
      <c r="Y274" s="59"/>
      <c r="Z274" s="59"/>
      <c r="AA274" s="59"/>
      <c r="AB274" s="59"/>
      <c r="AC274" s="59"/>
    </row>
    <row r="275" spans="9:29" ht="15" customHeight="1">
      <c r="I275" s="59"/>
      <c r="J275" s="59"/>
      <c r="K275" s="59"/>
      <c r="L275" s="59"/>
      <c r="M275" s="59"/>
      <c r="N275" s="59"/>
      <c r="O275" s="59"/>
      <c r="P275" s="59"/>
      <c r="Q275" s="59"/>
      <c r="R275" s="59"/>
      <c r="S275" s="59"/>
      <c r="T275" s="59"/>
      <c r="U275" s="59"/>
      <c r="V275" s="59"/>
      <c r="W275" s="59"/>
      <c r="X275" s="59"/>
      <c r="Y275" s="59"/>
      <c r="Z275" s="59"/>
      <c r="AA275" s="59"/>
      <c r="AB275" s="59"/>
      <c r="AC275" s="59"/>
    </row>
    <row r="276" spans="9:29" ht="15" customHeight="1">
      <c r="I276" s="59"/>
      <c r="J276" s="59"/>
      <c r="K276" s="59"/>
      <c r="L276" s="59"/>
      <c r="M276" s="59"/>
      <c r="N276" s="59"/>
      <c r="O276" s="59"/>
      <c r="P276" s="59"/>
      <c r="Q276" s="59"/>
      <c r="R276" s="59"/>
      <c r="S276" s="59"/>
      <c r="T276" s="59"/>
      <c r="U276" s="59"/>
      <c r="V276" s="59"/>
      <c r="W276" s="59"/>
      <c r="X276" s="59"/>
      <c r="Y276" s="59"/>
      <c r="Z276" s="59"/>
      <c r="AA276" s="59"/>
      <c r="AB276" s="59"/>
      <c r="AC276" s="59"/>
    </row>
    <row r="277" spans="9:29" ht="15" customHeight="1">
      <c r="I277" s="59"/>
      <c r="J277" s="59"/>
      <c r="K277" s="59"/>
      <c r="L277" s="59"/>
      <c r="M277" s="59"/>
      <c r="N277" s="59"/>
      <c r="O277" s="59"/>
      <c r="P277" s="59"/>
      <c r="Q277" s="59"/>
      <c r="R277" s="59"/>
      <c r="S277" s="59"/>
      <c r="T277" s="59"/>
      <c r="U277" s="59"/>
      <c r="V277" s="59"/>
      <c r="W277" s="59"/>
      <c r="X277" s="59"/>
      <c r="Y277" s="59"/>
      <c r="Z277" s="59"/>
      <c r="AA277" s="59"/>
      <c r="AB277" s="59"/>
      <c r="AC277" s="59"/>
    </row>
    <row r="278" spans="9:29" ht="15" customHeight="1">
      <c r="I278" s="59"/>
      <c r="J278" s="59"/>
      <c r="K278" s="59"/>
      <c r="L278" s="59"/>
      <c r="M278" s="59"/>
      <c r="N278" s="59"/>
      <c r="O278" s="59"/>
      <c r="P278" s="59"/>
      <c r="Q278" s="59"/>
      <c r="R278" s="59"/>
      <c r="S278" s="59"/>
      <c r="T278" s="59"/>
      <c r="U278" s="59"/>
      <c r="V278" s="59"/>
      <c r="W278" s="59"/>
      <c r="X278" s="59"/>
      <c r="Y278" s="59"/>
      <c r="Z278" s="59"/>
      <c r="AA278" s="59"/>
      <c r="AB278" s="59"/>
      <c r="AC278" s="59"/>
    </row>
    <row r="279" spans="9:29" ht="15" customHeight="1">
      <c r="I279" s="59"/>
      <c r="J279" s="59"/>
      <c r="K279" s="59"/>
      <c r="L279" s="59"/>
      <c r="M279" s="59"/>
      <c r="N279" s="59"/>
      <c r="O279" s="59"/>
      <c r="P279" s="59"/>
      <c r="Q279" s="59"/>
      <c r="R279" s="59"/>
      <c r="S279" s="59"/>
      <c r="T279" s="59"/>
      <c r="U279" s="59"/>
      <c r="V279" s="59"/>
      <c r="W279" s="59"/>
      <c r="X279" s="59"/>
      <c r="Y279" s="59"/>
      <c r="Z279" s="59"/>
      <c r="AA279" s="59"/>
      <c r="AB279" s="59"/>
      <c r="AC279" s="59"/>
    </row>
    <row r="280" spans="9:29" ht="15" customHeight="1">
      <c r="I280" s="59"/>
      <c r="J280" s="59"/>
      <c r="K280" s="59"/>
      <c r="L280" s="59"/>
      <c r="M280" s="59"/>
      <c r="N280" s="59"/>
      <c r="O280" s="59"/>
      <c r="P280" s="59"/>
      <c r="Q280" s="59"/>
      <c r="R280" s="59"/>
      <c r="S280" s="59"/>
      <c r="T280" s="59"/>
      <c r="U280" s="59"/>
      <c r="V280" s="59"/>
      <c r="W280" s="59"/>
      <c r="X280" s="59"/>
      <c r="Y280" s="59"/>
      <c r="Z280" s="59"/>
      <c r="AA280" s="59"/>
      <c r="AB280" s="59"/>
      <c r="AC280" s="59"/>
    </row>
    <row r="281" spans="9:29" ht="15" customHeight="1">
      <c r="I281" s="59"/>
      <c r="J281" s="59"/>
      <c r="K281" s="59"/>
      <c r="L281" s="59"/>
      <c r="M281" s="59"/>
      <c r="N281" s="59"/>
      <c r="O281" s="59"/>
      <c r="P281" s="59"/>
      <c r="Q281" s="59"/>
      <c r="R281" s="59"/>
      <c r="S281" s="59"/>
      <c r="T281" s="59"/>
      <c r="U281" s="59"/>
      <c r="V281" s="59"/>
      <c r="W281" s="59"/>
      <c r="X281" s="59"/>
      <c r="Y281" s="59"/>
      <c r="Z281" s="59"/>
      <c r="AA281" s="59"/>
      <c r="AB281" s="59"/>
      <c r="AC281" s="59"/>
    </row>
    <row r="282" spans="9:29" ht="15" customHeight="1">
      <c r="I282" s="59"/>
      <c r="J282" s="59"/>
      <c r="K282" s="59"/>
      <c r="L282" s="59"/>
      <c r="M282" s="59"/>
      <c r="N282" s="59"/>
      <c r="O282" s="59"/>
      <c r="P282" s="59"/>
      <c r="Q282" s="59"/>
      <c r="R282" s="59"/>
      <c r="S282" s="59"/>
      <c r="T282" s="59"/>
      <c r="U282" s="59"/>
      <c r="V282" s="59"/>
      <c r="W282" s="59"/>
      <c r="X282" s="59"/>
      <c r="Y282" s="59"/>
      <c r="Z282" s="59"/>
      <c r="AA282" s="59"/>
      <c r="AB282" s="59"/>
      <c r="AC282" s="59"/>
    </row>
    <row r="283" spans="9:29" ht="15" customHeight="1">
      <c r="I283" s="59"/>
      <c r="J283" s="59"/>
      <c r="K283" s="59"/>
      <c r="L283" s="59"/>
      <c r="M283" s="59"/>
      <c r="N283" s="59"/>
      <c r="O283" s="59"/>
      <c r="P283" s="59"/>
      <c r="Q283" s="59"/>
      <c r="R283" s="59"/>
      <c r="S283" s="59"/>
      <c r="T283" s="59"/>
      <c r="U283" s="59"/>
      <c r="V283" s="59"/>
      <c r="W283" s="59"/>
      <c r="X283" s="59"/>
      <c r="Y283" s="59"/>
      <c r="Z283" s="59"/>
      <c r="AA283" s="59"/>
      <c r="AB283" s="59"/>
      <c r="AC283" s="59"/>
    </row>
    <row r="284" spans="9:29" ht="15" customHeight="1">
      <c r="I284" s="59"/>
      <c r="J284" s="59"/>
      <c r="K284" s="59"/>
      <c r="L284" s="59"/>
      <c r="M284" s="59"/>
      <c r="N284" s="59"/>
      <c r="O284" s="59"/>
      <c r="P284" s="59"/>
      <c r="Q284" s="59"/>
      <c r="R284" s="59"/>
      <c r="S284" s="59"/>
      <c r="T284" s="59"/>
      <c r="U284" s="59"/>
      <c r="V284" s="59"/>
      <c r="W284" s="59"/>
      <c r="X284" s="59"/>
      <c r="Y284" s="59"/>
      <c r="Z284" s="59"/>
      <c r="AA284" s="59"/>
      <c r="AB284" s="59"/>
      <c r="AC284" s="59"/>
    </row>
    <row r="285" spans="9:29" ht="15" customHeight="1">
      <c r="I285" s="59"/>
      <c r="J285" s="59"/>
      <c r="K285" s="59"/>
      <c r="L285" s="59"/>
      <c r="M285" s="59"/>
      <c r="N285" s="59"/>
      <c r="O285" s="59"/>
      <c r="P285" s="59"/>
      <c r="Q285" s="59"/>
      <c r="R285" s="59"/>
      <c r="S285" s="59"/>
      <c r="T285" s="59"/>
      <c r="U285" s="59"/>
      <c r="V285" s="59"/>
      <c r="W285" s="59"/>
      <c r="X285" s="59"/>
      <c r="Y285" s="59"/>
      <c r="Z285" s="59"/>
      <c r="AA285" s="59"/>
      <c r="AB285" s="59"/>
      <c r="AC285" s="59"/>
    </row>
    <row r="286" spans="9:29" ht="15" customHeight="1">
      <c r="I286" s="59"/>
      <c r="J286" s="59"/>
      <c r="K286" s="59"/>
      <c r="L286" s="59"/>
      <c r="M286" s="59"/>
      <c r="N286" s="59"/>
      <c r="O286" s="59"/>
      <c r="P286" s="59"/>
      <c r="Q286" s="59"/>
      <c r="R286" s="59"/>
      <c r="S286" s="59"/>
      <c r="T286" s="59"/>
      <c r="U286" s="59"/>
      <c r="V286" s="59"/>
      <c r="W286" s="59"/>
      <c r="X286" s="59"/>
      <c r="Y286" s="59"/>
      <c r="Z286" s="59"/>
      <c r="AA286" s="59"/>
      <c r="AB286" s="59"/>
      <c r="AC286" s="59"/>
    </row>
    <row r="287" spans="9:29" ht="15" customHeight="1">
      <c r="I287" s="59"/>
      <c r="J287" s="59"/>
      <c r="K287" s="59"/>
      <c r="L287" s="59"/>
      <c r="M287" s="59"/>
      <c r="N287" s="59"/>
      <c r="O287" s="59"/>
      <c r="P287" s="59"/>
      <c r="Q287" s="59"/>
      <c r="R287" s="59"/>
      <c r="S287" s="59"/>
      <c r="T287" s="59"/>
      <c r="U287" s="59"/>
      <c r="V287" s="59"/>
      <c r="W287" s="59"/>
      <c r="X287" s="59"/>
      <c r="Y287" s="59"/>
      <c r="Z287" s="59"/>
      <c r="AA287" s="59"/>
      <c r="AB287" s="59"/>
      <c r="AC287" s="59"/>
    </row>
    <row r="288" spans="9:29" ht="15" customHeight="1">
      <c r="I288" s="59"/>
      <c r="J288" s="59"/>
      <c r="K288" s="59"/>
      <c r="L288" s="59"/>
      <c r="M288" s="59"/>
      <c r="N288" s="59"/>
      <c r="O288" s="59"/>
      <c r="P288" s="59"/>
      <c r="Q288" s="59"/>
      <c r="R288" s="59"/>
      <c r="S288" s="59"/>
      <c r="T288" s="59"/>
      <c r="U288" s="59"/>
      <c r="V288" s="59"/>
      <c r="W288" s="59"/>
      <c r="X288" s="59"/>
      <c r="Y288" s="59"/>
      <c r="Z288" s="59"/>
      <c r="AA288" s="59"/>
      <c r="AB288" s="59"/>
      <c r="AC288" s="59"/>
    </row>
    <row r="289" spans="9:29" ht="15" customHeight="1">
      <c r="I289" s="59"/>
      <c r="J289" s="59"/>
      <c r="K289" s="59"/>
      <c r="L289" s="59"/>
      <c r="M289" s="59"/>
      <c r="N289" s="59"/>
      <c r="O289" s="59"/>
      <c r="P289" s="59"/>
      <c r="Q289" s="59"/>
      <c r="R289" s="59"/>
      <c r="S289" s="59"/>
      <c r="T289" s="59"/>
      <c r="U289" s="59"/>
      <c r="V289" s="59"/>
      <c r="W289" s="59"/>
      <c r="X289" s="59"/>
      <c r="Y289" s="59"/>
      <c r="Z289" s="59"/>
      <c r="AA289" s="59"/>
      <c r="AB289" s="59"/>
      <c r="AC289" s="59"/>
    </row>
    <row r="290" spans="9:29" ht="15" customHeight="1">
      <c r="I290" s="59"/>
      <c r="J290" s="59"/>
      <c r="K290" s="59"/>
      <c r="L290" s="59"/>
      <c r="M290" s="59"/>
      <c r="N290" s="59"/>
      <c r="O290" s="59"/>
      <c r="P290" s="59"/>
      <c r="Q290" s="59"/>
      <c r="R290" s="59"/>
      <c r="S290" s="59"/>
      <c r="T290" s="59"/>
      <c r="U290" s="59"/>
      <c r="V290" s="59"/>
      <c r="W290" s="59"/>
      <c r="X290" s="59"/>
      <c r="Y290" s="59"/>
      <c r="Z290" s="59"/>
      <c r="AA290" s="59"/>
      <c r="AB290" s="59"/>
      <c r="AC290" s="59"/>
    </row>
    <row r="291" spans="9:29" ht="15" customHeight="1">
      <c r="I291" s="59"/>
      <c r="J291" s="59"/>
      <c r="K291" s="59"/>
      <c r="L291" s="59"/>
      <c r="M291" s="59"/>
      <c r="N291" s="59"/>
      <c r="O291" s="59"/>
      <c r="P291" s="59"/>
      <c r="Q291" s="59"/>
      <c r="R291" s="59"/>
      <c r="S291" s="59"/>
      <c r="T291" s="59"/>
      <c r="U291" s="59"/>
      <c r="V291" s="59"/>
      <c r="W291" s="59"/>
      <c r="X291" s="59"/>
      <c r="Y291" s="59"/>
      <c r="Z291" s="59"/>
      <c r="AA291" s="59"/>
      <c r="AB291" s="59"/>
      <c r="AC291" s="59"/>
    </row>
    <row r="292" spans="9:29" ht="15" customHeight="1">
      <c r="I292" s="59"/>
      <c r="J292" s="59"/>
      <c r="K292" s="59"/>
      <c r="L292" s="59"/>
      <c r="M292" s="59"/>
      <c r="N292" s="59"/>
      <c r="O292" s="59"/>
      <c r="P292" s="59"/>
      <c r="Q292" s="59"/>
      <c r="R292" s="59"/>
      <c r="S292" s="59"/>
      <c r="T292" s="59"/>
      <c r="U292" s="59"/>
      <c r="V292" s="59"/>
      <c r="W292" s="59"/>
      <c r="X292" s="59"/>
      <c r="Y292" s="59"/>
      <c r="Z292" s="59"/>
      <c r="AA292" s="59"/>
      <c r="AB292" s="59"/>
      <c r="AC292" s="59"/>
    </row>
    <row r="293" spans="9:29" ht="15" customHeight="1">
      <c r="I293" s="59"/>
      <c r="J293" s="59"/>
      <c r="K293" s="59"/>
      <c r="L293" s="59"/>
      <c r="M293" s="59"/>
      <c r="N293" s="59"/>
      <c r="O293" s="59"/>
      <c r="P293" s="59"/>
      <c r="Q293" s="59"/>
      <c r="R293" s="59"/>
      <c r="S293" s="59"/>
      <c r="T293" s="59"/>
      <c r="U293" s="59"/>
      <c r="V293" s="59"/>
      <c r="W293" s="59"/>
      <c r="X293" s="59"/>
      <c r="Y293" s="59"/>
      <c r="Z293" s="59"/>
      <c r="AA293" s="59"/>
      <c r="AB293" s="59"/>
      <c r="AC293" s="59"/>
    </row>
    <row r="294" spans="9:29" ht="15" customHeight="1">
      <c r="I294" s="59"/>
      <c r="J294" s="59"/>
      <c r="K294" s="59"/>
      <c r="L294" s="59"/>
      <c r="M294" s="59"/>
      <c r="N294" s="59"/>
      <c r="O294" s="59"/>
      <c r="P294" s="59"/>
      <c r="Q294" s="59"/>
      <c r="R294" s="59"/>
      <c r="S294" s="59"/>
      <c r="T294" s="59"/>
      <c r="U294" s="59"/>
      <c r="V294" s="59"/>
      <c r="W294" s="59"/>
      <c r="X294" s="59"/>
      <c r="Y294" s="59"/>
      <c r="Z294" s="59"/>
      <c r="AA294" s="59"/>
      <c r="AB294" s="59"/>
      <c r="AC294" s="59"/>
    </row>
    <row r="295" spans="9:29" ht="15" customHeight="1">
      <c r="I295" s="59"/>
      <c r="J295" s="59"/>
      <c r="K295" s="59"/>
      <c r="L295" s="59"/>
      <c r="M295" s="59"/>
      <c r="N295" s="59"/>
      <c r="O295" s="59"/>
      <c r="P295" s="59"/>
      <c r="Q295" s="59"/>
      <c r="R295" s="59"/>
      <c r="S295" s="59"/>
      <c r="T295" s="59"/>
      <c r="U295" s="59"/>
      <c r="V295" s="59"/>
      <c r="W295" s="59"/>
      <c r="X295" s="59"/>
      <c r="Y295" s="59"/>
      <c r="Z295" s="59"/>
      <c r="AA295" s="59"/>
      <c r="AB295" s="59"/>
      <c r="AC295" s="59"/>
    </row>
    <row r="296" spans="9:29" ht="15" customHeight="1">
      <c r="I296" s="59"/>
      <c r="J296" s="59"/>
      <c r="K296" s="59"/>
      <c r="L296" s="59"/>
      <c r="M296" s="59"/>
      <c r="N296" s="59"/>
      <c r="O296" s="59"/>
      <c r="P296" s="59"/>
      <c r="Q296" s="59"/>
      <c r="R296" s="59"/>
      <c r="S296" s="59"/>
      <c r="T296" s="59"/>
      <c r="U296" s="59"/>
      <c r="V296" s="59"/>
      <c r="W296" s="59"/>
      <c r="X296" s="59"/>
      <c r="Y296" s="59"/>
      <c r="Z296" s="59"/>
      <c r="AA296" s="59"/>
      <c r="AB296" s="59"/>
      <c r="AC296" s="59"/>
    </row>
    <row r="297" spans="9:29" ht="15" customHeight="1">
      <c r="I297" s="59"/>
      <c r="J297" s="59"/>
      <c r="K297" s="59"/>
      <c r="L297" s="59"/>
      <c r="M297" s="59"/>
      <c r="N297" s="59"/>
      <c r="O297" s="59"/>
      <c r="P297" s="59"/>
      <c r="Q297" s="59"/>
      <c r="R297" s="59"/>
      <c r="S297" s="59"/>
      <c r="T297" s="59"/>
      <c r="U297" s="59"/>
      <c r="V297" s="59"/>
      <c r="W297" s="59"/>
      <c r="X297" s="59"/>
      <c r="Y297" s="59"/>
      <c r="Z297" s="59"/>
      <c r="AA297" s="59"/>
      <c r="AB297" s="59"/>
      <c r="AC297" s="59"/>
    </row>
    <row r="298" spans="9:29" ht="15" customHeight="1">
      <c r="I298" s="59"/>
      <c r="J298" s="59"/>
      <c r="K298" s="59"/>
      <c r="L298" s="59"/>
      <c r="M298" s="59"/>
      <c r="N298" s="59"/>
      <c r="O298" s="59"/>
      <c r="P298" s="59"/>
      <c r="Q298" s="59"/>
      <c r="R298" s="59"/>
      <c r="S298" s="59"/>
      <c r="T298" s="59"/>
      <c r="U298" s="59"/>
      <c r="V298" s="59"/>
      <c r="W298" s="59"/>
      <c r="X298" s="59"/>
      <c r="Y298" s="59"/>
      <c r="Z298" s="59"/>
      <c r="AA298" s="59"/>
      <c r="AB298" s="59"/>
      <c r="AC298" s="59"/>
    </row>
    <row r="299" spans="9:29" ht="15" customHeight="1">
      <c r="I299" s="59"/>
      <c r="J299" s="59"/>
      <c r="K299" s="59"/>
      <c r="L299" s="59"/>
      <c r="M299" s="59"/>
      <c r="N299" s="59"/>
      <c r="O299" s="59"/>
      <c r="P299" s="59"/>
      <c r="Q299" s="59"/>
      <c r="R299" s="59"/>
      <c r="S299" s="59"/>
      <c r="T299" s="59"/>
      <c r="U299" s="59"/>
      <c r="V299" s="59"/>
      <c r="W299" s="59"/>
      <c r="X299" s="59"/>
      <c r="Y299" s="59"/>
      <c r="Z299" s="59"/>
      <c r="AA299" s="59"/>
      <c r="AB299" s="59"/>
      <c r="AC299" s="59"/>
    </row>
    <row r="300" spans="9:29" ht="15" customHeight="1">
      <c r="I300" s="59"/>
      <c r="J300" s="59"/>
      <c r="K300" s="59"/>
      <c r="L300" s="59"/>
      <c r="M300" s="59"/>
      <c r="N300" s="59"/>
      <c r="O300" s="59"/>
      <c r="P300" s="59"/>
      <c r="Q300" s="59"/>
      <c r="R300" s="59"/>
      <c r="S300" s="59"/>
      <c r="T300" s="59"/>
      <c r="U300" s="59"/>
      <c r="V300" s="59"/>
      <c r="W300" s="59"/>
      <c r="X300" s="59"/>
      <c r="Y300" s="59"/>
      <c r="Z300" s="59"/>
      <c r="AA300" s="59"/>
      <c r="AB300" s="59"/>
      <c r="AC300" s="59"/>
    </row>
    <row r="301" spans="9:29" ht="15" customHeight="1">
      <c r="I301" s="59"/>
      <c r="J301" s="59"/>
      <c r="K301" s="59"/>
      <c r="L301" s="59"/>
      <c r="M301" s="59"/>
      <c r="N301" s="59"/>
      <c r="O301" s="59"/>
      <c r="P301" s="59"/>
      <c r="Q301" s="59"/>
      <c r="R301" s="59"/>
      <c r="S301" s="59"/>
      <c r="T301" s="59"/>
      <c r="U301" s="59"/>
      <c r="V301" s="59"/>
      <c r="W301" s="59"/>
      <c r="X301" s="59"/>
      <c r="Y301" s="59"/>
      <c r="Z301" s="59"/>
      <c r="AA301" s="59"/>
      <c r="AB301" s="59"/>
      <c r="AC301" s="59"/>
    </row>
    <row r="302" spans="9:29" ht="15" customHeight="1">
      <c r="I302" s="59"/>
      <c r="J302" s="59"/>
      <c r="K302" s="59"/>
      <c r="L302" s="59"/>
      <c r="M302" s="59"/>
      <c r="N302" s="59"/>
      <c r="O302" s="59"/>
      <c r="P302" s="59"/>
      <c r="Q302" s="59"/>
      <c r="R302" s="59"/>
      <c r="S302" s="59"/>
      <c r="T302" s="59"/>
      <c r="U302" s="59"/>
      <c r="V302" s="59"/>
      <c r="W302" s="59"/>
      <c r="X302" s="59"/>
      <c r="Y302" s="59"/>
      <c r="Z302" s="59"/>
      <c r="AA302" s="59"/>
      <c r="AB302" s="59"/>
      <c r="AC302" s="59"/>
    </row>
  </sheetData>
  <mergeCells count="5">
    <mergeCell ref="B46:H46"/>
    <mergeCell ref="B1:G3"/>
    <mergeCell ref="B5:H5"/>
    <mergeCell ref="B6:H6"/>
    <mergeCell ref="B10:H10"/>
  </mergeCells>
  <phoneticPr fontId="0" type="noConversion"/>
  <pageMargins left="0.7" right="0.31496062992125984" top="0.35433070866141736" bottom="0.51181102362204722" header="0.39370078740157483" footer="0.31496062992125984"/>
  <pageSetup paperSize="9" scale="85" orientation="landscape" r:id="rId1"/>
  <headerFooter alignWithMargins="0">
    <oddFooter>&amp;R&amp;P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26"/>
  <dimension ref="A1:Q96"/>
  <sheetViews>
    <sheetView topLeftCell="A4" zoomScaleNormal="100" zoomScaleSheetLayoutView="100" workbookViewId="0">
      <selection activeCell="P25" sqref="P25"/>
    </sheetView>
  </sheetViews>
  <sheetFormatPr defaultRowHeight="12.75"/>
  <cols>
    <col min="1" max="1" width="9.140625" style="314"/>
    <col min="2" max="2" width="4.7109375" style="9" customWidth="1"/>
    <col min="3" max="3" width="5.140625" style="9" customWidth="1"/>
    <col min="4" max="4" width="5" style="9" customWidth="1"/>
    <col min="5" max="5" width="5" style="314" customWidth="1"/>
    <col min="6" max="6" width="8.7109375" style="18" customWidth="1"/>
    <col min="7" max="7" width="8.7109375" style="319" customWidth="1"/>
    <col min="8" max="8" width="50.7109375" style="9" customWidth="1"/>
    <col min="9" max="13" width="14.7109375" style="63" customWidth="1"/>
    <col min="14" max="14" width="15.7109375" style="63" customWidth="1"/>
    <col min="15" max="15" width="7.7109375" style="380" customWidth="1"/>
    <col min="16" max="16384" width="9.140625" style="9"/>
  </cols>
  <sheetData>
    <row r="1" spans="1:17" ht="13.5" thickBot="1"/>
    <row r="2" spans="1:17" s="113" customFormat="1" ht="20.100000000000001" customHeight="1" thickTop="1" thickBot="1">
      <c r="A2" s="408"/>
      <c r="B2" s="887" t="s">
        <v>776</v>
      </c>
      <c r="C2" s="888"/>
      <c r="D2" s="888"/>
      <c r="E2" s="888"/>
      <c r="F2" s="888"/>
      <c r="G2" s="888"/>
      <c r="H2" s="888"/>
      <c r="I2" s="888"/>
      <c r="J2" s="921"/>
      <c r="K2" s="921"/>
      <c r="L2" s="921"/>
      <c r="M2" s="921"/>
      <c r="N2" s="921"/>
      <c r="O2" s="922"/>
      <c r="Q2" s="408"/>
    </row>
    <row r="3" spans="1:17" s="1" customFormat="1" ht="8.1" customHeight="1" thickTop="1" thickBot="1">
      <c r="A3" s="311"/>
      <c r="E3" s="311"/>
      <c r="F3" s="2"/>
      <c r="G3" s="312"/>
      <c r="H3" s="890"/>
      <c r="I3" s="890"/>
      <c r="J3" s="282"/>
      <c r="K3" s="282"/>
      <c r="L3" s="107"/>
      <c r="M3" s="107"/>
      <c r="N3" s="107"/>
      <c r="O3" s="374"/>
    </row>
    <row r="4" spans="1:17" s="1" customFormat="1" ht="39" customHeight="1">
      <c r="A4" s="311"/>
      <c r="B4" s="894" t="s">
        <v>77</v>
      </c>
      <c r="C4" s="909" t="s">
        <v>78</v>
      </c>
      <c r="D4" s="910" t="s">
        <v>107</v>
      </c>
      <c r="E4" s="916" t="s">
        <v>828</v>
      </c>
      <c r="F4" s="911" t="s">
        <v>517</v>
      </c>
      <c r="G4" s="899" t="s">
        <v>556</v>
      </c>
      <c r="H4" s="900" t="s">
        <v>79</v>
      </c>
      <c r="I4" s="912" t="s">
        <v>697</v>
      </c>
      <c r="J4" s="913" t="s">
        <v>862</v>
      </c>
      <c r="K4" s="917" t="s">
        <v>863</v>
      </c>
      <c r="L4" s="908" t="s">
        <v>865</v>
      </c>
      <c r="M4" s="892"/>
      <c r="N4" s="893"/>
      <c r="O4" s="906" t="s">
        <v>866</v>
      </c>
      <c r="Q4" s="81"/>
    </row>
    <row r="5" spans="1:17" s="311" customFormat="1" ht="27" customHeight="1">
      <c r="B5" s="895"/>
      <c r="C5" s="897"/>
      <c r="D5" s="897"/>
      <c r="E5" s="897"/>
      <c r="F5" s="901"/>
      <c r="G5" s="897"/>
      <c r="H5" s="901"/>
      <c r="I5" s="901"/>
      <c r="J5" s="901"/>
      <c r="K5" s="905"/>
      <c r="L5" s="587" t="s">
        <v>601</v>
      </c>
      <c r="M5" s="404" t="s">
        <v>602</v>
      </c>
      <c r="N5" s="720" t="s">
        <v>349</v>
      </c>
      <c r="O5" s="907"/>
    </row>
    <row r="6" spans="1:17" s="2" customFormat="1" ht="12.95" customHeight="1">
      <c r="A6" s="312"/>
      <c r="B6" s="525">
        <v>1</v>
      </c>
      <c r="C6" s="361">
        <v>2</v>
      </c>
      <c r="D6" s="361">
        <v>3</v>
      </c>
      <c r="E6" s="361">
        <v>4</v>
      </c>
      <c r="F6" s="361">
        <v>5</v>
      </c>
      <c r="G6" s="361">
        <v>6</v>
      </c>
      <c r="H6" s="361">
        <v>7</v>
      </c>
      <c r="I6" s="526">
        <v>8</v>
      </c>
      <c r="J6" s="361">
        <v>9</v>
      </c>
      <c r="K6" s="526">
        <v>10</v>
      </c>
      <c r="L6" s="525">
        <v>11</v>
      </c>
      <c r="M6" s="361">
        <v>12</v>
      </c>
      <c r="N6" s="721" t="s">
        <v>830</v>
      </c>
      <c r="O6" s="527">
        <v>14</v>
      </c>
    </row>
    <row r="7" spans="1:17" s="2" customFormat="1" ht="12.95" customHeight="1">
      <c r="A7" s="312"/>
      <c r="B7" s="6" t="s">
        <v>131</v>
      </c>
      <c r="C7" s="7" t="s">
        <v>132</v>
      </c>
      <c r="D7" s="7" t="s">
        <v>81</v>
      </c>
      <c r="E7" s="667" t="s">
        <v>847</v>
      </c>
      <c r="F7" s="5"/>
      <c r="G7" s="313"/>
      <c r="H7" s="5"/>
      <c r="I7" s="592"/>
      <c r="J7" s="100"/>
      <c r="K7" s="592"/>
      <c r="L7" s="619"/>
      <c r="M7" s="100"/>
      <c r="N7" s="773"/>
      <c r="O7" s="375"/>
    </row>
    <row r="8" spans="1:17" s="1" customFormat="1" ht="12.95" customHeight="1">
      <c r="A8" s="311"/>
      <c r="B8" s="12"/>
      <c r="C8" s="8"/>
      <c r="D8" s="8"/>
      <c r="E8" s="8"/>
      <c r="F8" s="335">
        <v>611000</v>
      </c>
      <c r="G8" s="361"/>
      <c r="H8" s="8" t="s">
        <v>146</v>
      </c>
      <c r="I8" s="738">
        <f t="shared" ref="I8:N8" si="0">SUM(I9:I12)</f>
        <v>1054060</v>
      </c>
      <c r="J8" s="236">
        <f t="shared" si="0"/>
        <v>1054060</v>
      </c>
      <c r="K8" s="744">
        <f t="shared" si="0"/>
        <v>257460</v>
      </c>
      <c r="L8" s="578">
        <f t="shared" si="0"/>
        <v>1074320</v>
      </c>
      <c r="M8" s="236">
        <f t="shared" si="0"/>
        <v>0</v>
      </c>
      <c r="N8" s="723">
        <f t="shared" si="0"/>
        <v>1074320</v>
      </c>
      <c r="O8" s="376">
        <f>IF(J8=0,"",N8/J8*100)</f>
        <v>101.92209172153387</v>
      </c>
    </row>
    <row r="9" spans="1:17" ht="12.95" customHeight="1">
      <c r="B9" s="10"/>
      <c r="C9" s="11"/>
      <c r="D9" s="11"/>
      <c r="E9" s="316"/>
      <c r="F9" s="336">
        <v>611100</v>
      </c>
      <c r="G9" s="362"/>
      <c r="H9" s="20" t="s">
        <v>174</v>
      </c>
      <c r="I9" s="784">
        <f>864250+2500+420+730+1050+2000+21610-12400</f>
        <v>880160</v>
      </c>
      <c r="J9" s="238">
        <f>864250+2500+420+730+1050+2000+21610-12400</f>
        <v>880160</v>
      </c>
      <c r="K9" s="742">
        <v>220717</v>
      </c>
      <c r="L9" s="626">
        <f>885350+2500+1040+760+420</f>
        <v>890070</v>
      </c>
      <c r="M9" s="238">
        <v>0</v>
      </c>
      <c r="N9" s="724">
        <f>SUM(L9:M9)</f>
        <v>890070</v>
      </c>
      <c r="O9" s="377">
        <f>IF(J9=0,"",N9/J9*100)</f>
        <v>101.12593164879114</v>
      </c>
      <c r="P9" s="77"/>
    </row>
    <row r="10" spans="1:17" ht="12.95" customHeight="1">
      <c r="B10" s="10"/>
      <c r="C10" s="11"/>
      <c r="D10" s="11"/>
      <c r="E10" s="316"/>
      <c r="F10" s="336">
        <v>611200</v>
      </c>
      <c r="G10" s="362"/>
      <c r="H10" s="11" t="s">
        <v>175</v>
      </c>
      <c r="I10" s="784">
        <f>172000+930+1500+2330-2860</f>
        <v>173900</v>
      </c>
      <c r="J10" s="238">
        <f>172000+930+1500+2330-2860</f>
        <v>173900</v>
      </c>
      <c r="K10" s="742">
        <v>36743</v>
      </c>
      <c r="L10" s="626">
        <f>172860+3700+950+1650+2300+2790</f>
        <v>184250</v>
      </c>
      <c r="M10" s="238">
        <v>0</v>
      </c>
      <c r="N10" s="724">
        <f t="shared" ref="N10:N11" si="1">SUM(L10:M10)</f>
        <v>184250</v>
      </c>
      <c r="O10" s="377">
        <f t="shared" ref="O10:O35" si="2">IF(J10=0,"",N10/J10*100)</f>
        <v>105.9516963772283</v>
      </c>
    </row>
    <row r="11" spans="1:17" ht="12.95" customHeight="1">
      <c r="B11" s="10"/>
      <c r="C11" s="11"/>
      <c r="D11" s="11"/>
      <c r="E11" s="316"/>
      <c r="F11" s="336">
        <v>611200</v>
      </c>
      <c r="G11" s="362"/>
      <c r="H11" s="210" t="s">
        <v>464</v>
      </c>
      <c r="I11" s="739">
        <v>0</v>
      </c>
      <c r="J11" s="235">
        <v>0</v>
      </c>
      <c r="K11" s="741">
        <v>0</v>
      </c>
      <c r="L11" s="579">
        <v>0</v>
      </c>
      <c r="M11" s="235">
        <v>0</v>
      </c>
      <c r="N11" s="724">
        <f t="shared" si="1"/>
        <v>0</v>
      </c>
      <c r="O11" s="377" t="str">
        <f t="shared" si="2"/>
        <v/>
      </c>
      <c r="Q11" s="62"/>
    </row>
    <row r="12" spans="1:17" ht="12.95" customHeight="1">
      <c r="B12" s="10"/>
      <c r="C12" s="11"/>
      <c r="D12" s="11"/>
      <c r="E12" s="316"/>
      <c r="F12" s="336"/>
      <c r="G12" s="362"/>
      <c r="H12" s="20"/>
      <c r="I12" s="784"/>
      <c r="J12" s="238"/>
      <c r="K12" s="742"/>
      <c r="L12" s="626"/>
      <c r="M12" s="238"/>
      <c r="N12" s="724"/>
      <c r="O12" s="377" t="str">
        <f t="shared" si="2"/>
        <v/>
      </c>
    </row>
    <row r="13" spans="1:17" s="1" customFormat="1" ht="12.95" customHeight="1">
      <c r="A13" s="311"/>
      <c r="B13" s="12"/>
      <c r="C13" s="8"/>
      <c r="D13" s="8"/>
      <c r="E13" s="8"/>
      <c r="F13" s="335">
        <v>612000</v>
      </c>
      <c r="G13" s="361"/>
      <c r="H13" s="8" t="s">
        <v>145</v>
      </c>
      <c r="I13" s="738">
        <f t="shared" ref="I13:N13" si="3">I14</f>
        <v>93890</v>
      </c>
      <c r="J13" s="236">
        <f t="shared" si="3"/>
        <v>93890</v>
      </c>
      <c r="K13" s="744">
        <f t="shared" si="3"/>
        <v>23519</v>
      </c>
      <c r="L13" s="578">
        <f t="shared" si="3"/>
        <v>94660</v>
      </c>
      <c r="M13" s="236">
        <f t="shared" si="3"/>
        <v>0</v>
      </c>
      <c r="N13" s="723">
        <f t="shared" si="3"/>
        <v>94660</v>
      </c>
      <c r="O13" s="376">
        <f t="shared" si="2"/>
        <v>100.8201086377676</v>
      </c>
    </row>
    <row r="14" spans="1:17" ht="12.95" customHeight="1">
      <c r="B14" s="10"/>
      <c r="C14" s="11"/>
      <c r="D14" s="11"/>
      <c r="E14" s="316"/>
      <c r="F14" s="336">
        <v>612100</v>
      </c>
      <c r="G14" s="362"/>
      <c r="H14" s="13" t="s">
        <v>82</v>
      </c>
      <c r="I14" s="784">
        <f>91670+150+250+380+500+2300-1360</f>
        <v>93890</v>
      </c>
      <c r="J14" s="238">
        <f>91670+150+250+380+500+2300-1360</f>
        <v>93890</v>
      </c>
      <c r="K14" s="742">
        <v>23519</v>
      </c>
      <c r="L14" s="626">
        <f>93870+370+270+150</f>
        <v>94660</v>
      </c>
      <c r="M14" s="238">
        <v>0</v>
      </c>
      <c r="N14" s="724">
        <f>SUM(L14:M14)</f>
        <v>94660</v>
      </c>
      <c r="O14" s="377">
        <f t="shared" si="2"/>
        <v>100.8201086377676</v>
      </c>
    </row>
    <row r="15" spans="1:17" ht="12.95" customHeight="1">
      <c r="B15" s="10"/>
      <c r="C15" s="11"/>
      <c r="D15" s="11"/>
      <c r="E15" s="316"/>
      <c r="F15" s="336"/>
      <c r="G15" s="362"/>
      <c r="H15" s="11"/>
      <c r="I15" s="777"/>
      <c r="J15" s="321"/>
      <c r="K15" s="779"/>
      <c r="L15" s="621"/>
      <c r="M15" s="321"/>
      <c r="N15" s="725"/>
      <c r="O15" s="377" t="str">
        <f t="shared" si="2"/>
        <v/>
      </c>
    </row>
    <row r="16" spans="1:17" s="1" customFormat="1" ht="12.95" customHeight="1">
      <c r="A16" s="311"/>
      <c r="B16" s="12"/>
      <c r="C16" s="8"/>
      <c r="D16" s="8"/>
      <c r="E16" s="8"/>
      <c r="F16" s="335">
        <v>613000</v>
      </c>
      <c r="G16" s="361"/>
      <c r="H16" s="8" t="s">
        <v>147</v>
      </c>
      <c r="I16" s="778">
        <f t="shared" ref="I16:N16" si="4">SUM(I17:I26)</f>
        <v>99600</v>
      </c>
      <c r="J16" s="323">
        <f t="shared" si="4"/>
        <v>99600</v>
      </c>
      <c r="K16" s="783">
        <f t="shared" si="4"/>
        <v>29159</v>
      </c>
      <c r="L16" s="581">
        <f t="shared" si="4"/>
        <v>83440</v>
      </c>
      <c r="M16" s="323">
        <f t="shared" si="4"/>
        <v>0</v>
      </c>
      <c r="N16" s="726">
        <f t="shared" si="4"/>
        <v>83440</v>
      </c>
      <c r="O16" s="376">
        <f t="shared" si="2"/>
        <v>83.775100401606423</v>
      </c>
    </row>
    <row r="17" spans="1:15" ht="12.95" customHeight="1">
      <c r="B17" s="10"/>
      <c r="C17" s="11"/>
      <c r="D17" s="11"/>
      <c r="E17" s="316"/>
      <c r="F17" s="336">
        <v>613100</v>
      </c>
      <c r="G17" s="362"/>
      <c r="H17" s="11" t="s">
        <v>83</v>
      </c>
      <c r="I17" s="742">
        <v>5000</v>
      </c>
      <c r="J17" s="397">
        <v>5000</v>
      </c>
      <c r="K17" s="742">
        <v>12</v>
      </c>
      <c r="L17" s="571">
        <v>3000</v>
      </c>
      <c r="M17" s="397">
        <v>0</v>
      </c>
      <c r="N17" s="724">
        <f t="shared" ref="N17:N26" si="5">SUM(L17:M17)</f>
        <v>3000</v>
      </c>
      <c r="O17" s="377">
        <f t="shared" si="2"/>
        <v>60</v>
      </c>
    </row>
    <row r="18" spans="1:15" ht="12.95" customHeight="1">
      <c r="B18" s="10"/>
      <c r="C18" s="11"/>
      <c r="D18" s="11"/>
      <c r="E18" s="316"/>
      <c r="F18" s="336">
        <v>613200</v>
      </c>
      <c r="G18" s="362"/>
      <c r="H18" s="11" t="s">
        <v>84</v>
      </c>
      <c r="I18" s="742">
        <f>32000+3000</f>
        <v>35000</v>
      </c>
      <c r="J18" s="397">
        <f>32000+3000</f>
        <v>35000</v>
      </c>
      <c r="K18" s="742">
        <v>17610</v>
      </c>
      <c r="L18" s="571">
        <v>30000</v>
      </c>
      <c r="M18" s="397">
        <v>0</v>
      </c>
      <c r="N18" s="724">
        <f t="shared" si="5"/>
        <v>30000</v>
      </c>
      <c r="O18" s="377">
        <f t="shared" si="2"/>
        <v>85.714285714285708</v>
      </c>
    </row>
    <row r="19" spans="1:15" ht="12.95" customHeight="1">
      <c r="B19" s="10"/>
      <c r="C19" s="11"/>
      <c r="D19" s="11"/>
      <c r="E19" s="316"/>
      <c r="F19" s="336">
        <v>613300</v>
      </c>
      <c r="G19" s="362"/>
      <c r="H19" s="20" t="s">
        <v>176</v>
      </c>
      <c r="I19" s="742">
        <v>6500</v>
      </c>
      <c r="J19" s="397">
        <v>6500</v>
      </c>
      <c r="K19" s="742">
        <v>2047</v>
      </c>
      <c r="L19" s="571">
        <v>5500</v>
      </c>
      <c r="M19" s="397">
        <v>0</v>
      </c>
      <c r="N19" s="724">
        <f t="shared" si="5"/>
        <v>5500</v>
      </c>
      <c r="O19" s="377">
        <f t="shared" si="2"/>
        <v>84.615384615384613</v>
      </c>
    </row>
    <row r="20" spans="1:15" ht="12.95" customHeight="1">
      <c r="B20" s="10"/>
      <c r="C20" s="11"/>
      <c r="D20" s="11"/>
      <c r="E20" s="316"/>
      <c r="F20" s="336">
        <v>613400</v>
      </c>
      <c r="G20" s="362"/>
      <c r="H20" s="11" t="s">
        <v>148</v>
      </c>
      <c r="I20" s="742">
        <v>12000</v>
      </c>
      <c r="J20" s="397">
        <v>12000</v>
      </c>
      <c r="K20" s="742">
        <v>1773</v>
      </c>
      <c r="L20" s="571">
        <v>9000</v>
      </c>
      <c r="M20" s="397">
        <v>0</v>
      </c>
      <c r="N20" s="724">
        <f t="shared" si="5"/>
        <v>9000</v>
      </c>
      <c r="O20" s="377">
        <f t="shared" si="2"/>
        <v>75</v>
      </c>
    </row>
    <row r="21" spans="1:15" ht="12.95" customHeight="1">
      <c r="B21" s="10"/>
      <c r="C21" s="11"/>
      <c r="D21" s="11"/>
      <c r="E21" s="316"/>
      <c r="F21" s="336">
        <v>613500</v>
      </c>
      <c r="G21" s="362"/>
      <c r="H21" s="11" t="s">
        <v>85</v>
      </c>
      <c r="I21" s="742">
        <v>200</v>
      </c>
      <c r="J21" s="397">
        <v>200</v>
      </c>
      <c r="K21" s="742">
        <v>0</v>
      </c>
      <c r="L21" s="571">
        <v>200</v>
      </c>
      <c r="M21" s="397">
        <v>0</v>
      </c>
      <c r="N21" s="724">
        <f t="shared" si="5"/>
        <v>200</v>
      </c>
      <c r="O21" s="377">
        <f t="shared" si="2"/>
        <v>100</v>
      </c>
    </row>
    <row r="22" spans="1:15" ht="12.95" customHeight="1">
      <c r="B22" s="10"/>
      <c r="C22" s="11"/>
      <c r="D22" s="11"/>
      <c r="E22" s="316"/>
      <c r="F22" s="336">
        <v>613600</v>
      </c>
      <c r="G22" s="362"/>
      <c r="H22" s="20" t="s">
        <v>177</v>
      </c>
      <c r="I22" s="742">
        <v>0</v>
      </c>
      <c r="J22" s="397">
        <v>0</v>
      </c>
      <c r="K22" s="742">
        <v>0</v>
      </c>
      <c r="L22" s="571">
        <v>0</v>
      </c>
      <c r="M22" s="397">
        <v>0</v>
      </c>
      <c r="N22" s="724">
        <f t="shared" si="5"/>
        <v>0</v>
      </c>
      <c r="O22" s="377" t="str">
        <f t="shared" si="2"/>
        <v/>
      </c>
    </row>
    <row r="23" spans="1:15" ht="12.95" customHeight="1">
      <c r="B23" s="10"/>
      <c r="C23" s="11"/>
      <c r="D23" s="11"/>
      <c r="E23" s="316"/>
      <c r="F23" s="336">
        <v>613700</v>
      </c>
      <c r="G23" s="362"/>
      <c r="H23" s="11" t="s">
        <v>86</v>
      </c>
      <c r="I23" s="742">
        <f>8000+900</f>
        <v>8900</v>
      </c>
      <c r="J23" s="397">
        <f>8000+900</f>
        <v>8900</v>
      </c>
      <c r="K23" s="742">
        <v>1865</v>
      </c>
      <c r="L23" s="571">
        <v>8000</v>
      </c>
      <c r="M23" s="397">
        <v>0</v>
      </c>
      <c r="N23" s="724">
        <f t="shared" si="5"/>
        <v>8000</v>
      </c>
      <c r="O23" s="377">
        <f t="shared" si="2"/>
        <v>89.887640449438194</v>
      </c>
    </row>
    <row r="24" spans="1:15" ht="12.95" customHeight="1">
      <c r="B24" s="10"/>
      <c r="C24" s="11"/>
      <c r="D24" s="11"/>
      <c r="E24" s="316"/>
      <c r="F24" s="336">
        <v>613800</v>
      </c>
      <c r="G24" s="362"/>
      <c r="H24" s="11" t="s">
        <v>149</v>
      </c>
      <c r="I24" s="742">
        <v>0</v>
      </c>
      <c r="J24" s="397">
        <v>0</v>
      </c>
      <c r="K24" s="742">
        <v>0</v>
      </c>
      <c r="L24" s="571">
        <v>0</v>
      </c>
      <c r="M24" s="397">
        <v>0</v>
      </c>
      <c r="N24" s="724">
        <f t="shared" si="5"/>
        <v>0</v>
      </c>
      <c r="O24" s="377" t="str">
        <f t="shared" si="2"/>
        <v/>
      </c>
    </row>
    <row r="25" spans="1:15" ht="12.95" customHeight="1">
      <c r="B25" s="10"/>
      <c r="C25" s="11"/>
      <c r="D25" s="11"/>
      <c r="E25" s="316"/>
      <c r="F25" s="336">
        <v>613900</v>
      </c>
      <c r="G25" s="362"/>
      <c r="H25" s="11" t="s">
        <v>150</v>
      </c>
      <c r="I25" s="742">
        <v>32000</v>
      </c>
      <c r="J25" s="397">
        <v>32000</v>
      </c>
      <c r="K25" s="742">
        <v>5852</v>
      </c>
      <c r="L25" s="571">
        <f>28000-260</f>
        <v>27740</v>
      </c>
      <c r="M25" s="397">
        <v>0</v>
      </c>
      <c r="N25" s="724">
        <f t="shared" si="5"/>
        <v>27740</v>
      </c>
      <c r="O25" s="377">
        <f t="shared" si="2"/>
        <v>86.6875</v>
      </c>
    </row>
    <row r="26" spans="1:15" ht="12.95" customHeight="1">
      <c r="B26" s="10"/>
      <c r="C26" s="11"/>
      <c r="D26" s="11"/>
      <c r="E26" s="316"/>
      <c r="F26" s="336">
        <v>613900</v>
      </c>
      <c r="G26" s="362"/>
      <c r="H26" s="210" t="s">
        <v>465</v>
      </c>
      <c r="I26" s="742">
        <v>0</v>
      </c>
      <c r="J26" s="397">
        <v>0</v>
      </c>
      <c r="K26" s="742">
        <v>0</v>
      </c>
      <c r="L26" s="571">
        <v>0</v>
      </c>
      <c r="M26" s="397">
        <v>0</v>
      </c>
      <c r="N26" s="724">
        <f t="shared" si="5"/>
        <v>0</v>
      </c>
      <c r="O26" s="377" t="str">
        <f t="shared" si="2"/>
        <v/>
      </c>
    </row>
    <row r="27" spans="1:15" s="1" customFormat="1" ht="12.95" customHeight="1">
      <c r="A27" s="311"/>
      <c r="B27" s="12"/>
      <c r="C27" s="8"/>
      <c r="D27" s="8"/>
      <c r="E27" s="8"/>
      <c r="F27" s="335"/>
      <c r="G27" s="361"/>
      <c r="H27" s="8"/>
      <c r="I27" s="742"/>
      <c r="J27" s="397"/>
      <c r="K27" s="742"/>
      <c r="L27" s="571"/>
      <c r="M27" s="397"/>
      <c r="N27" s="804"/>
      <c r="O27" s="377" t="str">
        <f t="shared" si="2"/>
        <v/>
      </c>
    </row>
    <row r="28" spans="1:15" s="1" customFormat="1" ht="12.95" customHeight="1">
      <c r="A28" s="311"/>
      <c r="B28" s="12"/>
      <c r="C28" s="8"/>
      <c r="D28" s="8"/>
      <c r="E28" s="8"/>
      <c r="F28" s="335">
        <v>821000</v>
      </c>
      <c r="G28" s="361"/>
      <c r="H28" s="8" t="s">
        <v>89</v>
      </c>
      <c r="I28" s="632">
        <f t="shared" ref="I28:N28" si="6">SUM(I29:I30)</f>
        <v>15000</v>
      </c>
      <c r="J28" s="325">
        <f t="shared" si="6"/>
        <v>15000</v>
      </c>
      <c r="K28" s="744">
        <f t="shared" si="6"/>
        <v>0</v>
      </c>
      <c r="L28" s="588">
        <f t="shared" si="6"/>
        <v>5000</v>
      </c>
      <c r="M28" s="325">
        <f t="shared" si="6"/>
        <v>0</v>
      </c>
      <c r="N28" s="726">
        <f t="shared" si="6"/>
        <v>5000</v>
      </c>
      <c r="O28" s="376">
        <f t="shared" si="2"/>
        <v>33.333333333333329</v>
      </c>
    </row>
    <row r="29" spans="1:15" ht="12.95" customHeight="1">
      <c r="B29" s="10"/>
      <c r="C29" s="11"/>
      <c r="D29" s="11"/>
      <c r="E29" s="316"/>
      <c r="F29" s="336">
        <v>821200</v>
      </c>
      <c r="G29" s="362"/>
      <c r="H29" s="11" t="s">
        <v>90</v>
      </c>
      <c r="I29" s="631">
        <v>10000</v>
      </c>
      <c r="J29" s="326">
        <v>10000</v>
      </c>
      <c r="K29" s="742">
        <v>0</v>
      </c>
      <c r="L29" s="622">
        <v>0</v>
      </c>
      <c r="M29" s="326">
        <v>0</v>
      </c>
      <c r="N29" s="724">
        <f t="shared" ref="N29:N30" si="7">SUM(L29:M29)</f>
        <v>0</v>
      </c>
      <c r="O29" s="377">
        <f t="shared" si="2"/>
        <v>0</v>
      </c>
    </row>
    <row r="30" spans="1:15" ht="12.95" customHeight="1">
      <c r="B30" s="10"/>
      <c r="C30" s="11"/>
      <c r="D30" s="11"/>
      <c r="E30" s="316"/>
      <c r="F30" s="336">
        <v>821300</v>
      </c>
      <c r="G30" s="362"/>
      <c r="H30" s="11" t="s">
        <v>91</v>
      </c>
      <c r="I30" s="631">
        <v>5000</v>
      </c>
      <c r="J30" s="326">
        <v>5000</v>
      </c>
      <c r="K30" s="742">
        <v>0</v>
      </c>
      <c r="L30" s="622">
        <v>5000</v>
      </c>
      <c r="M30" s="326">
        <v>0</v>
      </c>
      <c r="N30" s="724">
        <f t="shared" si="7"/>
        <v>5000</v>
      </c>
      <c r="O30" s="377">
        <f t="shared" si="2"/>
        <v>100</v>
      </c>
    </row>
    <row r="31" spans="1:15" ht="12.95" customHeight="1">
      <c r="B31" s="10"/>
      <c r="C31" s="11"/>
      <c r="D31" s="11"/>
      <c r="E31" s="316"/>
      <c r="F31" s="336"/>
      <c r="G31" s="362"/>
      <c r="H31" s="11"/>
      <c r="I31" s="631"/>
      <c r="J31" s="326"/>
      <c r="K31" s="742"/>
      <c r="L31" s="622"/>
      <c r="M31" s="326"/>
      <c r="N31" s="725"/>
      <c r="O31" s="377" t="str">
        <f t="shared" si="2"/>
        <v/>
      </c>
    </row>
    <row r="32" spans="1:15" s="1" customFormat="1" ht="12.95" customHeight="1">
      <c r="A32" s="311"/>
      <c r="B32" s="12"/>
      <c r="C32" s="8"/>
      <c r="D32" s="8"/>
      <c r="E32" s="8"/>
      <c r="F32" s="335"/>
      <c r="G32" s="361"/>
      <c r="H32" s="8" t="s">
        <v>92</v>
      </c>
      <c r="I32" s="743" t="s">
        <v>851</v>
      </c>
      <c r="J32" s="327" t="s">
        <v>851</v>
      </c>
      <c r="K32" s="746" t="s">
        <v>895</v>
      </c>
      <c r="L32" s="584" t="s">
        <v>895</v>
      </c>
      <c r="M32" s="308"/>
      <c r="N32" s="727" t="s">
        <v>895</v>
      </c>
      <c r="O32" s="377"/>
    </row>
    <row r="33" spans="1:15" s="1" customFormat="1" ht="12.95" customHeight="1">
      <c r="A33" s="311"/>
      <c r="B33" s="12"/>
      <c r="C33" s="8"/>
      <c r="D33" s="8"/>
      <c r="E33" s="8"/>
      <c r="F33" s="335"/>
      <c r="G33" s="361"/>
      <c r="H33" s="8" t="s">
        <v>110</v>
      </c>
      <c r="I33" s="575">
        <f>I8+I13+I16+I28</f>
        <v>1262550</v>
      </c>
      <c r="J33" s="318">
        <f>J8+J13+J16+J28</f>
        <v>1262550</v>
      </c>
      <c r="K33" s="575">
        <f t="shared" ref="K33" si="8">K8+K13+K16+K28</f>
        <v>310138</v>
      </c>
      <c r="L33" s="582">
        <f>L8+L13+L16+L28</f>
        <v>1257420</v>
      </c>
      <c r="M33" s="318">
        <f>M8+M13+M16+M28</f>
        <v>0</v>
      </c>
      <c r="N33" s="726">
        <f>N8+N13+N16+N28</f>
        <v>1257420</v>
      </c>
      <c r="O33" s="376">
        <f t="shared" si="2"/>
        <v>99.593679458239279</v>
      </c>
    </row>
    <row r="34" spans="1:15" s="1" customFormat="1" ht="12.95" customHeight="1">
      <c r="A34" s="311"/>
      <c r="B34" s="12"/>
      <c r="C34" s="8"/>
      <c r="D34" s="8"/>
      <c r="E34" s="8"/>
      <c r="F34" s="335"/>
      <c r="G34" s="361"/>
      <c r="H34" s="8" t="s">
        <v>93</v>
      </c>
      <c r="I34" s="575"/>
      <c r="J34" s="318"/>
      <c r="K34" s="575"/>
      <c r="L34" s="582"/>
      <c r="M34" s="318"/>
      <c r="N34" s="726"/>
      <c r="O34" s="377" t="str">
        <f>IF(J34=0,"",N34/J34*100)</f>
        <v/>
      </c>
    </row>
    <row r="35" spans="1:15" s="1" customFormat="1" ht="12.95" customHeight="1">
      <c r="A35" s="311"/>
      <c r="B35" s="12"/>
      <c r="C35" s="8"/>
      <c r="D35" s="8"/>
      <c r="E35" s="8"/>
      <c r="F35" s="335"/>
      <c r="G35" s="361"/>
      <c r="H35" s="8" t="s">
        <v>94</v>
      </c>
      <c r="I35" s="30"/>
      <c r="J35" s="30"/>
      <c r="K35" s="586"/>
      <c r="L35" s="580"/>
      <c r="M35" s="309"/>
      <c r="N35" s="725"/>
      <c r="O35" s="377" t="str">
        <f t="shared" si="2"/>
        <v/>
      </c>
    </row>
    <row r="36" spans="1:15" ht="12.95" customHeight="1" thickBot="1">
      <c r="B36" s="16"/>
      <c r="C36" s="17"/>
      <c r="D36" s="17"/>
      <c r="E36" s="17"/>
      <c r="F36" s="337"/>
      <c r="G36" s="363"/>
      <c r="H36" s="17"/>
      <c r="I36" s="32"/>
      <c r="J36" s="32"/>
      <c r="K36" s="576"/>
      <c r="L36" s="585"/>
      <c r="M36" s="32"/>
      <c r="N36" s="728"/>
      <c r="O36" s="379"/>
    </row>
    <row r="37" spans="1:15" ht="12.95" customHeight="1">
      <c r="F37" s="338"/>
      <c r="G37" s="364"/>
      <c r="N37" s="425"/>
    </row>
    <row r="38" spans="1:15" ht="12.95" customHeight="1">
      <c r="F38" s="338"/>
      <c r="G38" s="364"/>
      <c r="N38" s="425"/>
    </row>
    <row r="39" spans="1:15" ht="12.95" customHeight="1">
      <c r="B39" s="55"/>
      <c r="F39" s="338"/>
      <c r="G39" s="364"/>
      <c r="N39" s="425"/>
    </row>
    <row r="40" spans="1:15" ht="12.95" customHeight="1">
      <c r="B40" s="55"/>
      <c r="F40" s="338"/>
      <c r="G40" s="364"/>
      <c r="N40" s="425"/>
    </row>
    <row r="41" spans="1:15" ht="12.95" customHeight="1">
      <c r="B41" s="55"/>
      <c r="F41" s="338"/>
      <c r="G41" s="364"/>
      <c r="N41" s="425"/>
    </row>
    <row r="42" spans="1:15" ht="12.95" customHeight="1">
      <c r="B42" s="55"/>
      <c r="F42" s="338"/>
      <c r="G42" s="364"/>
      <c r="N42" s="425"/>
    </row>
    <row r="43" spans="1:15" ht="12.95" customHeight="1">
      <c r="B43" s="55"/>
      <c r="F43" s="338"/>
      <c r="G43" s="364"/>
      <c r="N43" s="425"/>
    </row>
    <row r="44" spans="1:15" ht="12.95" customHeight="1">
      <c r="B44" s="55"/>
      <c r="F44" s="338"/>
      <c r="G44" s="364"/>
      <c r="N44" s="425"/>
    </row>
    <row r="45" spans="1:15" ht="12.95" customHeight="1">
      <c r="B45" s="55"/>
      <c r="F45" s="338"/>
      <c r="G45" s="364"/>
      <c r="N45" s="425"/>
    </row>
    <row r="46" spans="1:15" ht="12.95" customHeight="1">
      <c r="F46" s="338"/>
      <c r="G46" s="364"/>
      <c r="N46" s="425"/>
    </row>
    <row r="47" spans="1:15" ht="12.95" customHeight="1">
      <c r="F47" s="338"/>
      <c r="G47" s="364"/>
      <c r="N47" s="425"/>
    </row>
    <row r="48" spans="1:15" ht="12.95" customHeight="1">
      <c r="F48" s="338"/>
      <c r="G48" s="364"/>
      <c r="N48" s="425"/>
    </row>
    <row r="49" spans="6:14" ht="12.95" customHeight="1">
      <c r="F49" s="338"/>
      <c r="G49" s="364"/>
      <c r="N49" s="425"/>
    </row>
    <row r="50" spans="6:14" ht="12.95" customHeight="1">
      <c r="F50" s="338"/>
      <c r="G50" s="364"/>
      <c r="N50" s="425"/>
    </row>
    <row r="51" spans="6:14" ht="12.95" customHeight="1">
      <c r="F51" s="338"/>
      <c r="G51" s="364"/>
      <c r="N51" s="425"/>
    </row>
    <row r="52" spans="6:14" ht="12.95" customHeight="1">
      <c r="F52" s="338"/>
      <c r="G52" s="364"/>
      <c r="N52" s="425"/>
    </row>
    <row r="53" spans="6:14" ht="12.95" customHeight="1">
      <c r="F53" s="338"/>
      <c r="G53" s="364"/>
      <c r="N53" s="425"/>
    </row>
    <row r="54" spans="6:14" ht="12.95" customHeight="1">
      <c r="F54" s="338"/>
      <c r="G54" s="364"/>
      <c r="N54" s="425"/>
    </row>
    <row r="55" spans="6:14" ht="12.95" customHeight="1">
      <c r="F55" s="338"/>
      <c r="G55" s="364"/>
      <c r="N55" s="425"/>
    </row>
    <row r="56" spans="6:14" ht="12.95" customHeight="1">
      <c r="F56" s="338"/>
      <c r="G56" s="364"/>
      <c r="N56" s="425"/>
    </row>
    <row r="57" spans="6:14" ht="12.95" customHeight="1">
      <c r="F57" s="338"/>
      <c r="G57" s="364"/>
      <c r="N57" s="425"/>
    </row>
    <row r="58" spans="6:14" ht="12.95" customHeight="1">
      <c r="F58" s="338"/>
      <c r="G58" s="364"/>
      <c r="N58" s="425"/>
    </row>
    <row r="59" spans="6:14" ht="12.95" customHeight="1">
      <c r="F59" s="338"/>
      <c r="G59" s="364"/>
      <c r="N59" s="425"/>
    </row>
    <row r="60" spans="6:14" ht="17.100000000000001" customHeight="1">
      <c r="F60" s="338"/>
      <c r="G60" s="364"/>
      <c r="N60" s="425"/>
    </row>
    <row r="61" spans="6:14" ht="14.25">
      <c r="F61" s="338"/>
      <c r="G61" s="364"/>
      <c r="N61" s="425"/>
    </row>
    <row r="62" spans="6:14" ht="14.25">
      <c r="F62" s="338"/>
      <c r="G62" s="364"/>
      <c r="N62" s="425"/>
    </row>
    <row r="63" spans="6:14" ht="14.25">
      <c r="F63" s="338"/>
      <c r="G63" s="364"/>
      <c r="N63" s="425"/>
    </row>
    <row r="64" spans="6:14" ht="14.25">
      <c r="F64" s="338"/>
      <c r="G64" s="364"/>
      <c r="N64" s="425"/>
    </row>
    <row r="65" spans="6:14" ht="14.25">
      <c r="F65" s="338"/>
      <c r="G65" s="364"/>
      <c r="N65" s="425"/>
    </row>
    <row r="66" spans="6:14" ht="14.25">
      <c r="F66" s="338"/>
      <c r="G66" s="364"/>
      <c r="N66" s="425"/>
    </row>
    <row r="67" spans="6:14" ht="14.25">
      <c r="F67" s="338"/>
      <c r="G67" s="364"/>
      <c r="N67" s="425"/>
    </row>
    <row r="68" spans="6:14" ht="14.25">
      <c r="F68" s="338"/>
      <c r="G68" s="364"/>
      <c r="N68" s="425"/>
    </row>
    <row r="69" spans="6:14" ht="14.25">
      <c r="F69" s="338"/>
      <c r="G69" s="364"/>
      <c r="N69" s="425"/>
    </row>
    <row r="70" spans="6:14" ht="14.25">
      <c r="F70" s="338"/>
      <c r="G70" s="364"/>
      <c r="N70" s="425"/>
    </row>
    <row r="71" spans="6:14" ht="14.25">
      <c r="F71" s="338"/>
      <c r="G71" s="364"/>
      <c r="N71" s="425"/>
    </row>
    <row r="72" spans="6:14" ht="14.25">
      <c r="F72" s="338"/>
      <c r="G72" s="364"/>
      <c r="N72" s="425"/>
    </row>
    <row r="73" spans="6:14" ht="14.25">
      <c r="F73" s="338"/>
      <c r="G73" s="364"/>
      <c r="N73" s="425"/>
    </row>
    <row r="74" spans="6:14" ht="14.25">
      <c r="F74" s="338"/>
      <c r="G74" s="338"/>
      <c r="N74" s="425"/>
    </row>
    <row r="75" spans="6:14" ht="14.25">
      <c r="F75" s="338"/>
      <c r="G75" s="338"/>
      <c r="N75" s="425"/>
    </row>
    <row r="76" spans="6:14" ht="14.25">
      <c r="F76" s="338"/>
      <c r="G76" s="338"/>
      <c r="N76" s="425"/>
    </row>
    <row r="77" spans="6:14" ht="14.25">
      <c r="F77" s="338"/>
      <c r="G77" s="338"/>
      <c r="N77" s="425"/>
    </row>
    <row r="78" spans="6:14" ht="14.25">
      <c r="F78" s="338"/>
      <c r="G78" s="338"/>
      <c r="N78" s="425"/>
    </row>
    <row r="79" spans="6:14" ht="14.25">
      <c r="F79" s="338"/>
      <c r="G79" s="338"/>
      <c r="N79" s="425"/>
    </row>
    <row r="80" spans="6:14" ht="14.25">
      <c r="F80" s="338"/>
      <c r="G80" s="338"/>
      <c r="N80" s="425"/>
    </row>
    <row r="81" spans="6:14" ht="14.25">
      <c r="F81" s="338"/>
      <c r="G81" s="338"/>
      <c r="N81" s="425"/>
    </row>
    <row r="82" spans="6:14" ht="14.25">
      <c r="F82" s="338"/>
      <c r="G82" s="338"/>
      <c r="N82" s="425"/>
    </row>
    <row r="83" spans="6:14" ht="14.25">
      <c r="F83" s="338"/>
      <c r="G83" s="338"/>
      <c r="N83" s="425"/>
    </row>
    <row r="84" spans="6:14" ht="14.25">
      <c r="F84" s="338"/>
      <c r="G84" s="338"/>
      <c r="N84" s="425"/>
    </row>
    <row r="85" spans="6:14" ht="14.25">
      <c r="F85" s="338"/>
      <c r="G85" s="338"/>
      <c r="N85" s="425"/>
    </row>
    <row r="86" spans="6:14" ht="14.25">
      <c r="F86" s="338"/>
      <c r="G86" s="338"/>
      <c r="N86" s="425"/>
    </row>
    <row r="87" spans="6:14" ht="14.25">
      <c r="F87" s="338"/>
      <c r="G87" s="338"/>
      <c r="N87" s="425"/>
    </row>
    <row r="88" spans="6:14" ht="14.25">
      <c r="F88" s="338"/>
      <c r="G88" s="338"/>
      <c r="N88" s="425"/>
    </row>
    <row r="89" spans="6:14" ht="14.25">
      <c r="F89" s="338"/>
      <c r="G89" s="338"/>
      <c r="N89" s="425"/>
    </row>
    <row r="90" spans="6:14" ht="14.25">
      <c r="F90" s="338"/>
      <c r="G90" s="338"/>
      <c r="N90" s="425"/>
    </row>
    <row r="91" spans="6:14">
      <c r="G91" s="338"/>
    </row>
    <row r="92" spans="6:14">
      <c r="G92" s="338"/>
    </row>
    <row r="93" spans="6:14">
      <c r="G93" s="338"/>
    </row>
    <row r="94" spans="6:14">
      <c r="G94" s="338"/>
    </row>
    <row r="95" spans="6:14">
      <c r="G95" s="338"/>
    </row>
    <row r="96" spans="6:14">
      <c r="G96" s="338"/>
    </row>
  </sheetData>
  <mergeCells count="14">
    <mergeCell ref="B2:O2"/>
    <mergeCell ref="O4:O5"/>
    <mergeCell ref="H4:H5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K4:K5"/>
    <mergeCell ref="E4:E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27"/>
  <dimension ref="A1:Q96"/>
  <sheetViews>
    <sheetView zoomScaleNormal="100" workbookViewId="0">
      <selection activeCell="P25" sqref="P25"/>
    </sheetView>
  </sheetViews>
  <sheetFormatPr defaultRowHeight="12.75"/>
  <cols>
    <col min="1" max="1" width="9.140625" style="314"/>
    <col min="2" max="2" width="4.7109375" style="9" customWidth="1"/>
    <col min="3" max="3" width="5.140625" style="9" customWidth="1"/>
    <col min="4" max="4" width="5" style="9" customWidth="1"/>
    <col min="5" max="5" width="5" style="314" customWidth="1"/>
    <col min="6" max="6" width="8.7109375" style="18" customWidth="1"/>
    <col min="7" max="7" width="8.7109375" style="319" customWidth="1"/>
    <col min="8" max="8" width="50.7109375" style="9" customWidth="1"/>
    <col min="9" max="11" width="14.7109375" style="9" customWidth="1"/>
    <col min="12" max="13" width="14.7109375" style="314" customWidth="1"/>
    <col min="14" max="14" width="15.7109375" style="9" customWidth="1"/>
    <col min="15" max="15" width="7.7109375" style="380" customWidth="1"/>
    <col min="16" max="16384" width="9.140625" style="9"/>
  </cols>
  <sheetData>
    <row r="1" spans="1:17" ht="13.5" thickBot="1"/>
    <row r="2" spans="1:17" s="113" customFormat="1" ht="20.100000000000001" customHeight="1" thickTop="1" thickBot="1">
      <c r="A2" s="408"/>
      <c r="B2" s="887" t="s">
        <v>803</v>
      </c>
      <c r="C2" s="888"/>
      <c r="D2" s="888"/>
      <c r="E2" s="888"/>
      <c r="F2" s="888"/>
      <c r="G2" s="888"/>
      <c r="H2" s="888"/>
      <c r="I2" s="888"/>
      <c r="J2" s="888"/>
      <c r="K2" s="888"/>
      <c r="L2" s="888"/>
      <c r="M2" s="888"/>
      <c r="N2" s="888"/>
      <c r="O2" s="412"/>
      <c r="Q2" s="408"/>
    </row>
    <row r="3" spans="1:17" s="1" customFormat="1" ht="8.1" customHeight="1" thickTop="1" thickBot="1">
      <c r="A3" s="311"/>
      <c r="E3" s="311"/>
      <c r="F3" s="2"/>
      <c r="G3" s="312"/>
      <c r="H3" s="890"/>
      <c r="I3" s="890"/>
      <c r="J3" s="282"/>
      <c r="K3" s="282"/>
      <c r="L3" s="107"/>
      <c r="M3" s="107"/>
      <c r="N3" s="107"/>
      <c r="O3" s="374"/>
    </row>
    <row r="4" spans="1:17" s="1" customFormat="1" ht="39" customHeight="1">
      <c r="A4" s="311"/>
      <c r="B4" s="894" t="s">
        <v>77</v>
      </c>
      <c r="C4" s="909" t="s">
        <v>78</v>
      </c>
      <c r="D4" s="910" t="s">
        <v>107</v>
      </c>
      <c r="E4" s="916" t="s">
        <v>828</v>
      </c>
      <c r="F4" s="911" t="s">
        <v>517</v>
      </c>
      <c r="G4" s="899" t="s">
        <v>556</v>
      </c>
      <c r="H4" s="900" t="s">
        <v>79</v>
      </c>
      <c r="I4" s="912" t="s">
        <v>697</v>
      </c>
      <c r="J4" s="913" t="s">
        <v>862</v>
      </c>
      <c r="K4" s="917" t="s">
        <v>863</v>
      </c>
      <c r="L4" s="908" t="s">
        <v>865</v>
      </c>
      <c r="M4" s="892"/>
      <c r="N4" s="893"/>
      <c r="O4" s="906" t="s">
        <v>866</v>
      </c>
      <c r="Q4" s="81"/>
    </row>
    <row r="5" spans="1:17" s="311" customFormat="1" ht="27" customHeight="1">
      <c r="B5" s="895"/>
      <c r="C5" s="897"/>
      <c r="D5" s="897"/>
      <c r="E5" s="897"/>
      <c r="F5" s="901"/>
      <c r="G5" s="897"/>
      <c r="H5" s="901"/>
      <c r="I5" s="901"/>
      <c r="J5" s="901"/>
      <c r="K5" s="905"/>
      <c r="L5" s="587" t="s">
        <v>601</v>
      </c>
      <c r="M5" s="404" t="s">
        <v>602</v>
      </c>
      <c r="N5" s="720" t="s">
        <v>349</v>
      </c>
      <c r="O5" s="907"/>
    </row>
    <row r="6" spans="1:17" s="2" customFormat="1" ht="12.95" customHeight="1">
      <c r="A6" s="312"/>
      <c r="B6" s="525">
        <v>1</v>
      </c>
      <c r="C6" s="361">
        <v>2</v>
      </c>
      <c r="D6" s="361">
        <v>3</v>
      </c>
      <c r="E6" s="361">
        <v>4</v>
      </c>
      <c r="F6" s="361">
        <v>5</v>
      </c>
      <c r="G6" s="361">
        <v>6</v>
      </c>
      <c r="H6" s="361">
        <v>7</v>
      </c>
      <c r="I6" s="361">
        <v>8</v>
      </c>
      <c r="J6" s="361">
        <v>9</v>
      </c>
      <c r="K6" s="526">
        <v>10</v>
      </c>
      <c r="L6" s="525">
        <v>11</v>
      </c>
      <c r="M6" s="361">
        <v>12</v>
      </c>
      <c r="N6" s="721" t="s">
        <v>830</v>
      </c>
      <c r="O6" s="527">
        <v>14</v>
      </c>
    </row>
    <row r="7" spans="1:17" s="2" customFormat="1" ht="12.95" customHeight="1">
      <c r="A7" s="312"/>
      <c r="B7" s="6" t="s">
        <v>131</v>
      </c>
      <c r="C7" s="7" t="s">
        <v>132</v>
      </c>
      <c r="D7" s="7" t="s">
        <v>113</v>
      </c>
      <c r="E7" s="667" t="s">
        <v>847</v>
      </c>
      <c r="F7" s="5"/>
      <c r="G7" s="313"/>
      <c r="H7" s="5"/>
      <c r="I7" s="574"/>
      <c r="J7" s="313"/>
      <c r="K7" s="574"/>
      <c r="L7" s="4"/>
      <c r="M7" s="313"/>
      <c r="N7" s="722"/>
      <c r="O7" s="375"/>
    </row>
    <row r="8" spans="1:17" s="1" customFormat="1" ht="12.95" customHeight="1">
      <c r="A8" s="311"/>
      <c r="B8" s="12"/>
      <c r="C8" s="8"/>
      <c r="D8" s="8"/>
      <c r="E8" s="8"/>
      <c r="F8" s="335">
        <v>611000</v>
      </c>
      <c r="G8" s="361"/>
      <c r="H8" s="8" t="s">
        <v>146</v>
      </c>
      <c r="I8" s="738">
        <f t="shared" ref="I8:N8" si="0">SUM(I9:I12)</f>
        <v>2265790</v>
      </c>
      <c r="J8" s="236">
        <f t="shared" si="0"/>
        <v>2265790</v>
      </c>
      <c r="K8" s="744">
        <f t="shared" si="0"/>
        <v>558029</v>
      </c>
      <c r="L8" s="578">
        <f t="shared" si="0"/>
        <v>2263300</v>
      </c>
      <c r="M8" s="236">
        <f t="shared" si="0"/>
        <v>0</v>
      </c>
      <c r="N8" s="723">
        <f t="shared" si="0"/>
        <v>2263300</v>
      </c>
      <c r="O8" s="376">
        <f>IF(J8=0,"",N8/J8*100)</f>
        <v>99.89010455514412</v>
      </c>
    </row>
    <row r="9" spans="1:17" ht="12.95" customHeight="1">
      <c r="B9" s="10"/>
      <c r="C9" s="11"/>
      <c r="D9" s="11"/>
      <c r="E9" s="316"/>
      <c r="F9" s="336">
        <v>611100</v>
      </c>
      <c r="G9" s="362"/>
      <c r="H9" s="20" t="s">
        <v>174</v>
      </c>
      <c r="I9" s="739">
        <f>1855120+10*420+3*730+46380-34100</f>
        <v>1873790</v>
      </c>
      <c r="J9" s="235">
        <f>1855120+10*420+3*730+46380-34100</f>
        <v>1873790</v>
      </c>
      <c r="K9" s="741">
        <v>466651</v>
      </c>
      <c r="L9" s="579">
        <f>1838810+2000+3*760+7*420</f>
        <v>1846030</v>
      </c>
      <c r="M9" s="235">
        <v>0</v>
      </c>
      <c r="N9" s="724">
        <f>SUM(L9:M9)</f>
        <v>1846030</v>
      </c>
      <c r="O9" s="377">
        <f>IF(J9=0,"",N9/J9*100)</f>
        <v>98.518510612181728</v>
      </c>
    </row>
    <row r="10" spans="1:17" ht="12.95" customHeight="1">
      <c r="B10" s="10"/>
      <c r="C10" s="11"/>
      <c r="D10" s="11"/>
      <c r="E10" s="316"/>
      <c r="F10" s="336">
        <v>611200</v>
      </c>
      <c r="G10" s="362"/>
      <c r="H10" s="11" t="s">
        <v>175</v>
      </c>
      <c r="I10" s="739">
        <f>384100+10*930+3*1500+2000-7900</f>
        <v>392000</v>
      </c>
      <c r="J10" s="235">
        <f>384100+10*930+3*1500+2000-7900</f>
        <v>392000</v>
      </c>
      <c r="K10" s="741">
        <v>91378</v>
      </c>
      <c r="L10" s="579">
        <f>401880+1000+3*1650+7*950+2790</f>
        <v>417270</v>
      </c>
      <c r="M10" s="235">
        <v>0</v>
      </c>
      <c r="N10" s="724">
        <f t="shared" ref="N10:N11" si="1">SUM(L10:M10)</f>
        <v>417270</v>
      </c>
      <c r="O10" s="377">
        <f t="shared" ref="O10:O35" si="2">IF(J10=0,"",N10/J10*100)</f>
        <v>106.44642857142857</v>
      </c>
      <c r="Q10" s="63"/>
    </row>
    <row r="11" spans="1:17" ht="12.95" customHeight="1">
      <c r="B11" s="10"/>
      <c r="C11" s="11"/>
      <c r="D11" s="11"/>
      <c r="E11" s="316"/>
      <c r="F11" s="336">
        <v>611200</v>
      </c>
      <c r="G11" s="362"/>
      <c r="H11" s="210" t="s">
        <v>464</v>
      </c>
      <c r="I11" s="739">
        <v>0</v>
      </c>
      <c r="J11" s="235">
        <v>0</v>
      </c>
      <c r="K11" s="741">
        <v>0</v>
      </c>
      <c r="L11" s="579">
        <v>0</v>
      </c>
      <c r="M11" s="235">
        <v>0</v>
      </c>
      <c r="N11" s="724">
        <f t="shared" si="1"/>
        <v>0</v>
      </c>
      <c r="O11" s="377" t="str">
        <f t="shared" si="2"/>
        <v/>
      </c>
      <c r="Q11" s="62"/>
    </row>
    <row r="12" spans="1:17" ht="12.95" customHeight="1">
      <c r="B12" s="10"/>
      <c r="C12" s="11"/>
      <c r="D12" s="11"/>
      <c r="E12" s="316"/>
      <c r="F12" s="336"/>
      <c r="G12" s="362"/>
      <c r="H12" s="20"/>
      <c r="I12" s="739"/>
      <c r="J12" s="235"/>
      <c r="K12" s="741"/>
      <c r="L12" s="579"/>
      <c r="M12" s="235"/>
      <c r="N12" s="724"/>
      <c r="O12" s="377" t="str">
        <f t="shared" si="2"/>
        <v/>
      </c>
    </row>
    <row r="13" spans="1:17" s="1" customFormat="1" ht="12.95" customHeight="1">
      <c r="A13" s="311"/>
      <c r="B13" s="12"/>
      <c r="C13" s="8"/>
      <c r="D13" s="8"/>
      <c r="E13" s="8"/>
      <c r="F13" s="335">
        <v>612000</v>
      </c>
      <c r="G13" s="361"/>
      <c r="H13" s="8" t="s">
        <v>145</v>
      </c>
      <c r="I13" s="738">
        <f t="shared" ref="I13:N13" si="3">I14</f>
        <v>200660</v>
      </c>
      <c r="J13" s="236">
        <f t="shared" si="3"/>
        <v>200660</v>
      </c>
      <c r="K13" s="744">
        <f t="shared" si="3"/>
        <v>49882</v>
      </c>
      <c r="L13" s="578">
        <f t="shared" si="3"/>
        <v>199530</v>
      </c>
      <c r="M13" s="236">
        <f t="shared" si="3"/>
        <v>0</v>
      </c>
      <c r="N13" s="723">
        <f t="shared" si="3"/>
        <v>199530</v>
      </c>
      <c r="O13" s="376">
        <f t="shared" si="2"/>
        <v>99.436858367387629</v>
      </c>
    </row>
    <row r="14" spans="1:17" ht="12.95" customHeight="1">
      <c r="B14" s="10"/>
      <c r="C14" s="11"/>
      <c r="D14" s="11"/>
      <c r="E14" s="316"/>
      <c r="F14" s="336">
        <v>612100</v>
      </c>
      <c r="G14" s="362"/>
      <c r="H14" s="13" t="s">
        <v>82</v>
      </c>
      <c r="I14" s="739">
        <f>196730+10*150+3*250+500+4920-3740</f>
        <v>200660</v>
      </c>
      <c r="J14" s="235">
        <f>196730+10*150+3*250+500+4920-3740</f>
        <v>200660</v>
      </c>
      <c r="K14" s="741">
        <v>49882</v>
      </c>
      <c r="L14" s="579">
        <f>196670+1000+3*270+7*150</f>
        <v>199530</v>
      </c>
      <c r="M14" s="235">
        <v>0</v>
      </c>
      <c r="N14" s="724">
        <f>SUM(L14:M14)</f>
        <v>199530</v>
      </c>
      <c r="O14" s="377">
        <f t="shared" si="2"/>
        <v>99.436858367387629</v>
      </c>
    </row>
    <row r="15" spans="1:17" ht="12.95" customHeight="1">
      <c r="B15" s="10"/>
      <c r="C15" s="11"/>
      <c r="D15" s="11"/>
      <c r="E15" s="316"/>
      <c r="F15" s="336"/>
      <c r="G15" s="362"/>
      <c r="H15" s="11"/>
      <c r="I15" s="740"/>
      <c r="J15" s="310"/>
      <c r="K15" s="741"/>
      <c r="L15" s="583"/>
      <c r="M15" s="310"/>
      <c r="N15" s="725"/>
      <c r="O15" s="377" t="str">
        <f t="shared" si="2"/>
        <v/>
      </c>
    </row>
    <row r="16" spans="1:17" s="1" customFormat="1" ht="12.95" customHeight="1">
      <c r="A16" s="311"/>
      <c r="B16" s="12"/>
      <c r="C16" s="8"/>
      <c r="D16" s="8"/>
      <c r="E16" s="8"/>
      <c r="F16" s="335">
        <v>613000</v>
      </c>
      <c r="G16" s="361"/>
      <c r="H16" s="8" t="s">
        <v>147</v>
      </c>
      <c r="I16" s="778">
        <f t="shared" ref="I16:N16" si="4">SUM(I17:I26)</f>
        <v>217500</v>
      </c>
      <c r="J16" s="323">
        <f t="shared" si="4"/>
        <v>217500</v>
      </c>
      <c r="K16" s="783">
        <f t="shared" si="4"/>
        <v>49911</v>
      </c>
      <c r="L16" s="581">
        <f t="shared" si="4"/>
        <v>185240</v>
      </c>
      <c r="M16" s="323">
        <f t="shared" si="4"/>
        <v>0</v>
      </c>
      <c r="N16" s="726">
        <f t="shared" si="4"/>
        <v>185240</v>
      </c>
      <c r="O16" s="376">
        <f t="shared" si="2"/>
        <v>85.167816091954023</v>
      </c>
    </row>
    <row r="17" spans="1:16" ht="12.95" customHeight="1">
      <c r="B17" s="10"/>
      <c r="C17" s="11"/>
      <c r="D17" s="11"/>
      <c r="E17" s="316"/>
      <c r="F17" s="336">
        <v>613100</v>
      </c>
      <c r="G17" s="362"/>
      <c r="H17" s="11" t="s">
        <v>83</v>
      </c>
      <c r="I17" s="791">
        <v>11500</v>
      </c>
      <c r="J17" s="393">
        <v>11500</v>
      </c>
      <c r="K17" s="791">
        <v>959</v>
      </c>
      <c r="L17" s="568">
        <v>7500</v>
      </c>
      <c r="M17" s="393">
        <v>0</v>
      </c>
      <c r="N17" s="724">
        <f t="shared" ref="N17:N26" si="5">SUM(L17:M17)</f>
        <v>7500</v>
      </c>
      <c r="O17" s="377">
        <f t="shared" si="2"/>
        <v>65.217391304347828</v>
      </c>
    </row>
    <row r="18" spans="1:16" ht="12.95" customHeight="1">
      <c r="B18" s="10"/>
      <c r="C18" s="11"/>
      <c r="D18" s="11"/>
      <c r="E18" s="316"/>
      <c r="F18" s="336">
        <v>613200</v>
      </c>
      <c r="G18" s="362"/>
      <c r="H18" s="11" t="s">
        <v>84</v>
      </c>
      <c r="I18" s="791">
        <v>84000</v>
      </c>
      <c r="J18" s="393">
        <v>84000</v>
      </c>
      <c r="K18" s="791">
        <v>29159</v>
      </c>
      <c r="L18" s="568">
        <v>74000</v>
      </c>
      <c r="M18" s="393">
        <v>0</v>
      </c>
      <c r="N18" s="724">
        <f t="shared" si="5"/>
        <v>74000</v>
      </c>
      <c r="O18" s="377">
        <f t="shared" si="2"/>
        <v>88.095238095238088</v>
      </c>
    </row>
    <row r="19" spans="1:16" ht="12.95" customHeight="1">
      <c r="B19" s="10"/>
      <c r="C19" s="11"/>
      <c r="D19" s="11"/>
      <c r="E19" s="316"/>
      <c r="F19" s="336">
        <v>613300</v>
      </c>
      <c r="G19" s="362"/>
      <c r="H19" s="20" t="s">
        <v>176</v>
      </c>
      <c r="I19" s="791">
        <v>9200</v>
      </c>
      <c r="J19" s="393">
        <v>9200</v>
      </c>
      <c r="K19" s="791">
        <v>2204</v>
      </c>
      <c r="L19" s="568">
        <v>9200</v>
      </c>
      <c r="M19" s="393">
        <v>0</v>
      </c>
      <c r="N19" s="724">
        <f t="shared" si="5"/>
        <v>9200</v>
      </c>
      <c r="O19" s="377">
        <f t="shared" si="2"/>
        <v>100</v>
      </c>
    </row>
    <row r="20" spans="1:16" ht="12.95" customHeight="1">
      <c r="B20" s="10"/>
      <c r="C20" s="11"/>
      <c r="D20" s="11"/>
      <c r="E20" s="316"/>
      <c r="F20" s="336">
        <v>613400</v>
      </c>
      <c r="G20" s="362"/>
      <c r="H20" s="11" t="s">
        <v>148</v>
      </c>
      <c r="I20" s="741">
        <v>20300</v>
      </c>
      <c r="J20" s="396">
        <v>20300</v>
      </c>
      <c r="K20" s="741">
        <v>1844</v>
      </c>
      <c r="L20" s="568">
        <v>16500</v>
      </c>
      <c r="M20" s="396">
        <v>0</v>
      </c>
      <c r="N20" s="724">
        <f t="shared" si="5"/>
        <v>16500</v>
      </c>
      <c r="O20" s="377">
        <f t="shared" si="2"/>
        <v>81.2807881773399</v>
      </c>
    </row>
    <row r="21" spans="1:16" ht="12.95" customHeight="1">
      <c r="B21" s="10"/>
      <c r="C21" s="11"/>
      <c r="D21" s="11"/>
      <c r="E21" s="316"/>
      <c r="F21" s="336">
        <v>613500</v>
      </c>
      <c r="G21" s="362"/>
      <c r="H21" s="11" t="s">
        <v>85</v>
      </c>
      <c r="I21" s="741">
        <v>1500</v>
      </c>
      <c r="J21" s="396">
        <v>1500</v>
      </c>
      <c r="K21" s="741">
        <v>0</v>
      </c>
      <c r="L21" s="568">
        <v>1500</v>
      </c>
      <c r="M21" s="396">
        <v>0</v>
      </c>
      <c r="N21" s="724">
        <f t="shared" si="5"/>
        <v>1500</v>
      </c>
      <c r="O21" s="377">
        <f t="shared" si="2"/>
        <v>100</v>
      </c>
    </row>
    <row r="22" spans="1:16" ht="12.95" customHeight="1">
      <c r="B22" s="10"/>
      <c r="C22" s="11"/>
      <c r="D22" s="11"/>
      <c r="E22" s="316"/>
      <c r="F22" s="336">
        <v>613600</v>
      </c>
      <c r="G22" s="362"/>
      <c r="H22" s="20" t="s">
        <v>177</v>
      </c>
      <c r="I22" s="741">
        <v>0</v>
      </c>
      <c r="J22" s="396">
        <v>0</v>
      </c>
      <c r="K22" s="741">
        <v>0</v>
      </c>
      <c r="L22" s="568">
        <v>0</v>
      </c>
      <c r="M22" s="396">
        <v>0</v>
      </c>
      <c r="N22" s="724">
        <f t="shared" si="5"/>
        <v>0</v>
      </c>
      <c r="O22" s="377" t="str">
        <f t="shared" si="2"/>
        <v/>
      </c>
    </row>
    <row r="23" spans="1:16" ht="12.95" customHeight="1">
      <c r="B23" s="10"/>
      <c r="C23" s="11"/>
      <c r="D23" s="11"/>
      <c r="E23" s="316"/>
      <c r="F23" s="336">
        <v>613700</v>
      </c>
      <c r="G23" s="362"/>
      <c r="H23" s="11" t="s">
        <v>86</v>
      </c>
      <c r="I23" s="741">
        <v>28000</v>
      </c>
      <c r="J23" s="396">
        <v>28000</v>
      </c>
      <c r="K23" s="741">
        <v>3961</v>
      </c>
      <c r="L23" s="568">
        <v>22000</v>
      </c>
      <c r="M23" s="396">
        <v>0</v>
      </c>
      <c r="N23" s="724">
        <f t="shared" si="5"/>
        <v>22000</v>
      </c>
      <c r="O23" s="377">
        <f t="shared" si="2"/>
        <v>78.571428571428569</v>
      </c>
    </row>
    <row r="24" spans="1:16" ht="12.95" customHeight="1">
      <c r="B24" s="10"/>
      <c r="C24" s="11"/>
      <c r="D24" s="11"/>
      <c r="E24" s="316"/>
      <c r="F24" s="336">
        <v>613800</v>
      </c>
      <c r="G24" s="362"/>
      <c r="H24" s="11" t="s">
        <v>149</v>
      </c>
      <c r="I24" s="741">
        <v>0</v>
      </c>
      <c r="J24" s="396">
        <v>0</v>
      </c>
      <c r="K24" s="741">
        <v>0</v>
      </c>
      <c r="L24" s="568">
        <v>0</v>
      </c>
      <c r="M24" s="396">
        <v>0</v>
      </c>
      <c r="N24" s="724">
        <f t="shared" si="5"/>
        <v>0</v>
      </c>
      <c r="O24" s="377" t="str">
        <f t="shared" si="2"/>
        <v/>
      </c>
    </row>
    <row r="25" spans="1:16" ht="12.95" customHeight="1">
      <c r="B25" s="10"/>
      <c r="C25" s="11"/>
      <c r="D25" s="11"/>
      <c r="E25" s="316"/>
      <c r="F25" s="336">
        <v>613900</v>
      </c>
      <c r="G25" s="362"/>
      <c r="H25" s="11" t="s">
        <v>150</v>
      </c>
      <c r="I25" s="741">
        <v>63000</v>
      </c>
      <c r="J25" s="396">
        <v>63000</v>
      </c>
      <c r="K25" s="741">
        <v>11784</v>
      </c>
      <c r="L25" s="568">
        <f>55000-460</f>
        <v>54540</v>
      </c>
      <c r="M25" s="396">
        <v>0</v>
      </c>
      <c r="N25" s="724">
        <f t="shared" si="5"/>
        <v>54540</v>
      </c>
      <c r="O25" s="377">
        <f t="shared" si="2"/>
        <v>86.571428571428584</v>
      </c>
    </row>
    <row r="26" spans="1:16" ht="12.95" customHeight="1">
      <c r="B26" s="10"/>
      <c r="C26" s="11"/>
      <c r="D26" s="11"/>
      <c r="E26" s="316"/>
      <c r="F26" s="336">
        <v>613900</v>
      </c>
      <c r="G26" s="362"/>
      <c r="H26" s="210" t="s">
        <v>465</v>
      </c>
      <c r="I26" s="557">
        <v>0</v>
      </c>
      <c r="J26" s="392">
        <v>0</v>
      </c>
      <c r="K26" s="557">
        <v>0</v>
      </c>
      <c r="L26" s="572">
        <v>0</v>
      </c>
      <c r="M26" s="392">
        <v>0</v>
      </c>
      <c r="N26" s="724">
        <f t="shared" si="5"/>
        <v>0</v>
      </c>
      <c r="O26" s="377" t="str">
        <f t="shared" si="2"/>
        <v/>
      </c>
    </row>
    <row r="27" spans="1:16" s="1" customFormat="1" ht="12.95" customHeight="1">
      <c r="A27" s="311"/>
      <c r="B27" s="12"/>
      <c r="C27" s="8"/>
      <c r="D27" s="8"/>
      <c r="E27" s="8"/>
      <c r="F27" s="335"/>
      <c r="G27" s="361"/>
      <c r="H27" s="8"/>
      <c r="I27" s="740"/>
      <c r="J27" s="310"/>
      <c r="K27" s="741"/>
      <c r="L27" s="583"/>
      <c r="M27" s="310"/>
      <c r="N27" s="725"/>
      <c r="O27" s="377" t="str">
        <f t="shared" si="2"/>
        <v/>
      </c>
    </row>
    <row r="28" spans="1:16" s="1" customFormat="1" ht="12.95" customHeight="1">
      <c r="A28" s="311"/>
      <c r="B28" s="12"/>
      <c r="C28" s="8"/>
      <c r="D28" s="8"/>
      <c r="E28" s="8"/>
      <c r="F28" s="335">
        <v>821000</v>
      </c>
      <c r="G28" s="361"/>
      <c r="H28" s="8" t="s">
        <v>89</v>
      </c>
      <c r="I28" s="632">
        <f t="shared" ref="I28:N28" si="6">SUM(I29:I31)</f>
        <v>12000</v>
      </c>
      <c r="J28" s="325">
        <f t="shared" si="6"/>
        <v>12000</v>
      </c>
      <c r="K28" s="744">
        <f t="shared" si="6"/>
        <v>0</v>
      </c>
      <c r="L28" s="588">
        <f t="shared" si="6"/>
        <v>7000</v>
      </c>
      <c r="M28" s="325">
        <f t="shared" si="6"/>
        <v>0</v>
      </c>
      <c r="N28" s="726">
        <f t="shared" si="6"/>
        <v>7000</v>
      </c>
      <c r="O28" s="376">
        <f t="shared" si="2"/>
        <v>58.333333333333336</v>
      </c>
    </row>
    <row r="29" spans="1:16" ht="12.95" customHeight="1">
      <c r="B29" s="10"/>
      <c r="C29" s="11"/>
      <c r="D29" s="11"/>
      <c r="E29" s="316"/>
      <c r="F29" s="336">
        <v>821200</v>
      </c>
      <c r="G29" s="362"/>
      <c r="H29" s="11" t="s">
        <v>90</v>
      </c>
      <c r="I29" s="740">
        <v>7000</v>
      </c>
      <c r="J29" s="310">
        <v>7000</v>
      </c>
      <c r="K29" s="741">
        <v>0</v>
      </c>
      <c r="L29" s="583">
        <v>2000</v>
      </c>
      <c r="M29" s="310">
        <v>0</v>
      </c>
      <c r="N29" s="724">
        <f t="shared" ref="N29:N30" si="7">SUM(L29:M29)</f>
        <v>2000</v>
      </c>
      <c r="O29" s="377">
        <f t="shared" si="2"/>
        <v>28.571428571428569</v>
      </c>
      <c r="P29" s="55"/>
    </row>
    <row r="30" spans="1:16" ht="12.95" customHeight="1">
      <c r="B30" s="10"/>
      <c r="C30" s="11"/>
      <c r="D30" s="11"/>
      <c r="E30" s="316"/>
      <c r="F30" s="336">
        <v>821300</v>
      </c>
      <c r="G30" s="362"/>
      <c r="H30" s="11" t="s">
        <v>91</v>
      </c>
      <c r="I30" s="740">
        <v>5000</v>
      </c>
      <c r="J30" s="310">
        <v>5000</v>
      </c>
      <c r="K30" s="741">
        <v>0</v>
      </c>
      <c r="L30" s="583">
        <v>5000</v>
      </c>
      <c r="M30" s="310">
        <v>0</v>
      </c>
      <c r="N30" s="724">
        <f t="shared" si="7"/>
        <v>5000</v>
      </c>
      <c r="O30" s="377">
        <f t="shared" si="2"/>
        <v>100</v>
      </c>
    </row>
    <row r="31" spans="1:16" ht="12.95" customHeight="1">
      <c r="B31" s="10"/>
      <c r="C31" s="11"/>
      <c r="D31" s="11"/>
      <c r="E31" s="316"/>
      <c r="F31" s="336"/>
      <c r="G31" s="362"/>
      <c r="H31" s="20"/>
      <c r="I31" s="740"/>
      <c r="J31" s="310"/>
      <c r="K31" s="741"/>
      <c r="L31" s="583"/>
      <c r="M31" s="310"/>
      <c r="N31" s="725"/>
      <c r="O31" s="377" t="str">
        <f t="shared" si="2"/>
        <v/>
      </c>
    </row>
    <row r="32" spans="1:16" s="1" customFormat="1" ht="12.95" customHeight="1">
      <c r="A32" s="311"/>
      <c r="B32" s="12"/>
      <c r="C32" s="8"/>
      <c r="D32" s="8"/>
      <c r="E32" s="8"/>
      <c r="F32" s="335"/>
      <c r="G32" s="361"/>
      <c r="H32" s="8" t="s">
        <v>92</v>
      </c>
      <c r="I32" s="785" t="s">
        <v>723</v>
      </c>
      <c r="J32" s="308" t="s">
        <v>723</v>
      </c>
      <c r="K32" s="790" t="s">
        <v>896</v>
      </c>
      <c r="L32" s="627" t="s">
        <v>896</v>
      </c>
      <c r="M32" s="308"/>
      <c r="N32" s="727" t="s">
        <v>896</v>
      </c>
      <c r="O32" s="377"/>
    </row>
    <row r="33" spans="1:15" s="1" customFormat="1" ht="12.95" customHeight="1">
      <c r="A33" s="311"/>
      <c r="B33" s="12"/>
      <c r="C33" s="8"/>
      <c r="D33" s="8"/>
      <c r="E33" s="8"/>
      <c r="F33" s="335"/>
      <c r="G33" s="361"/>
      <c r="H33" s="8" t="s">
        <v>110</v>
      </c>
      <c r="I33" s="575">
        <f>I8+I13+I16+I28</f>
        <v>2695950</v>
      </c>
      <c r="J33" s="318">
        <f>J8+J13+J16+J28</f>
        <v>2695950</v>
      </c>
      <c r="K33" s="575">
        <f t="shared" ref="K33" si="8">K8+K13+K16+K28</f>
        <v>657822</v>
      </c>
      <c r="L33" s="582">
        <f>L8+L13+L16+L28</f>
        <v>2655070</v>
      </c>
      <c r="M33" s="318">
        <f>M8+M13+M16+M28</f>
        <v>0</v>
      </c>
      <c r="N33" s="726">
        <f>N8+N13+N16+N28</f>
        <v>2655070</v>
      </c>
      <c r="O33" s="376">
        <f t="shared" si="2"/>
        <v>98.483651403030464</v>
      </c>
    </row>
    <row r="34" spans="1:15" s="1" customFormat="1" ht="12.95" customHeight="1">
      <c r="A34" s="311"/>
      <c r="B34" s="12"/>
      <c r="C34" s="8"/>
      <c r="D34" s="8"/>
      <c r="E34" s="8"/>
      <c r="F34" s="335"/>
      <c r="G34" s="361"/>
      <c r="H34" s="8" t="s">
        <v>93</v>
      </c>
      <c r="I34" s="15"/>
      <c r="J34" s="15"/>
      <c r="K34" s="575"/>
      <c r="L34" s="582"/>
      <c r="M34" s="318"/>
      <c r="N34" s="726"/>
      <c r="O34" s="377" t="str">
        <f>IF(J34=0,"",N34/J34*100)</f>
        <v/>
      </c>
    </row>
    <row r="35" spans="1:15" s="1" customFormat="1" ht="12.95" customHeight="1">
      <c r="A35" s="311"/>
      <c r="B35" s="12"/>
      <c r="C35" s="8"/>
      <c r="D35" s="8"/>
      <c r="E35" s="8"/>
      <c r="F35" s="335"/>
      <c r="G35" s="361"/>
      <c r="H35" s="8" t="s">
        <v>94</v>
      </c>
      <c r="I35" s="30"/>
      <c r="J35" s="30"/>
      <c r="K35" s="586"/>
      <c r="L35" s="580"/>
      <c r="M35" s="309"/>
      <c r="N35" s="725"/>
      <c r="O35" s="377" t="str">
        <f t="shared" si="2"/>
        <v/>
      </c>
    </row>
    <row r="36" spans="1:15" ht="12.95" customHeight="1" thickBot="1">
      <c r="B36" s="16"/>
      <c r="C36" s="17"/>
      <c r="D36" s="17"/>
      <c r="E36" s="17"/>
      <c r="F36" s="337"/>
      <c r="G36" s="363"/>
      <c r="H36" s="17"/>
      <c r="I36" s="17"/>
      <c r="J36" s="17"/>
      <c r="K36" s="27"/>
      <c r="L36" s="16"/>
      <c r="M36" s="17"/>
      <c r="N36" s="735"/>
      <c r="O36" s="379"/>
    </row>
    <row r="37" spans="1:15" ht="12.95" customHeight="1">
      <c r="F37" s="338"/>
      <c r="G37" s="364"/>
      <c r="N37" s="423"/>
    </row>
    <row r="38" spans="1:15" ht="12.95" customHeight="1">
      <c r="F38" s="338"/>
      <c r="G38" s="364"/>
      <c r="L38" s="80"/>
      <c r="N38" s="423"/>
    </row>
    <row r="39" spans="1:15" ht="12.95" customHeight="1">
      <c r="B39" s="55"/>
      <c r="F39" s="338"/>
      <c r="G39" s="364"/>
      <c r="N39" s="423"/>
    </row>
    <row r="40" spans="1:15" ht="12.95" customHeight="1">
      <c r="B40" s="55"/>
      <c r="F40" s="338"/>
      <c r="G40" s="364"/>
      <c r="N40" s="423"/>
    </row>
    <row r="41" spans="1:15" ht="12.95" customHeight="1">
      <c r="B41" s="55"/>
      <c r="F41" s="338"/>
      <c r="G41" s="364"/>
      <c r="N41" s="423"/>
    </row>
    <row r="42" spans="1:15" ht="12.95" customHeight="1">
      <c r="B42" s="55"/>
      <c r="F42" s="338"/>
      <c r="G42" s="364"/>
      <c r="N42" s="423"/>
    </row>
    <row r="43" spans="1:15" ht="12.95" customHeight="1">
      <c r="B43" s="55"/>
      <c r="F43" s="338"/>
      <c r="G43" s="364"/>
      <c r="N43" s="423"/>
    </row>
    <row r="44" spans="1:15" ht="12.95" customHeight="1">
      <c r="B44" s="55"/>
      <c r="F44" s="338"/>
      <c r="G44" s="364"/>
      <c r="N44" s="423"/>
    </row>
    <row r="45" spans="1:15" ht="12.95" customHeight="1">
      <c r="B45" s="55"/>
      <c r="F45" s="338"/>
      <c r="G45" s="364"/>
      <c r="N45" s="423"/>
    </row>
    <row r="46" spans="1:15" ht="12.95" customHeight="1">
      <c r="F46" s="338"/>
      <c r="G46" s="364"/>
      <c r="N46" s="423"/>
    </row>
    <row r="47" spans="1:15" ht="12.95" customHeight="1">
      <c r="F47" s="338"/>
      <c r="G47" s="364"/>
      <c r="N47" s="423"/>
    </row>
    <row r="48" spans="1:15" ht="12.95" customHeight="1">
      <c r="F48" s="338"/>
      <c r="G48" s="364"/>
      <c r="N48" s="423"/>
    </row>
    <row r="49" spans="6:14" ht="12.95" customHeight="1">
      <c r="F49" s="338"/>
      <c r="G49" s="364"/>
      <c r="N49" s="423"/>
    </row>
    <row r="50" spans="6:14" ht="12.95" customHeight="1">
      <c r="F50" s="338"/>
      <c r="G50" s="364"/>
      <c r="N50" s="423"/>
    </row>
    <row r="51" spans="6:14" ht="12.95" customHeight="1">
      <c r="F51" s="338"/>
      <c r="G51" s="364"/>
      <c r="N51" s="423"/>
    </row>
    <row r="52" spans="6:14" ht="12.95" customHeight="1">
      <c r="F52" s="338"/>
      <c r="G52" s="364"/>
      <c r="N52" s="423"/>
    </row>
    <row r="53" spans="6:14" ht="12.95" customHeight="1">
      <c r="F53" s="338"/>
      <c r="G53" s="364"/>
      <c r="N53" s="423"/>
    </row>
    <row r="54" spans="6:14" ht="12.95" customHeight="1">
      <c r="F54" s="338"/>
      <c r="G54" s="364"/>
      <c r="N54" s="423"/>
    </row>
    <row r="55" spans="6:14" ht="12.95" customHeight="1">
      <c r="F55" s="338"/>
      <c r="G55" s="364"/>
      <c r="N55" s="423"/>
    </row>
    <row r="56" spans="6:14" ht="12.95" customHeight="1">
      <c r="F56" s="338"/>
      <c r="G56" s="364"/>
      <c r="N56" s="423"/>
    </row>
    <row r="57" spans="6:14" ht="12.95" customHeight="1">
      <c r="F57" s="338"/>
      <c r="G57" s="364"/>
      <c r="N57" s="423"/>
    </row>
    <row r="58" spans="6:14" ht="12.95" customHeight="1">
      <c r="F58" s="338"/>
      <c r="G58" s="364"/>
      <c r="N58" s="423"/>
    </row>
    <row r="59" spans="6:14" ht="12.95" customHeight="1">
      <c r="F59" s="338"/>
      <c r="G59" s="364"/>
      <c r="N59" s="423"/>
    </row>
    <row r="60" spans="6:14" ht="17.100000000000001" customHeight="1">
      <c r="F60" s="338"/>
      <c r="G60" s="364"/>
      <c r="N60" s="423"/>
    </row>
    <row r="61" spans="6:14" ht="14.25">
      <c r="F61" s="338"/>
      <c r="G61" s="364"/>
      <c r="N61" s="423"/>
    </row>
    <row r="62" spans="6:14" ht="14.25">
      <c r="F62" s="338"/>
      <c r="G62" s="364"/>
      <c r="N62" s="423"/>
    </row>
    <row r="63" spans="6:14" ht="14.25">
      <c r="F63" s="338"/>
      <c r="G63" s="364"/>
      <c r="N63" s="423"/>
    </row>
    <row r="64" spans="6:14" ht="14.25">
      <c r="F64" s="338"/>
      <c r="G64" s="364"/>
      <c r="N64" s="423"/>
    </row>
    <row r="65" spans="6:14" ht="14.25">
      <c r="F65" s="338"/>
      <c r="G65" s="364"/>
      <c r="N65" s="423"/>
    </row>
    <row r="66" spans="6:14" ht="14.25">
      <c r="F66" s="338"/>
      <c r="G66" s="364"/>
      <c r="N66" s="423"/>
    </row>
    <row r="67" spans="6:14" ht="14.25">
      <c r="F67" s="338"/>
      <c r="G67" s="364"/>
      <c r="N67" s="423"/>
    </row>
    <row r="68" spans="6:14" ht="14.25">
      <c r="F68" s="338"/>
      <c r="G68" s="364"/>
      <c r="N68" s="423"/>
    </row>
    <row r="69" spans="6:14" ht="14.25">
      <c r="F69" s="338"/>
      <c r="G69" s="364"/>
      <c r="N69" s="423"/>
    </row>
    <row r="70" spans="6:14" ht="14.25">
      <c r="F70" s="338"/>
      <c r="G70" s="364"/>
      <c r="N70" s="423"/>
    </row>
    <row r="71" spans="6:14" ht="14.25">
      <c r="F71" s="338"/>
      <c r="G71" s="364"/>
      <c r="N71" s="423"/>
    </row>
    <row r="72" spans="6:14" ht="14.25">
      <c r="F72" s="338"/>
      <c r="G72" s="364"/>
      <c r="N72" s="423"/>
    </row>
    <row r="73" spans="6:14" ht="14.25">
      <c r="F73" s="338"/>
      <c r="G73" s="364"/>
      <c r="N73" s="423"/>
    </row>
    <row r="74" spans="6:14" ht="14.25">
      <c r="F74" s="338"/>
      <c r="G74" s="338"/>
      <c r="N74" s="423"/>
    </row>
    <row r="75" spans="6:14" ht="14.25">
      <c r="F75" s="338"/>
      <c r="G75" s="338"/>
      <c r="N75" s="423"/>
    </row>
    <row r="76" spans="6:14" ht="14.25">
      <c r="F76" s="338"/>
      <c r="G76" s="338"/>
      <c r="N76" s="423"/>
    </row>
    <row r="77" spans="6:14" ht="14.25">
      <c r="F77" s="338"/>
      <c r="G77" s="338"/>
      <c r="N77" s="423"/>
    </row>
    <row r="78" spans="6:14" ht="14.25">
      <c r="F78" s="338"/>
      <c r="G78" s="338"/>
      <c r="N78" s="423"/>
    </row>
    <row r="79" spans="6:14" ht="14.25">
      <c r="F79" s="338"/>
      <c r="G79" s="338"/>
      <c r="N79" s="423"/>
    </row>
    <row r="80" spans="6:14" ht="14.25">
      <c r="F80" s="338"/>
      <c r="G80" s="338"/>
      <c r="N80" s="423"/>
    </row>
    <row r="81" spans="6:14" ht="14.25">
      <c r="F81" s="338"/>
      <c r="G81" s="338"/>
      <c r="N81" s="423"/>
    </row>
    <row r="82" spans="6:14" ht="14.25">
      <c r="F82" s="338"/>
      <c r="G82" s="338"/>
      <c r="N82" s="423"/>
    </row>
    <row r="83" spans="6:14" ht="14.25">
      <c r="F83" s="338"/>
      <c r="G83" s="338"/>
      <c r="N83" s="423"/>
    </row>
    <row r="84" spans="6:14" ht="14.25">
      <c r="F84" s="338"/>
      <c r="G84" s="338"/>
      <c r="N84" s="423"/>
    </row>
    <row r="85" spans="6:14" ht="14.25">
      <c r="F85" s="338"/>
      <c r="G85" s="338"/>
      <c r="N85" s="423"/>
    </row>
    <row r="86" spans="6:14" ht="14.25">
      <c r="F86" s="338"/>
      <c r="G86" s="338"/>
      <c r="N86" s="423"/>
    </row>
    <row r="87" spans="6:14" ht="14.25">
      <c r="F87" s="338"/>
      <c r="G87" s="338"/>
      <c r="N87" s="423"/>
    </row>
    <row r="88" spans="6:14" ht="14.25">
      <c r="F88" s="338"/>
      <c r="G88" s="338"/>
      <c r="N88" s="423"/>
    </row>
    <row r="89" spans="6:14" ht="14.25">
      <c r="F89" s="338"/>
      <c r="G89" s="338"/>
      <c r="N89" s="423"/>
    </row>
    <row r="90" spans="6:14" ht="14.25">
      <c r="F90" s="338"/>
      <c r="G90" s="338"/>
      <c r="N90" s="423"/>
    </row>
    <row r="91" spans="6:14">
      <c r="G91" s="338"/>
    </row>
    <row r="92" spans="6:14">
      <c r="G92" s="338"/>
    </row>
    <row r="93" spans="6:14">
      <c r="G93" s="338"/>
    </row>
    <row r="94" spans="6:14">
      <c r="G94" s="338"/>
    </row>
    <row r="95" spans="6:14">
      <c r="G95" s="338"/>
    </row>
    <row r="96" spans="6:14">
      <c r="G96" s="338"/>
    </row>
  </sheetData>
  <mergeCells count="14">
    <mergeCell ref="O4:O5"/>
    <mergeCell ref="H4:H5"/>
    <mergeCell ref="B2:N2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K4:K5"/>
    <mergeCell ref="E4:E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28"/>
  <dimension ref="A1:Q96"/>
  <sheetViews>
    <sheetView zoomScaleNormal="100" workbookViewId="0">
      <selection activeCell="P25" sqref="P25"/>
    </sheetView>
  </sheetViews>
  <sheetFormatPr defaultRowHeight="12.75"/>
  <cols>
    <col min="1" max="1" width="9.140625" style="314"/>
    <col min="2" max="2" width="4.7109375" style="9" customWidth="1"/>
    <col min="3" max="3" width="5.140625" style="9" customWidth="1"/>
    <col min="4" max="4" width="5" style="9" customWidth="1"/>
    <col min="5" max="5" width="5" style="314" customWidth="1"/>
    <col min="6" max="6" width="8.7109375" style="18" customWidth="1"/>
    <col min="7" max="7" width="8.7109375" style="319" customWidth="1"/>
    <col min="8" max="8" width="50.7109375" style="9" customWidth="1"/>
    <col min="9" max="13" width="14.7109375" style="63" customWidth="1"/>
    <col min="14" max="14" width="15.7109375" style="63" customWidth="1"/>
    <col min="15" max="15" width="7.7109375" style="380" customWidth="1"/>
    <col min="16" max="16384" width="9.140625" style="9"/>
  </cols>
  <sheetData>
    <row r="1" spans="1:17" ht="13.5" thickBot="1"/>
    <row r="2" spans="1:17" s="113" customFormat="1" ht="20.100000000000001" customHeight="1" thickTop="1" thickBot="1">
      <c r="A2" s="408"/>
      <c r="B2" s="887" t="s">
        <v>805</v>
      </c>
      <c r="C2" s="888"/>
      <c r="D2" s="888"/>
      <c r="E2" s="888"/>
      <c r="F2" s="888"/>
      <c r="G2" s="888"/>
      <c r="H2" s="888"/>
      <c r="I2" s="888"/>
      <c r="J2" s="921"/>
      <c r="K2" s="921"/>
      <c r="L2" s="921"/>
      <c r="M2" s="921"/>
      <c r="N2" s="921"/>
      <c r="O2" s="922"/>
      <c r="Q2" s="408"/>
    </row>
    <row r="3" spans="1:17" s="1" customFormat="1" ht="8.1" customHeight="1" thickTop="1" thickBot="1">
      <c r="A3" s="311"/>
      <c r="E3" s="311"/>
      <c r="F3" s="2"/>
      <c r="G3" s="312"/>
      <c r="H3" s="890"/>
      <c r="I3" s="890"/>
      <c r="J3" s="282"/>
      <c r="K3" s="282"/>
      <c r="L3" s="107"/>
      <c r="M3" s="107"/>
      <c r="N3" s="107"/>
      <c r="O3" s="374"/>
    </row>
    <row r="4" spans="1:17" s="1" customFormat="1" ht="39" customHeight="1">
      <c r="A4" s="311"/>
      <c r="B4" s="894" t="s">
        <v>77</v>
      </c>
      <c r="C4" s="909" t="s">
        <v>78</v>
      </c>
      <c r="D4" s="910" t="s">
        <v>107</v>
      </c>
      <c r="E4" s="916" t="s">
        <v>828</v>
      </c>
      <c r="F4" s="911" t="s">
        <v>517</v>
      </c>
      <c r="G4" s="899" t="s">
        <v>556</v>
      </c>
      <c r="H4" s="900" t="s">
        <v>79</v>
      </c>
      <c r="I4" s="912" t="s">
        <v>697</v>
      </c>
      <c r="J4" s="913" t="s">
        <v>862</v>
      </c>
      <c r="K4" s="917" t="s">
        <v>863</v>
      </c>
      <c r="L4" s="908" t="s">
        <v>865</v>
      </c>
      <c r="M4" s="892"/>
      <c r="N4" s="893"/>
      <c r="O4" s="906" t="s">
        <v>866</v>
      </c>
      <c r="Q4" s="81"/>
    </row>
    <row r="5" spans="1:17" s="311" customFormat="1" ht="27" customHeight="1">
      <c r="B5" s="895"/>
      <c r="C5" s="897"/>
      <c r="D5" s="897"/>
      <c r="E5" s="897"/>
      <c r="F5" s="901"/>
      <c r="G5" s="897"/>
      <c r="H5" s="901"/>
      <c r="I5" s="901"/>
      <c r="J5" s="901"/>
      <c r="K5" s="905"/>
      <c r="L5" s="587" t="s">
        <v>601</v>
      </c>
      <c r="M5" s="404" t="s">
        <v>602</v>
      </c>
      <c r="N5" s="720" t="s">
        <v>349</v>
      </c>
      <c r="O5" s="907"/>
    </row>
    <row r="6" spans="1:17" s="2" customFormat="1" ht="12.95" customHeight="1">
      <c r="A6" s="312"/>
      <c r="B6" s="525">
        <v>1</v>
      </c>
      <c r="C6" s="361">
        <v>2</v>
      </c>
      <c r="D6" s="361">
        <v>3</v>
      </c>
      <c r="E6" s="361">
        <v>4</v>
      </c>
      <c r="F6" s="361">
        <v>5</v>
      </c>
      <c r="G6" s="361">
        <v>6</v>
      </c>
      <c r="H6" s="361">
        <v>7</v>
      </c>
      <c r="I6" s="361">
        <v>8</v>
      </c>
      <c r="J6" s="361">
        <v>9</v>
      </c>
      <c r="K6" s="526">
        <v>10</v>
      </c>
      <c r="L6" s="525">
        <v>11</v>
      </c>
      <c r="M6" s="361">
        <v>12</v>
      </c>
      <c r="N6" s="721" t="s">
        <v>830</v>
      </c>
      <c r="O6" s="527">
        <v>14</v>
      </c>
    </row>
    <row r="7" spans="1:17" s="2" customFormat="1" ht="12.95" customHeight="1">
      <c r="A7" s="312"/>
      <c r="B7" s="6" t="s">
        <v>131</v>
      </c>
      <c r="C7" s="7" t="s">
        <v>132</v>
      </c>
      <c r="D7" s="7" t="s">
        <v>118</v>
      </c>
      <c r="E7" s="667" t="s">
        <v>847</v>
      </c>
      <c r="F7" s="5"/>
      <c r="G7" s="313"/>
      <c r="H7" s="5"/>
      <c r="I7" s="592"/>
      <c r="J7" s="100"/>
      <c r="K7" s="592"/>
      <c r="L7" s="619"/>
      <c r="M7" s="100"/>
      <c r="N7" s="773"/>
      <c r="O7" s="375"/>
    </row>
    <row r="8" spans="1:17" s="1" customFormat="1" ht="12.95" customHeight="1">
      <c r="A8" s="311"/>
      <c r="B8" s="12"/>
      <c r="C8" s="8"/>
      <c r="D8" s="8"/>
      <c r="E8" s="8"/>
      <c r="F8" s="335">
        <v>611000</v>
      </c>
      <c r="G8" s="361"/>
      <c r="H8" s="8" t="s">
        <v>146</v>
      </c>
      <c r="I8" s="738">
        <f t="shared" ref="I8:N8" si="0">SUM(I9:I12)</f>
        <v>611010</v>
      </c>
      <c r="J8" s="236">
        <f t="shared" si="0"/>
        <v>611010</v>
      </c>
      <c r="K8" s="744">
        <f t="shared" si="0"/>
        <v>150455</v>
      </c>
      <c r="L8" s="578">
        <f t="shared" si="0"/>
        <v>616370</v>
      </c>
      <c r="M8" s="236">
        <f t="shared" si="0"/>
        <v>0</v>
      </c>
      <c r="N8" s="723">
        <f t="shared" si="0"/>
        <v>616370</v>
      </c>
      <c r="O8" s="376">
        <f>IF(J8=0,"",N8/J8*100)</f>
        <v>100.87723605178311</v>
      </c>
    </row>
    <row r="9" spans="1:17" ht="12.95" customHeight="1">
      <c r="B9" s="10"/>
      <c r="C9" s="11"/>
      <c r="D9" s="11"/>
      <c r="E9" s="316"/>
      <c r="F9" s="336">
        <v>611100</v>
      </c>
      <c r="G9" s="362"/>
      <c r="H9" s="20" t="s">
        <v>174</v>
      </c>
      <c r="I9" s="784">
        <f>509990+420+2000+1500+12750-18600</f>
        <v>508060</v>
      </c>
      <c r="J9" s="238">
        <f>509990+420+2000+1500+12750-18600</f>
        <v>508060</v>
      </c>
      <c r="K9" s="742">
        <v>128420</v>
      </c>
      <c r="L9" s="626">
        <f>511510</f>
        <v>511510</v>
      </c>
      <c r="M9" s="238">
        <v>0</v>
      </c>
      <c r="N9" s="724">
        <f>SUM(L9:M9)</f>
        <v>511510</v>
      </c>
      <c r="O9" s="377">
        <f>IF(J9=0,"",N9/J9*100)</f>
        <v>100.67905365508012</v>
      </c>
    </row>
    <row r="10" spans="1:17" ht="12.95" customHeight="1">
      <c r="B10" s="10"/>
      <c r="C10" s="11"/>
      <c r="D10" s="11"/>
      <c r="E10" s="316"/>
      <c r="F10" s="336">
        <v>611200</v>
      </c>
      <c r="G10" s="362"/>
      <c r="H10" s="11" t="s">
        <v>175</v>
      </c>
      <c r="I10" s="784">
        <f>101520+930+3800+1000-4300</f>
        <v>102950</v>
      </c>
      <c r="J10" s="238">
        <f>101520+930+3800+1000-4300</f>
        <v>102950</v>
      </c>
      <c r="K10" s="742">
        <v>22035</v>
      </c>
      <c r="L10" s="626">
        <f>97320+2000+3700+1840</f>
        <v>104860</v>
      </c>
      <c r="M10" s="238">
        <v>0</v>
      </c>
      <c r="N10" s="724">
        <f t="shared" ref="N10:N11" si="1">SUM(L10:M10)</f>
        <v>104860</v>
      </c>
      <c r="O10" s="377">
        <f t="shared" ref="O10:O35" si="2">IF(J10=0,"",N10/J10*100)</f>
        <v>101.85526954832443</v>
      </c>
    </row>
    <row r="11" spans="1:17" ht="12.95" customHeight="1">
      <c r="B11" s="10"/>
      <c r="C11" s="11"/>
      <c r="D11" s="11"/>
      <c r="E11" s="316"/>
      <c r="F11" s="336">
        <v>611200</v>
      </c>
      <c r="G11" s="362"/>
      <c r="H11" s="210" t="s">
        <v>464</v>
      </c>
      <c r="I11" s="739">
        <v>0</v>
      </c>
      <c r="J11" s="235">
        <v>0</v>
      </c>
      <c r="K11" s="741">
        <v>0</v>
      </c>
      <c r="L11" s="579">
        <v>0</v>
      </c>
      <c r="M11" s="235">
        <v>0</v>
      </c>
      <c r="N11" s="724">
        <f t="shared" si="1"/>
        <v>0</v>
      </c>
      <c r="O11" s="377" t="str">
        <f t="shared" si="2"/>
        <v/>
      </c>
      <c r="Q11" s="62"/>
    </row>
    <row r="12" spans="1:17" ht="12.95" customHeight="1">
      <c r="B12" s="10"/>
      <c r="C12" s="11"/>
      <c r="D12" s="11"/>
      <c r="E12" s="316"/>
      <c r="F12" s="336"/>
      <c r="G12" s="362"/>
      <c r="H12" s="20"/>
      <c r="I12" s="784"/>
      <c r="J12" s="238"/>
      <c r="K12" s="742"/>
      <c r="L12" s="626"/>
      <c r="M12" s="238"/>
      <c r="N12" s="724"/>
      <c r="O12" s="377" t="str">
        <f t="shared" si="2"/>
        <v/>
      </c>
    </row>
    <row r="13" spans="1:17" s="1" customFormat="1" ht="12.95" customHeight="1">
      <c r="A13" s="311"/>
      <c r="B13" s="12"/>
      <c r="C13" s="8"/>
      <c r="D13" s="8"/>
      <c r="E13" s="8"/>
      <c r="F13" s="335">
        <v>612000</v>
      </c>
      <c r="G13" s="361"/>
      <c r="H13" s="8" t="s">
        <v>145</v>
      </c>
      <c r="I13" s="738">
        <f t="shared" ref="I13:N13" si="3">I14</f>
        <v>54270</v>
      </c>
      <c r="J13" s="236">
        <f t="shared" si="3"/>
        <v>54270</v>
      </c>
      <c r="K13" s="744">
        <f t="shared" si="3"/>
        <v>13770</v>
      </c>
      <c r="L13" s="578">
        <f t="shared" si="3"/>
        <v>54300</v>
      </c>
      <c r="M13" s="236">
        <f t="shared" si="3"/>
        <v>0</v>
      </c>
      <c r="N13" s="723">
        <f t="shared" si="3"/>
        <v>54300</v>
      </c>
      <c r="O13" s="376">
        <f t="shared" si="2"/>
        <v>100.05527915975678</v>
      </c>
    </row>
    <row r="14" spans="1:17" ht="12.95" customHeight="1">
      <c r="B14" s="10"/>
      <c r="C14" s="11"/>
      <c r="D14" s="11"/>
      <c r="E14" s="316"/>
      <c r="F14" s="336">
        <v>612100</v>
      </c>
      <c r="G14" s="362"/>
      <c r="H14" s="13" t="s">
        <v>82</v>
      </c>
      <c r="I14" s="784">
        <f>54100+150+700+1360-2040</f>
        <v>54270</v>
      </c>
      <c r="J14" s="238">
        <f>54100+150+700+1360-2040</f>
        <v>54270</v>
      </c>
      <c r="K14" s="742">
        <v>13770</v>
      </c>
      <c r="L14" s="626">
        <f>54300</f>
        <v>54300</v>
      </c>
      <c r="M14" s="238">
        <v>0</v>
      </c>
      <c r="N14" s="724">
        <f>SUM(L14:M14)</f>
        <v>54300</v>
      </c>
      <c r="O14" s="377">
        <f t="shared" si="2"/>
        <v>100.05527915975678</v>
      </c>
    </row>
    <row r="15" spans="1:17" ht="12.95" customHeight="1">
      <c r="B15" s="10"/>
      <c r="C15" s="11"/>
      <c r="D15" s="11"/>
      <c r="E15" s="316"/>
      <c r="F15" s="336"/>
      <c r="G15" s="362"/>
      <c r="H15" s="11"/>
      <c r="I15" s="777"/>
      <c r="J15" s="321"/>
      <c r="K15" s="779"/>
      <c r="L15" s="621"/>
      <c r="M15" s="321"/>
      <c r="N15" s="725"/>
      <c r="O15" s="377" t="str">
        <f t="shared" si="2"/>
        <v/>
      </c>
    </row>
    <row r="16" spans="1:17" s="1" customFormat="1" ht="12.95" customHeight="1">
      <c r="A16" s="311"/>
      <c r="B16" s="12"/>
      <c r="C16" s="8"/>
      <c r="D16" s="8"/>
      <c r="E16" s="8"/>
      <c r="F16" s="335">
        <v>613000</v>
      </c>
      <c r="G16" s="361"/>
      <c r="H16" s="8" t="s">
        <v>147</v>
      </c>
      <c r="I16" s="778">
        <f t="shared" ref="I16:N16" si="4">SUM(I17:I26)</f>
        <v>58000</v>
      </c>
      <c r="J16" s="323">
        <f t="shared" si="4"/>
        <v>58000</v>
      </c>
      <c r="K16" s="783">
        <f t="shared" si="4"/>
        <v>11736</v>
      </c>
      <c r="L16" s="581">
        <f t="shared" si="4"/>
        <v>49740</v>
      </c>
      <c r="M16" s="323">
        <f t="shared" si="4"/>
        <v>0</v>
      </c>
      <c r="N16" s="726">
        <f t="shared" si="4"/>
        <v>49740</v>
      </c>
      <c r="O16" s="376">
        <f t="shared" si="2"/>
        <v>85.758620689655174</v>
      </c>
    </row>
    <row r="17" spans="1:15" ht="12.95" customHeight="1">
      <c r="B17" s="10"/>
      <c r="C17" s="11"/>
      <c r="D17" s="11"/>
      <c r="E17" s="316"/>
      <c r="F17" s="336">
        <v>613100</v>
      </c>
      <c r="G17" s="362"/>
      <c r="H17" s="11" t="s">
        <v>83</v>
      </c>
      <c r="I17" s="779">
        <v>3500</v>
      </c>
      <c r="J17" s="395">
        <v>3500</v>
      </c>
      <c r="K17" s="779">
        <v>325</v>
      </c>
      <c r="L17" s="571">
        <v>2000</v>
      </c>
      <c r="M17" s="395">
        <v>0</v>
      </c>
      <c r="N17" s="724">
        <f t="shared" ref="N17:N26" si="5">SUM(L17:M17)</f>
        <v>2000</v>
      </c>
      <c r="O17" s="377">
        <f t="shared" si="2"/>
        <v>57.142857142857139</v>
      </c>
    </row>
    <row r="18" spans="1:15" ht="12.95" customHeight="1">
      <c r="B18" s="10"/>
      <c r="C18" s="11"/>
      <c r="D18" s="11"/>
      <c r="E18" s="316"/>
      <c r="F18" s="336">
        <v>613200</v>
      </c>
      <c r="G18" s="362"/>
      <c r="H18" s="11" t="s">
        <v>84</v>
      </c>
      <c r="I18" s="779">
        <v>21700</v>
      </c>
      <c r="J18" s="395">
        <v>21700</v>
      </c>
      <c r="K18" s="779">
        <v>1913</v>
      </c>
      <c r="L18" s="571">
        <v>18700</v>
      </c>
      <c r="M18" s="395">
        <v>0</v>
      </c>
      <c r="N18" s="724">
        <f t="shared" si="5"/>
        <v>18700</v>
      </c>
      <c r="O18" s="377">
        <f t="shared" si="2"/>
        <v>86.175115207373281</v>
      </c>
    </row>
    <row r="19" spans="1:15" ht="12.95" customHeight="1">
      <c r="B19" s="10"/>
      <c r="C19" s="11"/>
      <c r="D19" s="11"/>
      <c r="E19" s="316"/>
      <c r="F19" s="336">
        <v>613300</v>
      </c>
      <c r="G19" s="362"/>
      <c r="H19" s="20" t="s">
        <v>176</v>
      </c>
      <c r="I19" s="779">
        <v>3000</v>
      </c>
      <c r="J19" s="395">
        <v>3000</v>
      </c>
      <c r="K19" s="779">
        <v>440</v>
      </c>
      <c r="L19" s="571">
        <v>2500</v>
      </c>
      <c r="M19" s="395">
        <v>0</v>
      </c>
      <c r="N19" s="724">
        <f t="shared" si="5"/>
        <v>2500</v>
      </c>
      <c r="O19" s="377">
        <f t="shared" si="2"/>
        <v>83.333333333333343</v>
      </c>
    </row>
    <row r="20" spans="1:15" ht="12.95" customHeight="1">
      <c r="B20" s="10"/>
      <c r="C20" s="11"/>
      <c r="D20" s="11"/>
      <c r="E20" s="316"/>
      <c r="F20" s="336">
        <v>613400</v>
      </c>
      <c r="G20" s="362"/>
      <c r="H20" s="11" t="s">
        <v>148</v>
      </c>
      <c r="I20" s="779">
        <v>9000</v>
      </c>
      <c r="J20" s="395">
        <v>9000</v>
      </c>
      <c r="K20" s="779">
        <v>2434</v>
      </c>
      <c r="L20" s="571">
        <v>8000</v>
      </c>
      <c r="M20" s="395">
        <v>0</v>
      </c>
      <c r="N20" s="724">
        <f t="shared" si="5"/>
        <v>8000</v>
      </c>
      <c r="O20" s="377">
        <f t="shared" si="2"/>
        <v>88.888888888888886</v>
      </c>
    </row>
    <row r="21" spans="1:15" ht="12.95" customHeight="1">
      <c r="B21" s="10"/>
      <c r="C21" s="11"/>
      <c r="D21" s="11"/>
      <c r="E21" s="316"/>
      <c r="F21" s="336">
        <v>613500</v>
      </c>
      <c r="G21" s="362"/>
      <c r="H21" s="11" t="s">
        <v>85</v>
      </c>
      <c r="I21" s="779">
        <v>300</v>
      </c>
      <c r="J21" s="395">
        <v>300</v>
      </c>
      <c r="K21" s="779">
        <v>20</v>
      </c>
      <c r="L21" s="571">
        <v>300</v>
      </c>
      <c r="M21" s="395">
        <v>0</v>
      </c>
      <c r="N21" s="724">
        <f t="shared" si="5"/>
        <v>300</v>
      </c>
      <c r="O21" s="377">
        <f t="shared" si="2"/>
        <v>100</v>
      </c>
    </row>
    <row r="22" spans="1:15" ht="12.95" customHeight="1">
      <c r="B22" s="10"/>
      <c r="C22" s="11"/>
      <c r="D22" s="11"/>
      <c r="E22" s="316"/>
      <c r="F22" s="336">
        <v>613600</v>
      </c>
      <c r="G22" s="362"/>
      <c r="H22" s="20" t="s">
        <v>177</v>
      </c>
      <c r="I22" s="779">
        <v>0</v>
      </c>
      <c r="J22" s="395">
        <v>0</v>
      </c>
      <c r="K22" s="779">
        <v>0</v>
      </c>
      <c r="L22" s="571">
        <v>0</v>
      </c>
      <c r="M22" s="395">
        <v>0</v>
      </c>
      <c r="N22" s="724">
        <f t="shared" si="5"/>
        <v>0</v>
      </c>
      <c r="O22" s="377" t="str">
        <f t="shared" si="2"/>
        <v/>
      </c>
    </row>
    <row r="23" spans="1:15" ht="12.95" customHeight="1">
      <c r="B23" s="10"/>
      <c r="C23" s="11"/>
      <c r="D23" s="11"/>
      <c r="E23" s="316"/>
      <c r="F23" s="336">
        <v>613700</v>
      </c>
      <c r="G23" s="362"/>
      <c r="H23" s="11" t="s">
        <v>86</v>
      </c>
      <c r="I23" s="742">
        <f>10500+1000</f>
        <v>11500</v>
      </c>
      <c r="J23" s="397">
        <f>10500+1000</f>
        <v>11500</v>
      </c>
      <c r="K23" s="742">
        <v>3606</v>
      </c>
      <c r="L23" s="571">
        <v>9500</v>
      </c>
      <c r="M23" s="397">
        <v>0</v>
      </c>
      <c r="N23" s="724">
        <f t="shared" si="5"/>
        <v>9500</v>
      </c>
      <c r="O23" s="377">
        <f t="shared" si="2"/>
        <v>82.608695652173907</v>
      </c>
    </row>
    <row r="24" spans="1:15" ht="12.95" customHeight="1">
      <c r="B24" s="10"/>
      <c r="C24" s="11"/>
      <c r="D24" s="11"/>
      <c r="E24" s="316"/>
      <c r="F24" s="336">
        <v>613800</v>
      </c>
      <c r="G24" s="362"/>
      <c r="H24" s="11" t="s">
        <v>149</v>
      </c>
      <c r="I24" s="742">
        <v>0</v>
      </c>
      <c r="J24" s="397">
        <v>0</v>
      </c>
      <c r="K24" s="742">
        <v>0</v>
      </c>
      <c r="L24" s="571">
        <v>0</v>
      </c>
      <c r="M24" s="397">
        <v>0</v>
      </c>
      <c r="N24" s="724">
        <f t="shared" si="5"/>
        <v>0</v>
      </c>
      <c r="O24" s="377" t="str">
        <f t="shared" si="2"/>
        <v/>
      </c>
    </row>
    <row r="25" spans="1:15" ht="12.95" customHeight="1">
      <c r="B25" s="10"/>
      <c r="C25" s="11"/>
      <c r="D25" s="11"/>
      <c r="E25" s="316"/>
      <c r="F25" s="336">
        <v>613900</v>
      </c>
      <c r="G25" s="362"/>
      <c r="H25" s="11" t="s">
        <v>150</v>
      </c>
      <c r="I25" s="742">
        <v>9000</v>
      </c>
      <c r="J25" s="397">
        <v>9000</v>
      </c>
      <c r="K25" s="742">
        <v>2998</v>
      </c>
      <c r="L25" s="571">
        <f>9000-260</f>
        <v>8740</v>
      </c>
      <c r="M25" s="397">
        <v>0</v>
      </c>
      <c r="N25" s="724">
        <f t="shared" si="5"/>
        <v>8740</v>
      </c>
      <c r="O25" s="377">
        <f t="shared" si="2"/>
        <v>97.111111111111114</v>
      </c>
    </row>
    <row r="26" spans="1:15" ht="12.95" customHeight="1">
      <c r="B26" s="10"/>
      <c r="C26" s="11"/>
      <c r="D26" s="11"/>
      <c r="E26" s="316"/>
      <c r="F26" s="336">
        <v>613900</v>
      </c>
      <c r="G26" s="362"/>
      <c r="H26" s="210" t="s">
        <v>465</v>
      </c>
      <c r="I26" s="557">
        <v>0</v>
      </c>
      <c r="J26" s="392">
        <v>0</v>
      </c>
      <c r="K26" s="557">
        <v>0</v>
      </c>
      <c r="L26" s="572">
        <v>0</v>
      </c>
      <c r="M26" s="392">
        <v>0</v>
      </c>
      <c r="N26" s="724">
        <f t="shared" si="5"/>
        <v>0</v>
      </c>
      <c r="O26" s="377" t="str">
        <f t="shared" si="2"/>
        <v/>
      </c>
    </row>
    <row r="27" spans="1:15" s="1" customFormat="1" ht="12.95" customHeight="1">
      <c r="A27" s="311"/>
      <c r="B27" s="12"/>
      <c r="C27" s="8"/>
      <c r="D27" s="8"/>
      <c r="E27" s="8"/>
      <c r="F27" s="335"/>
      <c r="G27" s="361"/>
      <c r="H27" s="8"/>
      <c r="I27" s="631"/>
      <c r="J27" s="326"/>
      <c r="K27" s="742"/>
      <c r="L27" s="622"/>
      <c r="M27" s="326"/>
      <c r="N27" s="725"/>
      <c r="O27" s="377" t="str">
        <f t="shared" si="2"/>
        <v/>
      </c>
    </row>
    <row r="28" spans="1:15" s="1" customFormat="1" ht="12.95" customHeight="1">
      <c r="A28" s="311"/>
      <c r="B28" s="12"/>
      <c r="C28" s="8"/>
      <c r="D28" s="8"/>
      <c r="E28" s="8"/>
      <c r="F28" s="335">
        <v>821000</v>
      </c>
      <c r="G28" s="361"/>
      <c r="H28" s="8" t="s">
        <v>89</v>
      </c>
      <c r="I28" s="632">
        <f t="shared" ref="I28:N28" si="6">SUM(I29:I30)</f>
        <v>7000</v>
      </c>
      <c r="J28" s="325">
        <f t="shared" si="6"/>
        <v>7000</v>
      </c>
      <c r="K28" s="744">
        <f t="shared" si="6"/>
        <v>0</v>
      </c>
      <c r="L28" s="588">
        <f t="shared" si="6"/>
        <v>4000</v>
      </c>
      <c r="M28" s="325">
        <f t="shared" si="6"/>
        <v>0</v>
      </c>
      <c r="N28" s="726">
        <f t="shared" si="6"/>
        <v>4000</v>
      </c>
      <c r="O28" s="376">
        <f t="shared" si="2"/>
        <v>57.142857142857139</v>
      </c>
    </row>
    <row r="29" spans="1:15" ht="12.95" customHeight="1">
      <c r="B29" s="10"/>
      <c r="C29" s="11"/>
      <c r="D29" s="11"/>
      <c r="E29" s="316"/>
      <c r="F29" s="336">
        <v>821200</v>
      </c>
      <c r="G29" s="362"/>
      <c r="H29" s="11" t="s">
        <v>90</v>
      </c>
      <c r="I29" s="631">
        <v>0</v>
      </c>
      <c r="J29" s="326">
        <v>0</v>
      </c>
      <c r="K29" s="742">
        <v>0</v>
      </c>
      <c r="L29" s="622">
        <v>0</v>
      </c>
      <c r="M29" s="326">
        <v>0</v>
      </c>
      <c r="N29" s="724">
        <f t="shared" ref="N29:N30" si="7">SUM(L29:M29)</f>
        <v>0</v>
      </c>
      <c r="O29" s="377" t="str">
        <f t="shared" si="2"/>
        <v/>
      </c>
    </row>
    <row r="30" spans="1:15" ht="12.95" customHeight="1">
      <c r="B30" s="10"/>
      <c r="C30" s="11"/>
      <c r="D30" s="11"/>
      <c r="E30" s="316"/>
      <c r="F30" s="336">
        <v>821300</v>
      </c>
      <c r="G30" s="362"/>
      <c r="H30" s="11" t="s">
        <v>91</v>
      </c>
      <c r="I30" s="631">
        <v>7000</v>
      </c>
      <c r="J30" s="326">
        <v>7000</v>
      </c>
      <c r="K30" s="742">
        <v>0</v>
      </c>
      <c r="L30" s="622">
        <v>4000</v>
      </c>
      <c r="M30" s="326">
        <v>0</v>
      </c>
      <c r="N30" s="724">
        <f t="shared" si="7"/>
        <v>4000</v>
      </c>
      <c r="O30" s="377">
        <f t="shared" si="2"/>
        <v>57.142857142857139</v>
      </c>
    </row>
    <row r="31" spans="1:15" ht="12.95" customHeight="1">
      <c r="B31" s="10"/>
      <c r="C31" s="11"/>
      <c r="D31" s="11"/>
      <c r="E31" s="316"/>
      <c r="F31" s="336"/>
      <c r="G31" s="362"/>
      <c r="H31" s="11"/>
      <c r="I31" s="777"/>
      <c r="J31" s="321"/>
      <c r="K31" s="779"/>
      <c r="L31" s="621"/>
      <c r="M31" s="321"/>
      <c r="N31" s="725"/>
      <c r="O31" s="377" t="str">
        <f t="shared" si="2"/>
        <v/>
      </c>
    </row>
    <row r="32" spans="1:15" s="1" customFormat="1" ht="12.95" customHeight="1">
      <c r="A32" s="311"/>
      <c r="B32" s="12"/>
      <c r="C32" s="8"/>
      <c r="D32" s="8"/>
      <c r="E32" s="8"/>
      <c r="F32" s="335"/>
      <c r="G32" s="361"/>
      <c r="H32" s="8" t="s">
        <v>92</v>
      </c>
      <c r="I32" s="785" t="s">
        <v>849</v>
      </c>
      <c r="J32" s="308" t="s">
        <v>849</v>
      </c>
      <c r="K32" s="790" t="s">
        <v>849</v>
      </c>
      <c r="L32" s="627" t="s">
        <v>849</v>
      </c>
      <c r="M32" s="308"/>
      <c r="N32" s="727" t="s">
        <v>849</v>
      </c>
      <c r="O32" s="377"/>
    </row>
    <row r="33" spans="1:15" s="1" customFormat="1" ht="12.95" customHeight="1">
      <c r="A33" s="311"/>
      <c r="B33" s="12"/>
      <c r="C33" s="8"/>
      <c r="D33" s="8"/>
      <c r="E33" s="8"/>
      <c r="F33" s="335"/>
      <c r="G33" s="361"/>
      <c r="H33" s="8" t="s">
        <v>110</v>
      </c>
      <c r="I33" s="575">
        <f>I8+I13+I16+I28</f>
        <v>730280</v>
      </c>
      <c r="J33" s="318">
        <f>J8+J13+J16+J28</f>
        <v>730280</v>
      </c>
      <c r="K33" s="575">
        <f t="shared" ref="K33" si="8">K8+K13+K16+K28</f>
        <v>175961</v>
      </c>
      <c r="L33" s="582">
        <f>L8+L13+L16+L28</f>
        <v>724410</v>
      </c>
      <c r="M33" s="318">
        <f>M8+M13+M16+M28</f>
        <v>0</v>
      </c>
      <c r="N33" s="726">
        <f>N8+N13+N16+N28</f>
        <v>724410</v>
      </c>
      <c r="O33" s="376">
        <f t="shared" si="2"/>
        <v>99.196198718299826</v>
      </c>
    </row>
    <row r="34" spans="1:15" s="1" customFormat="1" ht="12.95" customHeight="1">
      <c r="A34" s="311"/>
      <c r="B34" s="12"/>
      <c r="C34" s="8"/>
      <c r="D34" s="8"/>
      <c r="E34" s="8"/>
      <c r="F34" s="335"/>
      <c r="G34" s="361"/>
      <c r="H34" s="8" t="s">
        <v>93</v>
      </c>
      <c r="I34" s="575"/>
      <c r="J34" s="318"/>
      <c r="K34" s="575"/>
      <c r="L34" s="582"/>
      <c r="M34" s="318"/>
      <c r="N34" s="726"/>
      <c r="O34" s="377" t="str">
        <f>IF(J34=0,"",N34/J34*100)</f>
        <v/>
      </c>
    </row>
    <row r="35" spans="1:15" s="1" customFormat="1" ht="12.95" customHeight="1">
      <c r="A35" s="311"/>
      <c r="B35" s="12"/>
      <c r="C35" s="8"/>
      <c r="D35" s="8"/>
      <c r="E35" s="8"/>
      <c r="F35" s="335"/>
      <c r="G35" s="361"/>
      <c r="H35" s="8" t="s">
        <v>94</v>
      </c>
      <c r="I35" s="30"/>
      <c r="J35" s="30"/>
      <c r="K35" s="586"/>
      <c r="L35" s="580"/>
      <c r="M35" s="309"/>
      <c r="N35" s="725"/>
      <c r="O35" s="377" t="str">
        <f t="shared" si="2"/>
        <v/>
      </c>
    </row>
    <row r="36" spans="1:15" ht="12.95" customHeight="1" thickBot="1">
      <c r="B36" s="16"/>
      <c r="C36" s="17"/>
      <c r="D36" s="17"/>
      <c r="E36" s="17"/>
      <c r="F36" s="337"/>
      <c r="G36" s="363"/>
      <c r="H36" s="17"/>
      <c r="I36" s="32"/>
      <c r="J36" s="32"/>
      <c r="K36" s="576"/>
      <c r="L36" s="585"/>
      <c r="M36" s="32"/>
      <c r="N36" s="728"/>
      <c r="O36" s="379"/>
    </row>
    <row r="37" spans="1:15" ht="12.95" customHeight="1">
      <c r="F37" s="338"/>
      <c r="G37" s="364"/>
      <c r="N37" s="425"/>
    </row>
    <row r="38" spans="1:15" ht="12.95" customHeight="1">
      <c r="B38" s="55"/>
      <c r="F38" s="338"/>
      <c r="G38" s="364"/>
      <c r="N38" s="425"/>
    </row>
    <row r="39" spans="1:15" ht="12.95" customHeight="1">
      <c r="B39" s="55"/>
      <c r="F39" s="338"/>
      <c r="G39" s="364"/>
      <c r="N39" s="425"/>
    </row>
    <row r="40" spans="1:15" ht="12.95" customHeight="1">
      <c r="B40" s="55"/>
      <c r="F40" s="338"/>
      <c r="G40" s="364"/>
      <c r="N40" s="425"/>
    </row>
    <row r="41" spans="1:15" ht="12.95" customHeight="1">
      <c r="B41" s="55"/>
      <c r="F41" s="338"/>
      <c r="G41" s="364"/>
      <c r="N41" s="425"/>
    </row>
    <row r="42" spans="1:15" ht="12.95" customHeight="1">
      <c r="B42" s="55"/>
      <c r="F42" s="338"/>
      <c r="G42" s="364"/>
      <c r="N42" s="425"/>
    </row>
    <row r="43" spans="1:15" ht="12.95" customHeight="1">
      <c r="B43" s="55"/>
      <c r="F43" s="338"/>
      <c r="G43" s="364"/>
      <c r="N43" s="425"/>
    </row>
    <row r="44" spans="1:15" ht="12.95" customHeight="1">
      <c r="B44" s="55"/>
      <c r="F44" s="338"/>
      <c r="G44" s="364"/>
      <c r="N44" s="425"/>
    </row>
    <row r="45" spans="1:15" ht="12.95" customHeight="1">
      <c r="B45" s="55"/>
      <c r="F45" s="338"/>
      <c r="G45" s="364"/>
      <c r="N45" s="425"/>
    </row>
    <row r="46" spans="1:15" ht="12.95" customHeight="1">
      <c r="B46" s="55"/>
      <c r="F46" s="338"/>
      <c r="G46" s="364"/>
      <c r="N46" s="425"/>
    </row>
    <row r="47" spans="1:15" ht="12.95" customHeight="1">
      <c r="B47" s="55"/>
      <c r="F47" s="338"/>
      <c r="G47" s="364"/>
      <c r="N47" s="425"/>
    </row>
    <row r="48" spans="1:15" ht="12.95" customHeight="1">
      <c r="B48" s="55"/>
      <c r="F48" s="338"/>
      <c r="G48" s="364"/>
      <c r="N48" s="425"/>
    </row>
    <row r="49" spans="6:14" ht="12.95" customHeight="1">
      <c r="F49" s="338"/>
      <c r="G49" s="364"/>
      <c r="N49" s="425"/>
    </row>
    <row r="50" spans="6:14" ht="12.95" customHeight="1">
      <c r="F50" s="338"/>
      <c r="G50" s="364"/>
      <c r="N50" s="425"/>
    </row>
    <row r="51" spans="6:14" ht="12.95" customHeight="1">
      <c r="F51" s="338"/>
      <c r="G51" s="364"/>
      <c r="N51" s="425"/>
    </row>
    <row r="52" spans="6:14" ht="12.95" customHeight="1">
      <c r="F52" s="338"/>
      <c r="G52" s="364"/>
      <c r="N52" s="425"/>
    </row>
    <row r="53" spans="6:14" ht="12.95" customHeight="1">
      <c r="F53" s="338"/>
      <c r="G53" s="364"/>
      <c r="N53" s="425"/>
    </row>
    <row r="54" spans="6:14" ht="12.95" customHeight="1">
      <c r="F54" s="338"/>
      <c r="G54" s="364"/>
      <c r="N54" s="425"/>
    </row>
    <row r="55" spans="6:14" ht="12.95" customHeight="1">
      <c r="F55" s="338"/>
      <c r="G55" s="364"/>
      <c r="N55" s="425"/>
    </row>
    <row r="56" spans="6:14" ht="12.95" customHeight="1">
      <c r="F56" s="338"/>
      <c r="G56" s="364"/>
      <c r="N56" s="425"/>
    </row>
    <row r="57" spans="6:14" ht="12.95" customHeight="1">
      <c r="F57" s="338"/>
      <c r="G57" s="364"/>
      <c r="N57" s="425"/>
    </row>
    <row r="58" spans="6:14" ht="12.95" customHeight="1">
      <c r="F58" s="338"/>
      <c r="G58" s="364"/>
      <c r="N58" s="425"/>
    </row>
    <row r="59" spans="6:14" ht="12.95" customHeight="1">
      <c r="F59" s="338"/>
      <c r="G59" s="364"/>
      <c r="N59" s="425"/>
    </row>
    <row r="60" spans="6:14" ht="17.100000000000001" customHeight="1">
      <c r="F60" s="338"/>
      <c r="G60" s="364"/>
      <c r="N60" s="425"/>
    </row>
    <row r="61" spans="6:14" ht="14.25">
      <c r="F61" s="338"/>
      <c r="G61" s="364"/>
      <c r="N61" s="425"/>
    </row>
    <row r="62" spans="6:14" ht="14.25">
      <c r="F62" s="338"/>
      <c r="G62" s="364"/>
      <c r="N62" s="425"/>
    </row>
    <row r="63" spans="6:14" ht="14.25">
      <c r="F63" s="338"/>
      <c r="G63" s="364"/>
      <c r="N63" s="425"/>
    </row>
    <row r="64" spans="6:14" ht="14.25">
      <c r="F64" s="338"/>
      <c r="G64" s="364"/>
      <c r="N64" s="425"/>
    </row>
    <row r="65" spans="6:14" ht="14.25">
      <c r="F65" s="338"/>
      <c r="G65" s="364"/>
      <c r="N65" s="425"/>
    </row>
    <row r="66" spans="6:14" ht="14.25">
      <c r="F66" s="338"/>
      <c r="G66" s="364"/>
      <c r="N66" s="425"/>
    </row>
    <row r="67" spans="6:14" ht="14.25">
      <c r="F67" s="338"/>
      <c r="G67" s="364"/>
      <c r="N67" s="425"/>
    </row>
    <row r="68" spans="6:14" ht="14.25">
      <c r="F68" s="338"/>
      <c r="G68" s="364"/>
      <c r="N68" s="425"/>
    </row>
    <row r="69" spans="6:14" ht="14.25">
      <c r="F69" s="338"/>
      <c r="G69" s="364"/>
      <c r="N69" s="425"/>
    </row>
    <row r="70" spans="6:14" ht="14.25">
      <c r="F70" s="338"/>
      <c r="G70" s="364"/>
      <c r="N70" s="425"/>
    </row>
    <row r="71" spans="6:14" ht="14.25">
      <c r="F71" s="338"/>
      <c r="G71" s="364"/>
      <c r="N71" s="425"/>
    </row>
    <row r="72" spans="6:14" ht="14.25">
      <c r="F72" s="338"/>
      <c r="G72" s="364"/>
      <c r="N72" s="425"/>
    </row>
    <row r="73" spans="6:14" ht="14.25">
      <c r="F73" s="338"/>
      <c r="G73" s="364"/>
      <c r="N73" s="425"/>
    </row>
    <row r="74" spans="6:14" ht="14.25">
      <c r="F74" s="338"/>
      <c r="G74" s="338"/>
      <c r="N74" s="425"/>
    </row>
    <row r="75" spans="6:14" ht="14.25">
      <c r="F75" s="338"/>
      <c r="G75" s="338"/>
      <c r="N75" s="425"/>
    </row>
    <row r="76" spans="6:14" ht="14.25">
      <c r="F76" s="338"/>
      <c r="G76" s="338"/>
      <c r="N76" s="425"/>
    </row>
    <row r="77" spans="6:14" ht="14.25">
      <c r="F77" s="338"/>
      <c r="G77" s="338"/>
      <c r="N77" s="425"/>
    </row>
    <row r="78" spans="6:14" ht="14.25">
      <c r="F78" s="338"/>
      <c r="G78" s="338"/>
      <c r="N78" s="425"/>
    </row>
    <row r="79" spans="6:14" ht="14.25">
      <c r="F79" s="338"/>
      <c r="G79" s="338"/>
      <c r="N79" s="425"/>
    </row>
    <row r="80" spans="6:14" ht="14.25">
      <c r="F80" s="338"/>
      <c r="G80" s="338"/>
      <c r="N80" s="425"/>
    </row>
    <row r="81" spans="6:14" ht="14.25">
      <c r="F81" s="338"/>
      <c r="G81" s="338"/>
      <c r="N81" s="425"/>
    </row>
    <row r="82" spans="6:14" ht="14.25">
      <c r="F82" s="338"/>
      <c r="G82" s="338"/>
      <c r="N82" s="425"/>
    </row>
    <row r="83" spans="6:14" ht="14.25">
      <c r="F83" s="338"/>
      <c r="G83" s="338"/>
      <c r="N83" s="425"/>
    </row>
    <row r="84" spans="6:14" ht="14.25">
      <c r="F84" s="338"/>
      <c r="G84" s="338"/>
      <c r="N84" s="425"/>
    </row>
    <row r="85" spans="6:14" ht="14.25">
      <c r="F85" s="338"/>
      <c r="G85" s="338"/>
      <c r="N85" s="425"/>
    </row>
    <row r="86" spans="6:14" ht="14.25">
      <c r="F86" s="338"/>
      <c r="G86" s="338"/>
      <c r="N86" s="425"/>
    </row>
    <row r="87" spans="6:14" ht="14.25">
      <c r="F87" s="338"/>
      <c r="G87" s="338"/>
      <c r="N87" s="425"/>
    </row>
    <row r="88" spans="6:14" ht="14.25">
      <c r="F88" s="338"/>
      <c r="G88" s="338"/>
      <c r="N88" s="425"/>
    </row>
    <row r="89" spans="6:14" ht="14.25">
      <c r="F89" s="338"/>
      <c r="G89" s="338"/>
      <c r="N89" s="425"/>
    </row>
    <row r="90" spans="6:14" ht="14.25">
      <c r="F90" s="338"/>
      <c r="G90" s="338"/>
      <c r="N90" s="425"/>
    </row>
    <row r="91" spans="6:14">
      <c r="G91" s="338"/>
    </row>
    <row r="92" spans="6:14">
      <c r="G92" s="338"/>
    </row>
    <row r="93" spans="6:14">
      <c r="G93" s="338"/>
    </row>
    <row r="94" spans="6:14">
      <c r="G94" s="338"/>
    </row>
    <row r="95" spans="6:14">
      <c r="G95" s="338"/>
    </row>
    <row r="96" spans="6:14">
      <c r="G96" s="338"/>
    </row>
  </sheetData>
  <mergeCells count="14">
    <mergeCell ref="B2:O2"/>
    <mergeCell ref="O4:O5"/>
    <mergeCell ref="H4:H5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K4:K5"/>
    <mergeCell ref="E4:E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29"/>
  <dimension ref="A1:Q96"/>
  <sheetViews>
    <sheetView zoomScaleNormal="100" workbookViewId="0">
      <selection activeCell="P25" sqref="P25"/>
    </sheetView>
  </sheetViews>
  <sheetFormatPr defaultRowHeight="12.75"/>
  <cols>
    <col min="1" max="1" width="9.140625" style="314"/>
    <col min="2" max="2" width="4.7109375" style="9" customWidth="1"/>
    <col min="3" max="3" width="5.140625" style="9" customWidth="1"/>
    <col min="4" max="4" width="5" style="9" customWidth="1"/>
    <col min="5" max="5" width="5" style="314" customWidth="1"/>
    <col min="6" max="6" width="8.7109375" style="18" customWidth="1"/>
    <col min="7" max="7" width="8.7109375" style="319" customWidth="1"/>
    <col min="8" max="8" width="50.7109375" style="9" customWidth="1"/>
    <col min="9" max="13" width="14.7109375" style="63" customWidth="1"/>
    <col min="14" max="14" width="15.7109375" style="63" customWidth="1"/>
    <col min="15" max="15" width="7.7109375" style="380" customWidth="1"/>
    <col min="16" max="16384" width="9.140625" style="9"/>
  </cols>
  <sheetData>
    <row r="1" spans="1:17" ht="13.5" thickBot="1"/>
    <row r="2" spans="1:17" s="113" customFormat="1" ht="20.100000000000001" customHeight="1" thickTop="1" thickBot="1">
      <c r="A2" s="408"/>
      <c r="B2" s="887" t="s">
        <v>817</v>
      </c>
      <c r="C2" s="888"/>
      <c r="D2" s="888"/>
      <c r="E2" s="888"/>
      <c r="F2" s="888"/>
      <c r="G2" s="888"/>
      <c r="H2" s="888"/>
      <c r="I2" s="888"/>
      <c r="J2" s="921"/>
      <c r="K2" s="921"/>
      <c r="L2" s="921"/>
      <c r="M2" s="921"/>
      <c r="N2" s="921"/>
      <c r="O2" s="922"/>
      <c r="Q2" s="408"/>
    </row>
    <row r="3" spans="1:17" s="1" customFormat="1" ht="8.1" customHeight="1" thickTop="1" thickBot="1">
      <c r="A3" s="311"/>
      <c r="E3" s="311"/>
      <c r="F3" s="2"/>
      <c r="G3" s="312"/>
      <c r="H3" s="890"/>
      <c r="I3" s="890"/>
      <c r="J3" s="282"/>
      <c r="K3" s="282"/>
      <c r="L3" s="107"/>
      <c r="M3" s="107"/>
      <c r="N3" s="107"/>
      <c r="O3" s="374"/>
    </row>
    <row r="4" spans="1:17" s="1" customFormat="1" ht="39" customHeight="1">
      <c r="A4" s="311"/>
      <c r="B4" s="894" t="s">
        <v>77</v>
      </c>
      <c r="C4" s="909" t="s">
        <v>78</v>
      </c>
      <c r="D4" s="910" t="s">
        <v>107</v>
      </c>
      <c r="E4" s="916" t="s">
        <v>828</v>
      </c>
      <c r="F4" s="911" t="s">
        <v>517</v>
      </c>
      <c r="G4" s="899" t="s">
        <v>556</v>
      </c>
      <c r="H4" s="900" t="s">
        <v>79</v>
      </c>
      <c r="I4" s="912" t="s">
        <v>697</v>
      </c>
      <c r="J4" s="913" t="s">
        <v>862</v>
      </c>
      <c r="K4" s="917" t="s">
        <v>863</v>
      </c>
      <c r="L4" s="908" t="s">
        <v>865</v>
      </c>
      <c r="M4" s="892"/>
      <c r="N4" s="893"/>
      <c r="O4" s="906" t="s">
        <v>866</v>
      </c>
      <c r="Q4" s="81"/>
    </row>
    <row r="5" spans="1:17" s="311" customFormat="1" ht="27" customHeight="1">
      <c r="B5" s="895"/>
      <c r="C5" s="897"/>
      <c r="D5" s="897"/>
      <c r="E5" s="897"/>
      <c r="F5" s="901"/>
      <c r="G5" s="897"/>
      <c r="H5" s="901"/>
      <c r="I5" s="901"/>
      <c r="J5" s="901"/>
      <c r="K5" s="905"/>
      <c r="L5" s="587" t="s">
        <v>601</v>
      </c>
      <c r="M5" s="404" t="s">
        <v>602</v>
      </c>
      <c r="N5" s="720" t="s">
        <v>349</v>
      </c>
      <c r="O5" s="907"/>
    </row>
    <row r="6" spans="1:17" s="2" customFormat="1" ht="12.95" customHeight="1">
      <c r="A6" s="312"/>
      <c r="B6" s="525">
        <v>1</v>
      </c>
      <c r="C6" s="361">
        <v>2</v>
      </c>
      <c r="D6" s="361">
        <v>3</v>
      </c>
      <c r="E6" s="361">
        <v>4</v>
      </c>
      <c r="F6" s="361">
        <v>5</v>
      </c>
      <c r="G6" s="361">
        <v>6</v>
      </c>
      <c r="H6" s="361">
        <v>7</v>
      </c>
      <c r="I6" s="361">
        <v>8</v>
      </c>
      <c r="J6" s="361">
        <v>9</v>
      </c>
      <c r="K6" s="526">
        <v>10</v>
      </c>
      <c r="L6" s="525">
        <v>11</v>
      </c>
      <c r="M6" s="361">
        <v>12</v>
      </c>
      <c r="N6" s="721" t="s">
        <v>830</v>
      </c>
      <c r="O6" s="527">
        <v>14</v>
      </c>
    </row>
    <row r="7" spans="1:17" s="2" customFormat="1" ht="12.95" customHeight="1">
      <c r="A7" s="312"/>
      <c r="B7" s="6" t="s">
        <v>131</v>
      </c>
      <c r="C7" s="7" t="s">
        <v>132</v>
      </c>
      <c r="D7" s="7" t="s">
        <v>119</v>
      </c>
      <c r="E7" s="667" t="s">
        <v>847</v>
      </c>
      <c r="F7" s="5"/>
      <c r="G7" s="313"/>
      <c r="H7" s="5"/>
      <c r="I7" s="592"/>
      <c r="J7" s="100"/>
      <c r="K7" s="592"/>
      <c r="L7" s="619"/>
      <c r="M7" s="100"/>
      <c r="N7" s="773"/>
      <c r="O7" s="375"/>
    </row>
    <row r="8" spans="1:17" s="1" customFormat="1" ht="12.95" customHeight="1">
      <c r="A8" s="311"/>
      <c r="B8" s="12"/>
      <c r="C8" s="8"/>
      <c r="D8" s="8"/>
      <c r="E8" s="8"/>
      <c r="F8" s="335">
        <v>611000</v>
      </c>
      <c r="G8" s="361"/>
      <c r="H8" s="8" t="s">
        <v>146</v>
      </c>
      <c r="I8" s="738">
        <f t="shared" ref="I8:N8" si="0">SUM(I9:I11)</f>
        <v>777040</v>
      </c>
      <c r="J8" s="236">
        <f t="shared" si="0"/>
        <v>777040</v>
      </c>
      <c r="K8" s="744">
        <f t="shared" si="0"/>
        <v>180266</v>
      </c>
      <c r="L8" s="578">
        <f t="shared" si="0"/>
        <v>746770</v>
      </c>
      <c r="M8" s="236">
        <f t="shared" si="0"/>
        <v>0</v>
      </c>
      <c r="N8" s="723">
        <f t="shared" si="0"/>
        <v>746770</v>
      </c>
      <c r="O8" s="376">
        <f>IF(J8=0,"",N8/J8*100)</f>
        <v>96.104447647482758</v>
      </c>
    </row>
    <row r="9" spans="1:17" ht="12.95" customHeight="1">
      <c r="B9" s="10"/>
      <c r="C9" s="11"/>
      <c r="D9" s="11"/>
      <c r="E9" s="316"/>
      <c r="F9" s="336">
        <v>611100</v>
      </c>
      <c r="G9" s="362"/>
      <c r="H9" s="20" t="s">
        <v>174</v>
      </c>
      <c r="I9" s="784">
        <f>640640+420+2000+16020-9300</f>
        <v>649780</v>
      </c>
      <c r="J9" s="238">
        <f>640640+420+2000+16020-9300</f>
        <v>649780</v>
      </c>
      <c r="K9" s="742">
        <v>154965</v>
      </c>
      <c r="L9" s="626">
        <f>619500+1000+420</f>
        <v>620920</v>
      </c>
      <c r="M9" s="238">
        <v>0</v>
      </c>
      <c r="N9" s="724">
        <f>SUM(L9:M9)</f>
        <v>620920</v>
      </c>
      <c r="O9" s="377">
        <f>IF(J9=0,"",N9/J9*100)</f>
        <v>95.55849672196743</v>
      </c>
    </row>
    <row r="10" spans="1:17" ht="12.95" customHeight="1">
      <c r="B10" s="10"/>
      <c r="C10" s="11"/>
      <c r="D10" s="11"/>
      <c r="E10" s="316"/>
      <c r="F10" s="336">
        <v>611200</v>
      </c>
      <c r="G10" s="362"/>
      <c r="H10" s="11" t="s">
        <v>175</v>
      </c>
      <c r="I10" s="784">
        <f>126480+930+2000-2150</f>
        <v>127260</v>
      </c>
      <c r="J10" s="238">
        <f>126480+930+2000-2150</f>
        <v>127260</v>
      </c>
      <c r="K10" s="742">
        <v>25301</v>
      </c>
      <c r="L10" s="626">
        <f>123900+1000+950</f>
        <v>125850</v>
      </c>
      <c r="M10" s="238">
        <v>0</v>
      </c>
      <c r="N10" s="724">
        <f t="shared" ref="N10:N11" si="1">SUM(L10:M10)</f>
        <v>125850</v>
      </c>
      <c r="O10" s="377">
        <f t="shared" ref="O10:O35" si="2">IF(J10=0,"",N10/J10*100)</f>
        <v>98.892032060348896</v>
      </c>
    </row>
    <row r="11" spans="1:17" ht="12.95" customHeight="1">
      <c r="B11" s="10"/>
      <c r="C11" s="11"/>
      <c r="D11" s="11"/>
      <c r="E11" s="316"/>
      <c r="F11" s="336">
        <v>611200</v>
      </c>
      <c r="G11" s="362"/>
      <c r="H11" s="210" t="s">
        <v>464</v>
      </c>
      <c r="I11" s="739">
        <v>0</v>
      </c>
      <c r="J11" s="235">
        <v>0</v>
      </c>
      <c r="K11" s="741">
        <v>0</v>
      </c>
      <c r="L11" s="579">
        <v>0</v>
      </c>
      <c r="M11" s="235">
        <v>0</v>
      </c>
      <c r="N11" s="724">
        <f t="shared" si="1"/>
        <v>0</v>
      </c>
      <c r="O11" s="377" t="str">
        <f t="shared" si="2"/>
        <v/>
      </c>
      <c r="Q11" s="62"/>
    </row>
    <row r="12" spans="1:17" ht="12.95" customHeight="1">
      <c r="B12" s="10"/>
      <c r="C12" s="11"/>
      <c r="D12" s="11"/>
      <c r="E12" s="316"/>
      <c r="F12" s="336"/>
      <c r="G12" s="362"/>
      <c r="H12" s="11"/>
      <c r="I12" s="738"/>
      <c r="J12" s="236"/>
      <c r="K12" s="744"/>
      <c r="L12" s="578"/>
      <c r="M12" s="236"/>
      <c r="N12" s="723"/>
      <c r="O12" s="377" t="str">
        <f t="shared" si="2"/>
        <v/>
      </c>
    </row>
    <row r="13" spans="1:17" s="1" customFormat="1" ht="12.95" customHeight="1">
      <c r="A13" s="311"/>
      <c r="B13" s="12"/>
      <c r="C13" s="8"/>
      <c r="D13" s="8"/>
      <c r="E13" s="8"/>
      <c r="F13" s="335">
        <v>612000</v>
      </c>
      <c r="G13" s="361"/>
      <c r="H13" s="8" t="s">
        <v>145</v>
      </c>
      <c r="I13" s="738">
        <f t="shared" ref="I13:N13" si="3">I14</f>
        <v>69680</v>
      </c>
      <c r="J13" s="236">
        <f t="shared" si="3"/>
        <v>69680</v>
      </c>
      <c r="K13" s="744">
        <f t="shared" si="3"/>
        <v>16383</v>
      </c>
      <c r="L13" s="578">
        <f t="shared" si="3"/>
        <v>66090</v>
      </c>
      <c r="M13" s="236">
        <f t="shared" si="3"/>
        <v>0</v>
      </c>
      <c r="N13" s="723">
        <f t="shared" si="3"/>
        <v>66090</v>
      </c>
      <c r="O13" s="376">
        <f t="shared" si="2"/>
        <v>94.847876004592422</v>
      </c>
    </row>
    <row r="14" spans="1:17" ht="12.95" customHeight="1">
      <c r="B14" s="10"/>
      <c r="C14" s="11"/>
      <c r="D14" s="11"/>
      <c r="E14" s="316"/>
      <c r="F14" s="336">
        <v>612100</v>
      </c>
      <c r="G14" s="362"/>
      <c r="H14" s="13" t="s">
        <v>82</v>
      </c>
      <c r="I14" s="784">
        <f>67950+150+900+1700-1020</f>
        <v>69680</v>
      </c>
      <c r="J14" s="238">
        <f>67950+150+900+1700-1020</f>
        <v>69680</v>
      </c>
      <c r="K14" s="742">
        <v>16383</v>
      </c>
      <c r="L14" s="626">
        <f>65540+400+150</f>
        <v>66090</v>
      </c>
      <c r="M14" s="238">
        <v>0</v>
      </c>
      <c r="N14" s="724">
        <f>SUM(L14:M14)</f>
        <v>66090</v>
      </c>
      <c r="O14" s="377">
        <f t="shared" si="2"/>
        <v>94.847876004592422</v>
      </c>
    </row>
    <row r="15" spans="1:17" ht="12.95" customHeight="1">
      <c r="B15" s="10"/>
      <c r="C15" s="11"/>
      <c r="D15" s="11"/>
      <c r="E15" s="316"/>
      <c r="F15" s="336"/>
      <c r="G15" s="362"/>
      <c r="H15" s="11"/>
      <c r="I15" s="575"/>
      <c r="J15" s="318"/>
      <c r="K15" s="745"/>
      <c r="L15" s="582"/>
      <c r="M15" s="318"/>
      <c r="N15" s="726"/>
      <c r="O15" s="377" t="str">
        <f t="shared" si="2"/>
        <v/>
      </c>
    </row>
    <row r="16" spans="1:17" s="1" customFormat="1" ht="12.95" customHeight="1">
      <c r="A16" s="311"/>
      <c r="B16" s="12"/>
      <c r="C16" s="8"/>
      <c r="D16" s="8"/>
      <c r="E16" s="8"/>
      <c r="F16" s="335">
        <v>613000</v>
      </c>
      <c r="G16" s="361"/>
      <c r="H16" s="8" t="s">
        <v>147</v>
      </c>
      <c r="I16" s="778">
        <f t="shared" ref="I16:N16" si="4">SUM(I17:I26)</f>
        <v>62800</v>
      </c>
      <c r="J16" s="323">
        <f t="shared" si="4"/>
        <v>62800</v>
      </c>
      <c r="K16" s="783">
        <f t="shared" si="4"/>
        <v>26400</v>
      </c>
      <c r="L16" s="581">
        <f t="shared" si="4"/>
        <v>57040</v>
      </c>
      <c r="M16" s="323">
        <f t="shared" si="4"/>
        <v>0</v>
      </c>
      <c r="N16" s="726">
        <f t="shared" si="4"/>
        <v>57040</v>
      </c>
      <c r="O16" s="376">
        <f t="shared" si="2"/>
        <v>90.828025477707001</v>
      </c>
    </row>
    <row r="17" spans="1:15" ht="12.95" customHeight="1">
      <c r="B17" s="10"/>
      <c r="C17" s="11"/>
      <c r="D17" s="11"/>
      <c r="E17" s="316"/>
      <c r="F17" s="336">
        <v>613100</v>
      </c>
      <c r="G17" s="362"/>
      <c r="H17" s="11" t="s">
        <v>83</v>
      </c>
      <c r="I17" s="779">
        <v>4000</v>
      </c>
      <c r="J17" s="395">
        <v>4000</v>
      </c>
      <c r="K17" s="779">
        <v>107</v>
      </c>
      <c r="L17" s="571">
        <v>2700</v>
      </c>
      <c r="M17" s="395">
        <v>0</v>
      </c>
      <c r="N17" s="724">
        <f t="shared" ref="N17:N26" si="5">SUM(L17:M17)</f>
        <v>2700</v>
      </c>
      <c r="O17" s="377">
        <f t="shared" si="2"/>
        <v>67.5</v>
      </c>
    </row>
    <row r="18" spans="1:15" ht="12.95" customHeight="1">
      <c r="B18" s="10"/>
      <c r="C18" s="11"/>
      <c r="D18" s="11"/>
      <c r="E18" s="316"/>
      <c r="F18" s="336">
        <v>613200</v>
      </c>
      <c r="G18" s="362"/>
      <c r="H18" s="11" t="s">
        <v>84</v>
      </c>
      <c r="I18" s="779">
        <v>30000</v>
      </c>
      <c r="J18" s="395">
        <v>30000</v>
      </c>
      <c r="K18" s="779">
        <v>19020</v>
      </c>
      <c r="L18" s="571">
        <v>28000</v>
      </c>
      <c r="M18" s="395">
        <v>0</v>
      </c>
      <c r="N18" s="724">
        <f t="shared" si="5"/>
        <v>28000</v>
      </c>
      <c r="O18" s="377">
        <f t="shared" si="2"/>
        <v>93.333333333333329</v>
      </c>
    </row>
    <row r="19" spans="1:15" ht="12.95" customHeight="1">
      <c r="B19" s="10"/>
      <c r="C19" s="11"/>
      <c r="D19" s="11"/>
      <c r="E19" s="316"/>
      <c r="F19" s="336">
        <v>613300</v>
      </c>
      <c r="G19" s="362"/>
      <c r="H19" s="20" t="s">
        <v>176</v>
      </c>
      <c r="I19" s="742">
        <v>2600</v>
      </c>
      <c r="J19" s="397">
        <v>2600</v>
      </c>
      <c r="K19" s="742">
        <v>393</v>
      </c>
      <c r="L19" s="571">
        <v>2600</v>
      </c>
      <c r="M19" s="397">
        <v>0</v>
      </c>
      <c r="N19" s="724">
        <f t="shared" si="5"/>
        <v>2600</v>
      </c>
      <c r="O19" s="377">
        <f t="shared" si="2"/>
        <v>100</v>
      </c>
    </row>
    <row r="20" spans="1:15" ht="12.95" customHeight="1">
      <c r="B20" s="10"/>
      <c r="C20" s="11"/>
      <c r="D20" s="11"/>
      <c r="E20" s="316"/>
      <c r="F20" s="336">
        <v>613400</v>
      </c>
      <c r="G20" s="362"/>
      <c r="H20" s="11" t="s">
        <v>148</v>
      </c>
      <c r="I20" s="742">
        <v>8200</v>
      </c>
      <c r="J20" s="397">
        <v>8200</v>
      </c>
      <c r="K20" s="742">
        <v>656</v>
      </c>
      <c r="L20" s="571">
        <v>7000</v>
      </c>
      <c r="M20" s="397">
        <v>0</v>
      </c>
      <c r="N20" s="724">
        <f t="shared" si="5"/>
        <v>7000</v>
      </c>
      <c r="O20" s="377">
        <f t="shared" si="2"/>
        <v>85.365853658536579</v>
      </c>
    </row>
    <row r="21" spans="1:15" ht="12.95" customHeight="1">
      <c r="B21" s="10"/>
      <c r="C21" s="11"/>
      <c r="D21" s="11"/>
      <c r="E21" s="316"/>
      <c r="F21" s="336">
        <v>613500</v>
      </c>
      <c r="G21" s="362"/>
      <c r="H21" s="11" t="s">
        <v>85</v>
      </c>
      <c r="I21" s="742">
        <v>0</v>
      </c>
      <c r="J21" s="397">
        <v>0</v>
      </c>
      <c r="K21" s="742">
        <v>0</v>
      </c>
      <c r="L21" s="571">
        <v>0</v>
      </c>
      <c r="M21" s="397">
        <v>0</v>
      </c>
      <c r="N21" s="724">
        <f t="shared" si="5"/>
        <v>0</v>
      </c>
      <c r="O21" s="377" t="str">
        <f t="shared" si="2"/>
        <v/>
      </c>
    </row>
    <row r="22" spans="1:15" ht="12.95" customHeight="1">
      <c r="B22" s="10"/>
      <c r="C22" s="11"/>
      <c r="D22" s="11"/>
      <c r="E22" s="316"/>
      <c r="F22" s="336">
        <v>613600</v>
      </c>
      <c r="G22" s="362"/>
      <c r="H22" s="20" t="s">
        <v>177</v>
      </c>
      <c r="I22" s="742">
        <v>0</v>
      </c>
      <c r="J22" s="397">
        <v>0</v>
      </c>
      <c r="K22" s="742">
        <v>0</v>
      </c>
      <c r="L22" s="571">
        <v>0</v>
      </c>
      <c r="M22" s="397">
        <v>0</v>
      </c>
      <c r="N22" s="724">
        <f t="shared" si="5"/>
        <v>0</v>
      </c>
      <c r="O22" s="377" t="str">
        <f t="shared" si="2"/>
        <v/>
      </c>
    </row>
    <row r="23" spans="1:15" ht="12.95" customHeight="1">
      <c r="B23" s="10"/>
      <c r="C23" s="11"/>
      <c r="D23" s="11"/>
      <c r="E23" s="316"/>
      <c r="F23" s="336">
        <v>613700</v>
      </c>
      <c r="G23" s="362"/>
      <c r="H23" s="11" t="s">
        <v>86</v>
      </c>
      <c r="I23" s="742">
        <v>9000</v>
      </c>
      <c r="J23" s="397">
        <v>9000</v>
      </c>
      <c r="K23" s="742">
        <v>1228</v>
      </c>
      <c r="L23" s="571">
        <v>8000</v>
      </c>
      <c r="M23" s="397">
        <v>0</v>
      </c>
      <c r="N23" s="724">
        <f t="shared" si="5"/>
        <v>8000</v>
      </c>
      <c r="O23" s="377">
        <f t="shared" si="2"/>
        <v>88.888888888888886</v>
      </c>
    </row>
    <row r="24" spans="1:15" ht="12.95" customHeight="1">
      <c r="B24" s="10"/>
      <c r="C24" s="11"/>
      <c r="D24" s="11"/>
      <c r="E24" s="316"/>
      <c r="F24" s="336">
        <v>613800</v>
      </c>
      <c r="G24" s="362"/>
      <c r="H24" s="11" t="s">
        <v>149</v>
      </c>
      <c r="I24" s="742">
        <v>0</v>
      </c>
      <c r="J24" s="397">
        <v>0</v>
      </c>
      <c r="K24" s="742">
        <v>0</v>
      </c>
      <c r="L24" s="571">
        <v>0</v>
      </c>
      <c r="M24" s="397">
        <v>0</v>
      </c>
      <c r="N24" s="724">
        <f t="shared" si="5"/>
        <v>0</v>
      </c>
      <c r="O24" s="377" t="str">
        <f t="shared" si="2"/>
        <v/>
      </c>
    </row>
    <row r="25" spans="1:15" ht="12.95" customHeight="1">
      <c r="B25" s="10"/>
      <c r="C25" s="11"/>
      <c r="D25" s="11"/>
      <c r="E25" s="316"/>
      <c r="F25" s="336">
        <v>613900</v>
      </c>
      <c r="G25" s="362"/>
      <c r="H25" s="11" t="s">
        <v>150</v>
      </c>
      <c r="I25" s="742">
        <v>9000</v>
      </c>
      <c r="J25" s="397">
        <v>9000</v>
      </c>
      <c r="K25" s="742">
        <v>4996</v>
      </c>
      <c r="L25" s="571">
        <f>9000-260</f>
        <v>8740</v>
      </c>
      <c r="M25" s="397">
        <v>0</v>
      </c>
      <c r="N25" s="724">
        <f t="shared" si="5"/>
        <v>8740</v>
      </c>
      <c r="O25" s="377">
        <f t="shared" si="2"/>
        <v>97.111111111111114</v>
      </c>
    </row>
    <row r="26" spans="1:15" ht="12.95" customHeight="1">
      <c r="B26" s="10"/>
      <c r="C26" s="11"/>
      <c r="D26" s="11"/>
      <c r="E26" s="316"/>
      <c r="F26" s="336">
        <v>613900</v>
      </c>
      <c r="G26" s="362"/>
      <c r="H26" s="210" t="s">
        <v>465</v>
      </c>
      <c r="I26" s="742">
        <v>0</v>
      </c>
      <c r="J26" s="397">
        <v>0</v>
      </c>
      <c r="K26" s="742">
        <v>0</v>
      </c>
      <c r="L26" s="571">
        <v>0</v>
      </c>
      <c r="M26" s="397">
        <v>0</v>
      </c>
      <c r="N26" s="724">
        <f t="shared" si="5"/>
        <v>0</v>
      </c>
      <c r="O26" s="377" t="str">
        <f t="shared" si="2"/>
        <v/>
      </c>
    </row>
    <row r="27" spans="1:15" s="1" customFormat="1" ht="12.95" customHeight="1">
      <c r="A27" s="311"/>
      <c r="B27" s="12"/>
      <c r="C27" s="8"/>
      <c r="D27" s="8"/>
      <c r="E27" s="8"/>
      <c r="F27" s="335"/>
      <c r="G27" s="361"/>
      <c r="H27" s="8"/>
      <c r="I27" s="631"/>
      <c r="J27" s="326"/>
      <c r="K27" s="742"/>
      <c r="L27" s="622"/>
      <c r="M27" s="326"/>
      <c r="N27" s="725"/>
      <c r="O27" s="377" t="str">
        <f t="shared" si="2"/>
        <v/>
      </c>
    </row>
    <row r="28" spans="1:15" s="1" customFormat="1" ht="12.95" customHeight="1">
      <c r="A28" s="311"/>
      <c r="B28" s="12"/>
      <c r="C28" s="8"/>
      <c r="D28" s="8"/>
      <c r="E28" s="8"/>
      <c r="F28" s="335">
        <v>821000</v>
      </c>
      <c r="G28" s="361"/>
      <c r="H28" s="8" t="s">
        <v>89</v>
      </c>
      <c r="I28" s="632">
        <f t="shared" ref="I28:N28" si="6">SUM(I29:I30)</f>
        <v>15000</v>
      </c>
      <c r="J28" s="325">
        <f t="shared" si="6"/>
        <v>15000</v>
      </c>
      <c r="K28" s="744">
        <f t="shared" si="6"/>
        <v>0</v>
      </c>
      <c r="L28" s="588">
        <f t="shared" si="6"/>
        <v>15000</v>
      </c>
      <c r="M28" s="325">
        <f t="shared" si="6"/>
        <v>0</v>
      </c>
      <c r="N28" s="726">
        <f t="shared" si="6"/>
        <v>15000</v>
      </c>
      <c r="O28" s="376">
        <f t="shared" si="2"/>
        <v>100</v>
      </c>
    </row>
    <row r="29" spans="1:15" ht="12.95" customHeight="1">
      <c r="B29" s="10"/>
      <c r="C29" s="11"/>
      <c r="D29" s="11"/>
      <c r="E29" s="316"/>
      <c r="F29" s="336">
        <v>821200</v>
      </c>
      <c r="G29" s="362"/>
      <c r="H29" s="11" t="s">
        <v>90</v>
      </c>
      <c r="I29" s="631">
        <v>0</v>
      </c>
      <c r="J29" s="326">
        <v>0</v>
      </c>
      <c r="K29" s="742">
        <v>0</v>
      </c>
      <c r="L29" s="622">
        <v>0</v>
      </c>
      <c r="M29" s="326">
        <v>0</v>
      </c>
      <c r="N29" s="724">
        <f t="shared" ref="N29:N30" si="7">SUM(L29:M29)</f>
        <v>0</v>
      </c>
      <c r="O29" s="377" t="str">
        <f t="shared" si="2"/>
        <v/>
      </c>
    </row>
    <row r="30" spans="1:15" ht="12.95" customHeight="1">
      <c r="B30" s="10"/>
      <c r="C30" s="11"/>
      <c r="D30" s="11"/>
      <c r="E30" s="316"/>
      <c r="F30" s="336">
        <v>821300</v>
      </c>
      <c r="G30" s="362"/>
      <c r="H30" s="11" t="s">
        <v>91</v>
      </c>
      <c r="I30" s="631">
        <v>15000</v>
      </c>
      <c r="J30" s="326">
        <v>15000</v>
      </c>
      <c r="K30" s="742">
        <v>0</v>
      </c>
      <c r="L30" s="622">
        <v>15000</v>
      </c>
      <c r="M30" s="326">
        <v>0</v>
      </c>
      <c r="N30" s="724">
        <f t="shared" si="7"/>
        <v>15000</v>
      </c>
      <c r="O30" s="377">
        <f t="shared" si="2"/>
        <v>100</v>
      </c>
    </row>
    <row r="31" spans="1:15" ht="12.95" customHeight="1">
      <c r="B31" s="10"/>
      <c r="C31" s="11"/>
      <c r="D31" s="11"/>
      <c r="E31" s="316"/>
      <c r="F31" s="336"/>
      <c r="G31" s="362"/>
      <c r="H31" s="11"/>
      <c r="I31" s="777"/>
      <c r="J31" s="321"/>
      <c r="K31" s="779"/>
      <c r="L31" s="621"/>
      <c r="M31" s="321"/>
      <c r="N31" s="725"/>
      <c r="O31" s="377" t="str">
        <f t="shared" si="2"/>
        <v/>
      </c>
    </row>
    <row r="32" spans="1:15" s="1" customFormat="1" ht="12.95" customHeight="1">
      <c r="A32" s="311"/>
      <c r="B32" s="12"/>
      <c r="C32" s="8"/>
      <c r="D32" s="8"/>
      <c r="E32" s="8"/>
      <c r="F32" s="335"/>
      <c r="G32" s="361"/>
      <c r="H32" s="8" t="s">
        <v>92</v>
      </c>
      <c r="I32" s="743" t="s">
        <v>724</v>
      </c>
      <c r="J32" s="327" t="s">
        <v>724</v>
      </c>
      <c r="K32" s="746" t="s">
        <v>897</v>
      </c>
      <c r="L32" s="584" t="s">
        <v>897</v>
      </c>
      <c r="M32" s="308"/>
      <c r="N32" s="727" t="s">
        <v>897</v>
      </c>
      <c r="O32" s="377"/>
    </row>
    <row r="33" spans="1:15" s="1" customFormat="1" ht="12.95" customHeight="1">
      <c r="A33" s="311"/>
      <c r="B33" s="12"/>
      <c r="C33" s="8"/>
      <c r="D33" s="8"/>
      <c r="E33" s="8"/>
      <c r="F33" s="335"/>
      <c r="G33" s="361"/>
      <c r="H33" s="8" t="s">
        <v>110</v>
      </c>
      <c r="I33" s="575">
        <f>I8+I13+I16+I28</f>
        <v>924520</v>
      </c>
      <c r="J33" s="318">
        <f>J8+J13+J16+J28</f>
        <v>924520</v>
      </c>
      <c r="K33" s="575">
        <f t="shared" ref="K33" si="8">K8+K13+K16+K28</f>
        <v>223049</v>
      </c>
      <c r="L33" s="582">
        <f>L8+L13+L16+L28</f>
        <v>884900</v>
      </c>
      <c r="M33" s="318">
        <f>M8+M13+M16+M28</f>
        <v>0</v>
      </c>
      <c r="N33" s="726">
        <f>N8+N13+N16+N28</f>
        <v>884900</v>
      </c>
      <c r="O33" s="376">
        <f t="shared" si="2"/>
        <v>95.714532946826452</v>
      </c>
    </row>
    <row r="34" spans="1:15" s="1" customFormat="1" ht="12.95" customHeight="1">
      <c r="A34" s="311"/>
      <c r="B34" s="12"/>
      <c r="C34" s="8"/>
      <c r="D34" s="8"/>
      <c r="E34" s="8"/>
      <c r="F34" s="335"/>
      <c r="G34" s="361"/>
      <c r="H34" s="8" t="s">
        <v>93</v>
      </c>
      <c r="I34" s="575"/>
      <c r="J34" s="318"/>
      <c r="K34" s="575"/>
      <c r="L34" s="582"/>
      <c r="M34" s="318"/>
      <c r="N34" s="726"/>
      <c r="O34" s="377" t="str">
        <f>IF(J34=0,"",N34/J34*100)</f>
        <v/>
      </c>
    </row>
    <row r="35" spans="1:15" s="1" customFormat="1" ht="12.95" customHeight="1">
      <c r="A35" s="311"/>
      <c r="B35" s="12"/>
      <c r="C35" s="8"/>
      <c r="D35" s="8"/>
      <c r="E35" s="8"/>
      <c r="F35" s="335"/>
      <c r="G35" s="361"/>
      <c r="H35" s="8" t="s">
        <v>94</v>
      </c>
      <c r="I35" s="586"/>
      <c r="J35" s="309"/>
      <c r="K35" s="586"/>
      <c r="L35" s="580"/>
      <c r="M35" s="309"/>
      <c r="N35" s="725"/>
      <c r="O35" s="377" t="str">
        <f t="shared" si="2"/>
        <v/>
      </c>
    </row>
    <row r="36" spans="1:15" ht="12.95" customHeight="1" thickBot="1">
      <c r="B36" s="16"/>
      <c r="C36" s="17"/>
      <c r="D36" s="17"/>
      <c r="E36" s="17"/>
      <c r="F36" s="337"/>
      <c r="G36" s="363"/>
      <c r="H36" s="17"/>
      <c r="I36" s="32"/>
      <c r="J36" s="32"/>
      <c r="K36" s="576"/>
      <c r="L36" s="585"/>
      <c r="M36" s="32"/>
      <c r="N36" s="728"/>
      <c r="O36" s="379"/>
    </row>
    <row r="37" spans="1:15" ht="12.95" customHeight="1">
      <c r="F37" s="338"/>
      <c r="G37" s="364"/>
      <c r="N37" s="425"/>
    </row>
    <row r="38" spans="1:15" ht="12.95" customHeight="1">
      <c r="F38" s="338"/>
      <c r="G38" s="364"/>
      <c r="N38" s="425"/>
    </row>
    <row r="39" spans="1:15" ht="12.95" customHeight="1">
      <c r="B39" s="55"/>
      <c r="F39" s="338"/>
      <c r="G39" s="364"/>
      <c r="N39" s="425"/>
    </row>
    <row r="40" spans="1:15" ht="12.95" customHeight="1">
      <c r="B40" s="55"/>
      <c r="F40" s="338"/>
      <c r="G40" s="364"/>
      <c r="N40" s="425"/>
    </row>
    <row r="41" spans="1:15" ht="12.95" customHeight="1">
      <c r="B41" s="55"/>
      <c r="F41" s="338"/>
      <c r="G41" s="364"/>
      <c r="N41" s="425"/>
    </row>
    <row r="42" spans="1:15" ht="12.95" customHeight="1">
      <c r="B42" s="55"/>
      <c r="F42" s="338"/>
      <c r="G42" s="364"/>
      <c r="N42" s="425"/>
    </row>
    <row r="43" spans="1:15" ht="12.95" customHeight="1">
      <c r="B43" s="55"/>
      <c r="F43" s="338"/>
      <c r="G43" s="364"/>
      <c r="N43" s="425"/>
    </row>
    <row r="44" spans="1:15" ht="12.95" customHeight="1">
      <c r="F44" s="338"/>
      <c r="G44" s="364"/>
      <c r="N44" s="425"/>
    </row>
    <row r="45" spans="1:15" ht="12.95" customHeight="1">
      <c r="F45" s="338"/>
      <c r="G45" s="364"/>
      <c r="N45" s="425"/>
    </row>
    <row r="46" spans="1:15" ht="12.95" customHeight="1">
      <c r="F46" s="338"/>
      <c r="G46" s="364"/>
      <c r="N46" s="425"/>
    </row>
    <row r="47" spans="1:15" ht="12.95" customHeight="1">
      <c r="F47" s="338"/>
      <c r="G47" s="364"/>
      <c r="N47" s="425"/>
    </row>
    <row r="48" spans="1:15" ht="12.95" customHeight="1">
      <c r="F48" s="338"/>
      <c r="G48" s="364"/>
      <c r="N48" s="425"/>
    </row>
    <row r="49" spans="6:14" ht="12.95" customHeight="1">
      <c r="F49" s="338"/>
      <c r="G49" s="364"/>
      <c r="N49" s="425"/>
    </row>
    <row r="50" spans="6:14" ht="12.95" customHeight="1">
      <c r="F50" s="338"/>
      <c r="G50" s="364"/>
      <c r="N50" s="425"/>
    </row>
    <row r="51" spans="6:14" ht="12.95" customHeight="1">
      <c r="F51" s="338"/>
      <c r="G51" s="364"/>
      <c r="N51" s="425"/>
    </row>
    <row r="52" spans="6:14" ht="12.95" customHeight="1">
      <c r="F52" s="338"/>
      <c r="G52" s="364"/>
      <c r="N52" s="425"/>
    </row>
    <row r="53" spans="6:14" ht="12.95" customHeight="1">
      <c r="F53" s="338"/>
      <c r="G53" s="364"/>
      <c r="N53" s="425"/>
    </row>
    <row r="54" spans="6:14" ht="12.95" customHeight="1">
      <c r="F54" s="338"/>
      <c r="G54" s="364"/>
      <c r="N54" s="425"/>
    </row>
    <row r="55" spans="6:14" ht="12.95" customHeight="1">
      <c r="F55" s="338"/>
      <c r="G55" s="364"/>
      <c r="N55" s="425"/>
    </row>
    <row r="56" spans="6:14" ht="12.95" customHeight="1">
      <c r="F56" s="338"/>
      <c r="G56" s="364"/>
      <c r="N56" s="425"/>
    </row>
    <row r="57" spans="6:14" ht="12.95" customHeight="1">
      <c r="F57" s="338"/>
      <c r="G57" s="364"/>
      <c r="N57" s="425"/>
    </row>
    <row r="58" spans="6:14" ht="12.95" customHeight="1">
      <c r="F58" s="338"/>
      <c r="G58" s="364"/>
      <c r="N58" s="425"/>
    </row>
    <row r="59" spans="6:14" ht="12.95" customHeight="1">
      <c r="F59" s="338"/>
      <c r="G59" s="364"/>
      <c r="N59" s="425"/>
    </row>
    <row r="60" spans="6:14" ht="17.100000000000001" customHeight="1">
      <c r="F60" s="338"/>
      <c r="G60" s="364"/>
      <c r="N60" s="425"/>
    </row>
    <row r="61" spans="6:14" ht="14.25">
      <c r="F61" s="338"/>
      <c r="G61" s="364"/>
      <c r="N61" s="425"/>
    </row>
    <row r="62" spans="6:14" ht="14.25">
      <c r="F62" s="338"/>
      <c r="G62" s="364"/>
      <c r="N62" s="425"/>
    </row>
    <row r="63" spans="6:14" ht="14.25">
      <c r="F63" s="338"/>
      <c r="G63" s="364"/>
      <c r="N63" s="425"/>
    </row>
    <row r="64" spans="6:14" ht="14.25">
      <c r="F64" s="338"/>
      <c r="G64" s="364"/>
      <c r="N64" s="425"/>
    </row>
    <row r="65" spans="6:14" ht="14.25">
      <c r="F65" s="338"/>
      <c r="G65" s="364"/>
      <c r="N65" s="425"/>
    </row>
    <row r="66" spans="6:14" ht="14.25">
      <c r="F66" s="338"/>
      <c r="G66" s="364"/>
      <c r="N66" s="425"/>
    </row>
    <row r="67" spans="6:14" ht="14.25">
      <c r="F67" s="338"/>
      <c r="G67" s="364"/>
      <c r="N67" s="425"/>
    </row>
    <row r="68" spans="6:14" ht="14.25">
      <c r="F68" s="338"/>
      <c r="G68" s="364"/>
      <c r="N68" s="425"/>
    </row>
    <row r="69" spans="6:14" ht="14.25">
      <c r="F69" s="338"/>
      <c r="G69" s="364"/>
      <c r="N69" s="425"/>
    </row>
    <row r="70" spans="6:14" ht="14.25">
      <c r="F70" s="338"/>
      <c r="G70" s="364"/>
      <c r="N70" s="425"/>
    </row>
    <row r="71" spans="6:14" ht="14.25">
      <c r="F71" s="338"/>
      <c r="G71" s="364"/>
      <c r="N71" s="425"/>
    </row>
    <row r="72" spans="6:14" ht="14.25">
      <c r="F72" s="338"/>
      <c r="G72" s="364"/>
      <c r="N72" s="425"/>
    </row>
    <row r="73" spans="6:14" ht="14.25">
      <c r="F73" s="338"/>
      <c r="G73" s="364"/>
      <c r="N73" s="425"/>
    </row>
    <row r="74" spans="6:14" ht="14.25">
      <c r="F74" s="338"/>
      <c r="G74" s="338"/>
      <c r="N74" s="425"/>
    </row>
    <row r="75" spans="6:14" ht="14.25">
      <c r="F75" s="338"/>
      <c r="G75" s="338"/>
      <c r="N75" s="425"/>
    </row>
    <row r="76" spans="6:14" ht="14.25">
      <c r="F76" s="338"/>
      <c r="G76" s="338"/>
      <c r="N76" s="425"/>
    </row>
    <row r="77" spans="6:14" ht="14.25">
      <c r="F77" s="338"/>
      <c r="G77" s="338"/>
      <c r="N77" s="425"/>
    </row>
    <row r="78" spans="6:14" ht="14.25">
      <c r="F78" s="338"/>
      <c r="G78" s="338"/>
      <c r="N78" s="425"/>
    </row>
    <row r="79" spans="6:14" ht="14.25">
      <c r="F79" s="338"/>
      <c r="G79" s="338"/>
      <c r="N79" s="425"/>
    </row>
    <row r="80" spans="6:14" ht="14.25">
      <c r="F80" s="338"/>
      <c r="G80" s="338"/>
      <c r="N80" s="425"/>
    </row>
    <row r="81" spans="6:14" ht="14.25">
      <c r="F81" s="338"/>
      <c r="G81" s="338"/>
      <c r="N81" s="425"/>
    </row>
    <row r="82" spans="6:14" ht="14.25">
      <c r="F82" s="338"/>
      <c r="G82" s="338"/>
      <c r="N82" s="425"/>
    </row>
    <row r="83" spans="6:14" ht="14.25">
      <c r="F83" s="338"/>
      <c r="G83" s="338"/>
      <c r="N83" s="425"/>
    </row>
    <row r="84" spans="6:14" ht="14.25">
      <c r="F84" s="338"/>
      <c r="G84" s="338"/>
      <c r="N84" s="425"/>
    </row>
    <row r="85" spans="6:14" ht="14.25">
      <c r="F85" s="338"/>
      <c r="G85" s="338"/>
      <c r="N85" s="425"/>
    </row>
    <row r="86" spans="6:14" ht="14.25">
      <c r="F86" s="338"/>
      <c r="G86" s="338"/>
      <c r="N86" s="425"/>
    </row>
    <row r="87" spans="6:14" ht="14.25">
      <c r="F87" s="338"/>
      <c r="G87" s="338"/>
      <c r="N87" s="425"/>
    </row>
    <row r="88" spans="6:14" ht="14.25">
      <c r="F88" s="338"/>
      <c r="G88" s="338"/>
      <c r="N88" s="425"/>
    </row>
    <row r="89" spans="6:14" ht="14.25">
      <c r="F89" s="338"/>
      <c r="G89" s="338"/>
      <c r="N89" s="425"/>
    </row>
    <row r="90" spans="6:14" ht="14.25">
      <c r="F90" s="338"/>
      <c r="G90" s="338"/>
      <c r="N90" s="425"/>
    </row>
    <row r="91" spans="6:14">
      <c r="G91" s="338"/>
    </row>
    <row r="92" spans="6:14">
      <c r="G92" s="338"/>
    </row>
    <row r="93" spans="6:14">
      <c r="G93" s="338"/>
    </row>
    <row r="94" spans="6:14">
      <c r="G94" s="338"/>
    </row>
    <row r="95" spans="6:14">
      <c r="G95" s="338"/>
    </row>
    <row r="96" spans="6:14">
      <c r="G96" s="338"/>
    </row>
  </sheetData>
  <mergeCells count="14">
    <mergeCell ref="B2:O2"/>
    <mergeCell ref="O4:O5"/>
    <mergeCell ref="H4:H5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K4:K5"/>
    <mergeCell ref="E4:E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30"/>
  <dimension ref="A1:Q96"/>
  <sheetViews>
    <sheetView zoomScaleNormal="100" workbookViewId="0">
      <selection activeCell="P25" sqref="P25"/>
    </sheetView>
  </sheetViews>
  <sheetFormatPr defaultRowHeight="12.75"/>
  <cols>
    <col min="1" max="1" width="9.140625" style="314"/>
    <col min="2" max="2" width="4.7109375" style="9" customWidth="1"/>
    <col min="3" max="3" width="5.140625" style="9" customWidth="1"/>
    <col min="4" max="4" width="5" style="9" customWidth="1"/>
    <col min="5" max="5" width="5" style="314" customWidth="1"/>
    <col min="6" max="6" width="8.7109375" style="18" customWidth="1"/>
    <col min="7" max="7" width="8.7109375" style="319" customWidth="1"/>
    <col min="8" max="8" width="50.7109375" style="9" customWidth="1"/>
    <col min="9" max="13" width="14.7109375" style="63" customWidth="1"/>
    <col min="14" max="14" width="15.7109375" style="63" customWidth="1"/>
    <col min="15" max="15" width="7.7109375" style="380" customWidth="1"/>
    <col min="16" max="16384" width="9.140625" style="9"/>
  </cols>
  <sheetData>
    <row r="1" spans="1:17" ht="13.5" thickBot="1"/>
    <row r="2" spans="1:17" s="113" customFormat="1" ht="20.100000000000001" customHeight="1" thickTop="1" thickBot="1">
      <c r="A2" s="408"/>
      <c r="B2" s="887" t="s">
        <v>804</v>
      </c>
      <c r="C2" s="888"/>
      <c r="D2" s="888"/>
      <c r="E2" s="888"/>
      <c r="F2" s="888"/>
      <c r="G2" s="888"/>
      <c r="H2" s="888"/>
      <c r="I2" s="888"/>
      <c r="J2" s="921"/>
      <c r="K2" s="921"/>
      <c r="L2" s="921"/>
      <c r="M2" s="921"/>
      <c r="N2" s="921"/>
      <c r="O2" s="922"/>
      <c r="Q2" s="408"/>
    </row>
    <row r="3" spans="1:17" s="1" customFormat="1" ht="8.1" customHeight="1" thickTop="1" thickBot="1">
      <c r="A3" s="311"/>
      <c r="E3" s="311"/>
      <c r="F3" s="2"/>
      <c r="G3" s="312"/>
      <c r="H3" s="890"/>
      <c r="I3" s="890"/>
      <c r="J3" s="282"/>
      <c r="K3" s="282"/>
      <c r="L3" s="107"/>
      <c r="M3" s="107"/>
      <c r="N3" s="107"/>
      <c r="O3" s="374"/>
    </row>
    <row r="4" spans="1:17" s="1" customFormat="1" ht="39" customHeight="1">
      <c r="A4" s="311"/>
      <c r="B4" s="894" t="s">
        <v>77</v>
      </c>
      <c r="C4" s="909" t="s">
        <v>78</v>
      </c>
      <c r="D4" s="910" t="s">
        <v>107</v>
      </c>
      <c r="E4" s="916" t="s">
        <v>828</v>
      </c>
      <c r="F4" s="911" t="s">
        <v>517</v>
      </c>
      <c r="G4" s="899" t="s">
        <v>556</v>
      </c>
      <c r="H4" s="900" t="s">
        <v>79</v>
      </c>
      <c r="I4" s="912" t="s">
        <v>697</v>
      </c>
      <c r="J4" s="913" t="s">
        <v>862</v>
      </c>
      <c r="K4" s="917" t="s">
        <v>863</v>
      </c>
      <c r="L4" s="908" t="s">
        <v>865</v>
      </c>
      <c r="M4" s="892"/>
      <c r="N4" s="893"/>
      <c r="O4" s="906" t="s">
        <v>866</v>
      </c>
      <c r="Q4" s="81"/>
    </row>
    <row r="5" spans="1:17" s="311" customFormat="1" ht="27" customHeight="1">
      <c r="B5" s="895"/>
      <c r="C5" s="897"/>
      <c r="D5" s="897"/>
      <c r="E5" s="897"/>
      <c r="F5" s="901"/>
      <c r="G5" s="897"/>
      <c r="H5" s="901"/>
      <c r="I5" s="901"/>
      <c r="J5" s="901"/>
      <c r="K5" s="905"/>
      <c r="L5" s="587" t="s">
        <v>601</v>
      </c>
      <c r="M5" s="404" t="s">
        <v>602</v>
      </c>
      <c r="N5" s="720" t="s">
        <v>349</v>
      </c>
      <c r="O5" s="907"/>
    </row>
    <row r="6" spans="1:17" s="2" customFormat="1" ht="12.95" customHeight="1">
      <c r="A6" s="312"/>
      <c r="B6" s="525">
        <v>1</v>
      </c>
      <c r="C6" s="361">
        <v>2</v>
      </c>
      <c r="D6" s="361">
        <v>3</v>
      </c>
      <c r="E6" s="361">
        <v>4</v>
      </c>
      <c r="F6" s="361">
        <v>5</v>
      </c>
      <c r="G6" s="361">
        <v>6</v>
      </c>
      <c r="H6" s="361">
        <v>7</v>
      </c>
      <c r="I6" s="361">
        <v>8</v>
      </c>
      <c r="J6" s="361">
        <v>9</v>
      </c>
      <c r="K6" s="526">
        <v>10</v>
      </c>
      <c r="L6" s="525">
        <v>11</v>
      </c>
      <c r="M6" s="361">
        <v>12</v>
      </c>
      <c r="N6" s="721" t="s">
        <v>830</v>
      </c>
      <c r="O6" s="527">
        <v>14</v>
      </c>
    </row>
    <row r="7" spans="1:17" s="2" customFormat="1" ht="12.95" customHeight="1">
      <c r="A7" s="312"/>
      <c r="B7" s="6" t="s">
        <v>131</v>
      </c>
      <c r="C7" s="7" t="s">
        <v>132</v>
      </c>
      <c r="D7" s="7" t="s">
        <v>133</v>
      </c>
      <c r="E7" s="667" t="s">
        <v>847</v>
      </c>
      <c r="F7" s="5"/>
      <c r="G7" s="313"/>
      <c r="H7" s="5"/>
      <c r="I7" s="592"/>
      <c r="J7" s="100"/>
      <c r="K7" s="592"/>
      <c r="L7" s="619"/>
      <c r="M7" s="100"/>
      <c r="N7" s="773"/>
      <c r="O7" s="375"/>
    </row>
    <row r="8" spans="1:17" s="1" customFormat="1" ht="12.95" customHeight="1">
      <c r="A8" s="311"/>
      <c r="B8" s="12"/>
      <c r="C8" s="8"/>
      <c r="D8" s="8"/>
      <c r="E8" s="8"/>
      <c r="F8" s="335">
        <v>611000</v>
      </c>
      <c r="G8" s="361"/>
      <c r="H8" s="8" t="s">
        <v>146</v>
      </c>
      <c r="I8" s="738">
        <f t="shared" ref="I8:N8" si="0">SUM(I9:I11)</f>
        <v>954930</v>
      </c>
      <c r="J8" s="236">
        <f t="shared" si="0"/>
        <v>954930</v>
      </c>
      <c r="K8" s="744">
        <f t="shared" si="0"/>
        <v>218884</v>
      </c>
      <c r="L8" s="578">
        <f t="shared" si="0"/>
        <v>887890</v>
      </c>
      <c r="M8" s="236">
        <f t="shared" si="0"/>
        <v>0</v>
      </c>
      <c r="N8" s="723">
        <f t="shared" si="0"/>
        <v>887890</v>
      </c>
      <c r="O8" s="376">
        <f>IF(J8=0,"",N8/J8*100)</f>
        <v>92.97959012702502</v>
      </c>
    </row>
    <row r="9" spans="1:17" ht="12.95" customHeight="1">
      <c r="B9" s="10"/>
      <c r="C9" s="11"/>
      <c r="D9" s="11"/>
      <c r="E9" s="316"/>
      <c r="F9" s="336">
        <v>611100</v>
      </c>
      <c r="G9" s="362"/>
      <c r="H9" s="20" t="s">
        <v>174</v>
      </c>
      <c r="I9" s="784">
        <f>767590+3*420+2000+19190-12400</f>
        <v>777640</v>
      </c>
      <c r="J9" s="238">
        <f>767590+3*420+2000+19190-12400</f>
        <v>777640</v>
      </c>
      <c r="K9" s="742">
        <v>183129</v>
      </c>
      <c r="L9" s="626">
        <f>730870+1000+420</f>
        <v>732290</v>
      </c>
      <c r="M9" s="238">
        <v>0</v>
      </c>
      <c r="N9" s="724">
        <f>SUM(L9:M9)</f>
        <v>732290</v>
      </c>
      <c r="O9" s="377">
        <f>IF(J9=0,"",N9/J9*100)</f>
        <v>94.168252661900112</v>
      </c>
      <c r="P9" s="55"/>
      <c r="Q9" s="63"/>
    </row>
    <row r="10" spans="1:17" ht="12.95" customHeight="1">
      <c r="B10" s="10"/>
      <c r="C10" s="11"/>
      <c r="D10" s="11"/>
      <c r="E10" s="316"/>
      <c r="F10" s="336">
        <v>611200</v>
      </c>
      <c r="G10" s="362"/>
      <c r="H10" s="11" t="s">
        <v>175</v>
      </c>
      <c r="I10" s="784">
        <f>175360+3*930+2000-2860</f>
        <v>177290</v>
      </c>
      <c r="J10" s="238">
        <f>175360+3*930+2000-2860</f>
        <v>177290</v>
      </c>
      <c r="K10" s="742">
        <v>35755</v>
      </c>
      <c r="L10" s="626">
        <f>153650+1000+950</f>
        <v>155600</v>
      </c>
      <c r="M10" s="238">
        <v>0</v>
      </c>
      <c r="N10" s="724">
        <f t="shared" ref="N10:N11" si="1">SUM(L10:M10)</f>
        <v>155600</v>
      </c>
      <c r="O10" s="377">
        <f t="shared" ref="O10:O35" si="2">IF(J10=0,"",N10/J10*100)</f>
        <v>87.765807434147447</v>
      </c>
    </row>
    <row r="11" spans="1:17" ht="12.95" customHeight="1">
      <c r="B11" s="10"/>
      <c r="C11" s="11"/>
      <c r="D11" s="11"/>
      <c r="E11" s="316"/>
      <c r="F11" s="336">
        <v>611200</v>
      </c>
      <c r="G11" s="362"/>
      <c r="H11" s="210" t="s">
        <v>464</v>
      </c>
      <c r="I11" s="739">
        <v>0</v>
      </c>
      <c r="J11" s="235">
        <v>0</v>
      </c>
      <c r="K11" s="741">
        <v>0</v>
      </c>
      <c r="L11" s="579">
        <v>0</v>
      </c>
      <c r="M11" s="235">
        <v>0</v>
      </c>
      <c r="N11" s="724">
        <f t="shared" si="1"/>
        <v>0</v>
      </c>
      <c r="O11" s="377" t="str">
        <f t="shared" si="2"/>
        <v/>
      </c>
      <c r="Q11" s="62"/>
    </row>
    <row r="12" spans="1:17" ht="12.95" customHeight="1">
      <c r="B12" s="10"/>
      <c r="C12" s="11"/>
      <c r="D12" s="11"/>
      <c r="E12" s="316"/>
      <c r="F12" s="336"/>
      <c r="G12" s="362"/>
      <c r="H12" s="11"/>
      <c r="I12" s="738"/>
      <c r="J12" s="236"/>
      <c r="K12" s="744"/>
      <c r="L12" s="578"/>
      <c r="M12" s="236"/>
      <c r="N12" s="723"/>
      <c r="O12" s="377" t="str">
        <f t="shared" si="2"/>
        <v/>
      </c>
    </row>
    <row r="13" spans="1:17" s="1" customFormat="1" ht="12.95" customHeight="1">
      <c r="A13" s="311"/>
      <c r="B13" s="12"/>
      <c r="C13" s="8"/>
      <c r="D13" s="8"/>
      <c r="E13" s="8"/>
      <c r="F13" s="335">
        <v>612000</v>
      </c>
      <c r="G13" s="361"/>
      <c r="H13" s="8" t="s">
        <v>145</v>
      </c>
      <c r="I13" s="738">
        <f t="shared" ref="I13:N13" si="3">I14</f>
        <v>83420</v>
      </c>
      <c r="J13" s="236">
        <f t="shared" si="3"/>
        <v>83420</v>
      </c>
      <c r="K13" s="744">
        <f t="shared" si="3"/>
        <v>19561</v>
      </c>
      <c r="L13" s="578">
        <f t="shared" si="3"/>
        <v>78060</v>
      </c>
      <c r="M13" s="236">
        <f t="shared" si="3"/>
        <v>0</v>
      </c>
      <c r="N13" s="723">
        <f t="shared" si="3"/>
        <v>78060</v>
      </c>
      <c r="O13" s="376">
        <f t="shared" si="2"/>
        <v>93.574682330376419</v>
      </c>
    </row>
    <row r="14" spans="1:17" ht="12.95" customHeight="1">
      <c r="B14" s="10"/>
      <c r="C14" s="11"/>
      <c r="D14" s="11"/>
      <c r="E14" s="316"/>
      <c r="F14" s="336">
        <v>612100</v>
      </c>
      <c r="G14" s="362"/>
      <c r="H14" s="13" t="s">
        <v>82</v>
      </c>
      <c r="I14" s="784">
        <f>81390+3*150+900+2040-1360</f>
        <v>83420</v>
      </c>
      <c r="J14" s="238">
        <f>81390+3*150+900+2040-1360</f>
        <v>83420</v>
      </c>
      <c r="K14" s="742">
        <v>19561</v>
      </c>
      <c r="L14" s="626">
        <f>77510+400+150</f>
        <v>78060</v>
      </c>
      <c r="M14" s="238">
        <v>0</v>
      </c>
      <c r="N14" s="724">
        <f>SUM(L14:M14)</f>
        <v>78060</v>
      </c>
      <c r="O14" s="377">
        <f t="shared" si="2"/>
        <v>93.574682330376419</v>
      </c>
    </row>
    <row r="15" spans="1:17" ht="12.95" customHeight="1">
      <c r="B15" s="10"/>
      <c r="C15" s="11"/>
      <c r="D15" s="11"/>
      <c r="E15" s="316"/>
      <c r="F15" s="336"/>
      <c r="G15" s="362"/>
      <c r="H15" s="11"/>
      <c r="I15" s="575"/>
      <c r="J15" s="318"/>
      <c r="K15" s="745"/>
      <c r="L15" s="582"/>
      <c r="M15" s="318"/>
      <c r="N15" s="726"/>
      <c r="O15" s="377" t="str">
        <f t="shared" si="2"/>
        <v/>
      </c>
    </row>
    <row r="16" spans="1:17" s="1" customFormat="1" ht="12.95" customHeight="1">
      <c r="A16" s="311"/>
      <c r="B16" s="12"/>
      <c r="C16" s="8"/>
      <c r="D16" s="8"/>
      <c r="E16" s="8"/>
      <c r="F16" s="335">
        <v>613000</v>
      </c>
      <c r="G16" s="361"/>
      <c r="H16" s="8" t="s">
        <v>147</v>
      </c>
      <c r="I16" s="778">
        <f t="shared" ref="I16:N16" si="4">SUM(I17:I26)</f>
        <v>98850</v>
      </c>
      <c r="J16" s="323">
        <f t="shared" si="4"/>
        <v>98850</v>
      </c>
      <c r="K16" s="783">
        <f t="shared" si="4"/>
        <v>18500</v>
      </c>
      <c r="L16" s="581">
        <f t="shared" si="4"/>
        <v>68490</v>
      </c>
      <c r="M16" s="323">
        <f t="shared" si="4"/>
        <v>0</v>
      </c>
      <c r="N16" s="726">
        <f t="shared" si="4"/>
        <v>68490</v>
      </c>
      <c r="O16" s="376">
        <f t="shared" si="2"/>
        <v>69.28679817905919</v>
      </c>
    </row>
    <row r="17" spans="1:15" ht="12.95" customHeight="1">
      <c r="B17" s="10"/>
      <c r="C17" s="11"/>
      <c r="D17" s="11"/>
      <c r="E17" s="316"/>
      <c r="F17" s="336">
        <v>613100</v>
      </c>
      <c r="G17" s="362"/>
      <c r="H17" s="11" t="s">
        <v>83</v>
      </c>
      <c r="I17" s="779">
        <v>4000</v>
      </c>
      <c r="J17" s="395">
        <v>4000</v>
      </c>
      <c r="K17" s="779">
        <v>170</v>
      </c>
      <c r="L17" s="571">
        <v>2800</v>
      </c>
      <c r="M17" s="395">
        <v>0</v>
      </c>
      <c r="N17" s="724">
        <f t="shared" ref="N17:N26" si="5">SUM(L17:M17)</f>
        <v>2800</v>
      </c>
      <c r="O17" s="377">
        <f t="shared" si="2"/>
        <v>70</v>
      </c>
    </row>
    <row r="18" spans="1:15" ht="12.95" customHeight="1">
      <c r="B18" s="10"/>
      <c r="C18" s="11"/>
      <c r="D18" s="11"/>
      <c r="E18" s="316"/>
      <c r="F18" s="336">
        <v>613200</v>
      </c>
      <c r="G18" s="362"/>
      <c r="H18" s="11" t="s">
        <v>84</v>
      </c>
      <c r="I18" s="779">
        <v>55000</v>
      </c>
      <c r="J18" s="395">
        <v>55000</v>
      </c>
      <c r="K18" s="779">
        <v>2257</v>
      </c>
      <c r="L18" s="571">
        <v>30000</v>
      </c>
      <c r="M18" s="395">
        <v>0</v>
      </c>
      <c r="N18" s="724">
        <f t="shared" si="5"/>
        <v>30000</v>
      </c>
      <c r="O18" s="377">
        <f t="shared" si="2"/>
        <v>54.54545454545454</v>
      </c>
    </row>
    <row r="19" spans="1:15" ht="12.95" customHeight="1">
      <c r="B19" s="10"/>
      <c r="C19" s="11"/>
      <c r="D19" s="11"/>
      <c r="E19" s="316"/>
      <c r="F19" s="336">
        <v>613300</v>
      </c>
      <c r="G19" s="362"/>
      <c r="H19" s="20" t="s">
        <v>176</v>
      </c>
      <c r="I19" s="779">
        <v>4500</v>
      </c>
      <c r="J19" s="395">
        <v>4500</v>
      </c>
      <c r="K19" s="779">
        <v>1364</v>
      </c>
      <c r="L19" s="571">
        <v>3900</v>
      </c>
      <c r="M19" s="395">
        <v>0</v>
      </c>
      <c r="N19" s="724">
        <f t="shared" si="5"/>
        <v>3900</v>
      </c>
      <c r="O19" s="377">
        <f t="shared" si="2"/>
        <v>86.666666666666671</v>
      </c>
    </row>
    <row r="20" spans="1:15" ht="12.95" customHeight="1">
      <c r="B20" s="10"/>
      <c r="C20" s="11"/>
      <c r="D20" s="11"/>
      <c r="E20" s="316"/>
      <c r="F20" s="336">
        <v>613400</v>
      </c>
      <c r="G20" s="362"/>
      <c r="H20" s="11" t="s">
        <v>148</v>
      </c>
      <c r="I20" s="779">
        <v>12000</v>
      </c>
      <c r="J20" s="395">
        <v>12000</v>
      </c>
      <c r="K20" s="779">
        <v>2362</v>
      </c>
      <c r="L20" s="571">
        <v>9000</v>
      </c>
      <c r="M20" s="395">
        <v>0</v>
      </c>
      <c r="N20" s="724">
        <f t="shared" si="5"/>
        <v>9000</v>
      </c>
      <c r="O20" s="377">
        <f t="shared" si="2"/>
        <v>75</v>
      </c>
    </row>
    <row r="21" spans="1:15" ht="12.95" customHeight="1">
      <c r="B21" s="10"/>
      <c r="C21" s="11"/>
      <c r="D21" s="11"/>
      <c r="E21" s="316"/>
      <c r="F21" s="336">
        <v>613500</v>
      </c>
      <c r="G21" s="362"/>
      <c r="H21" s="11" t="s">
        <v>85</v>
      </c>
      <c r="I21" s="742">
        <v>1000</v>
      </c>
      <c r="J21" s="397">
        <v>1000</v>
      </c>
      <c r="K21" s="742">
        <v>428</v>
      </c>
      <c r="L21" s="571">
        <v>1000</v>
      </c>
      <c r="M21" s="397">
        <v>0</v>
      </c>
      <c r="N21" s="724">
        <f t="shared" si="5"/>
        <v>1000</v>
      </c>
      <c r="O21" s="377">
        <f t="shared" si="2"/>
        <v>100</v>
      </c>
    </row>
    <row r="22" spans="1:15" ht="12.95" customHeight="1">
      <c r="B22" s="10"/>
      <c r="C22" s="11"/>
      <c r="D22" s="11"/>
      <c r="E22" s="316"/>
      <c r="F22" s="336">
        <v>613600</v>
      </c>
      <c r="G22" s="362"/>
      <c r="H22" s="20" t="s">
        <v>177</v>
      </c>
      <c r="I22" s="742">
        <v>0</v>
      </c>
      <c r="J22" s="397">
        <v>0</v>
      </c>
      <c r="K22" s="742">
        <v>0</v>
      </c>
      <c r="L22" s="571">
        <v>0</v>
      </c>
      <c r="M22" s="397">
        <v>0</v>
      </c>
      <c r="N22" s="724">
        <f t="shared" si="5"/>
        <v>0</v>
      </c>
      <c r="O22" s="377" t="str">
        <f t="shared" si="2"/>
        <v/>
      </c>
    </row>
    <row r="23" spans="1:15" ht="12.95" customHeight="1">
      <c r="B23" s="10"/>
      <c r="C23" s="11"/>
      <c r="D23" s="11"/>
      <c r="E23" s="316"/>
      <c r="F23" s="336">
        <v>613700</v>
      </c>
      <c r="G23" s="362"/>
      <c r="H23" s="11" t="s">
        <v>86</v>
      </c>
      <c r="I23" s="742">
        <v>12300</v>
      </c>
      <c r="J23" s="397">
        <v>12300</v>
      </c>
      <c r="K23" s="742">
        <v>5398</v>
      </c>
      <c r="L23" s="571">
        <v>12000</v>
      </c>
      <c r="M23" s="397">
        <v>0</v>
      </c>
      <c r="N23" s="724">
        <f t="shared" si="5"/>
        <v>12000</v>
      </c>
      <c r="O23" s="377">
        <f t="shared" si="2"/>
        <v>97.560975609756099</v>
      </c>
    </row>
    <row r="24" spans="1:15" ht="12.95" customHeight="1">
      <c r="B24" s="10"/>
      <c r="C24" s="11"/>
      <c r="D24" s="11"/>
      <c r="E24" s="316"/>
      <c r="F24" s="336">
        <v>613800</v>
      </c>
      <c r="G24" s="362"/>
      <c r="H24" s="11" t="s">
        <v>149</v>
      </c>
      <c r="I24" s="742">
        <v>1050</v>
      </c>
      <c r="J24" s="397">
        <v>1050</v>
      </c>
      <c r="K24" s="742">
        <v>1050</v>
      </c>
      <c r="L24" s="571">
        <v>1050</v>
      </c>
      <c r="M24" s="397">
        <v>0</v>
      </c>
      <c r="N24" s="724">
        <f t="shared" si="5"/>
        <v>1050</v>
      </c>
      <c r="O24" s="377">
        <f t="shared" si="2"/>
        <v>100</v>
      </c>
    </row>
    <row r="25" spans="1:15" ht="12.95" customHeight="1">
      <c r="B25" s="10"/>
      <c r="C25" s="11"/>
      <c r="D25" s="11"/>
      <c r="E25" s="316"/>
      <c r="F25" s="336">
        <v>613900</v>
      </c>
      <c r="G25" s="362"/>
      <c r="H25" s="11" t="s">
        <v>150</v>
      </c>
      <c r="I25" s="742">
        <v>9000</v>
      </c>
      <c r="J25" s="397">
        <v>9000</v>
      </c>
      <c r="K25" s="742">
        <v>5471</v>
      </c>
      <c r="L25" s="571">
        <f>9000-260</f>
        <v>8740</v>
      </c>
      <c r="M25" s="397">
        <v>0</v>
      </c>
      <c r="N25" s="724">
        <f t="shared" si="5"/>
        <v>8740</v>
      </c>
      <c r="O25" s="377">
        <f t="shared" si="2"/>
        <v>97.111111111111114</v>
      </c>
    </row>
    <row r="26" spans="1:15" ht="12.95" customHeight="1">
      <c r="B26" s="10"/>
      <c r="C26" s="11"/>
      <c r="D26" s="11"/>
      <c r="E26" s="316"/>
      <c r="F26" s="336">
        <v>613900</v>
      </c>
      <c r="G26" s="362"/>
      <c r="H26" s="210" t="s">
        <v>465</v>
      </c>
      <c r="I26" s="557">
        <v>0</v>
      </c>
      <c r="J26" s="392">
        <v>0</v>
      </c>
      <c r="K26" s="557">
        <v>0</v>
      </c>
      <c r="L26" s="572">
        <v>0</v>
      </c>
      <c r="M26" s="392">
        <v>0</v>
      </c>
      <c r="N26" s="724">
        <f t="shared" si="5"/>
        <v>0</v>
      </c>
      <c r="O26" s="377" t="str">
        <f t="shared" si="2"/>
        <v/>
      </c>
    </row>
    <row r="27" spans="1:15" s="1" customFormat="1" ht="12.95" customHeight="1">
      <c r="A27" s="311"/>
      <c r="B27" s="12"/>
      <c r="C27" s="8"/>
      <c r="D27" s="8"/>
      <c r="E27" s="8"/>
      <c r="F27" s="335"/>
      <c r="G27" s="361"/>
      <c r="H27" s="8"/>
      <c r="I27" s="631"/>
      <c r="J27" s="326"/>
      <c r="K27" s="742"/>
      <c r="L27" s="622"/>
      <c r="M27" s="326"/>
      <c r="N27" s="725"/>
      <c r="O27" s="377" t="str">
        <f t="shared" si="2"/>
        <v/>
      </c>
    </row>
    <row r="28" spans="1:15" s="1" customFormat="1" ht="12.95" customHeight="1">
      <c r="A28" s="311"/>
      <c r="B28" s="12"/>
      <c r="C28" s="8"/>
      <c r="D28" s="8"/>
      <c r="E28" s="8"/>
      <c r="F28" s="335">
        <v>821000</v>
      </c>
      <c r="G28" s="361"/>
      <c r="H28" s="8" t="s">
        <v>89</v>
      </c>
      <c r="I28" s="632">
        <f t="shared" ref="I28:N28" si="6">SUM(I29:I30)</f>
        <v>20000</v>
      </c>
      <c r="J28" s="325">
        <f t="shared" si="6"/>
        <v>20000</v>
      </c>
      <c r="K28" s="744">
        <f t="shared" si="6"/>
        <v>0</v>
      </c>
      <c r="L28" s="588">
        <f t="shared" si="6"/>
        <v>18000</v>
      </c>
      <c r="M28" s="325">
        <f t="shared" si="6"/>
        <v>0</v>
      </c>
      <c r="N28" s="726">
        <f t="shared" si="6"/>
        <v>18000</v>
      </c>
      <c r="O28" s="376">
        <f t="shared" si="2"/>
        <v>90</v>
      </c>
    </row>
    <row r="29" spans="1:15" ht="12.95" customHeight="1">
      <c r="B29" s="10"/>
      <c r="C29" s="11"/>
      <c r="D29" s="11"/>
      <c r="E29" s="316"/>
      <c r="F29" s="336">
        <v>821200</v>
      </c>
      <c r="G29" s="362"/>
      <c r="H29" s="11" t="s">
        <v>90</v>
      </c>
      <c r="I29" s="631">
        <v>10000</v>
      </c>
      <c r="J29" s="326">
        <v>10000</v>
      </c>
      <c r="K29" s="742">
        <v>0</v>
      </c>
      <c r="L29" s="622">
        <v>3000</v>
      </c>
      <c r="M29" s="326">
        <v>0</v>
      </c>
      <c r="N29" s="724">
        <f t="shared" ref="N29:N30" si="7">SUM(L29:M29)</f>
        <v>3000</v>
      </c>
      <c r="O29" s="377">
        <f t="shared" si="2"/>
        <v>30</v>
      </c>
    </row>
    <row r="30" spans="1:15" ht="12.95" customHeight="1">
      <c r="B30" s="10"/>
      <c r="C30" s="11"/>
      <c r="D30" s="11"/>
      <c r="E30" s="316"/>
      <c r="F30" s="336">
        <v>821300</v>
      </c>
      <c r="G30" s="362"/>
      <c r="H30" s="11" t="s">
        <v>91</v>
      </c>
      <c r="I30" s="631">
        <v>10000</v>
      </c>
      <c r="J30" s="326">
        <v>10000</v>
      </c>
      <c r="K30" s="742">
        <v>0</v>
      </c>
      <c r="L30" s="622">
        <v>15000</v>
      </c>
      <c r="M30" s="326">
        <v>0</v>
      </c>
      <c r="N30" s="724">
        <f t="shared" si="7"/>
        <v>15000</v>
      </c>
      <c r="O30" s="377">
        <f t="shared" si="2"/>
        <v>150</v>
      </c>
    </row>
    <row r="31" spans="1:15" ht="12.95" customHeight="1">
      <c r="B31" s="10"/>
      <c r="C31" s="11"/>
      <c r="D31" s="11"/>
      <c r="E31" s="316"/>
      <c r="F31" s="336"/>
      <c r="G31" s="362"/>
      <c r="H31" s="11"/>
      <c r="I31" s="777"/>
      <c r="J31" s="321"/>
      <c r="K31" s="779"/>
      <c r="L31" s="621"/>
      <c r="M31" s="321"/>
      <c r="N31" s="725"/>
      <c r="O31" s="377" t="str">
        <f t="shared" si="2"/>
        <v/>
      </c>
    </row>
    <row r="32" spans="1:15" s="1" customFormat="1" ht="12.95" customHeight="1">
      <c r="A32" s="311"/>
      <c r="B32" s="12"/>
      <c r="C32" s="8"/>
      <c r="D32" s="8"/>
      <c r="E32" s="8"/>
      <c r="F32" s="335"/>
      <c r="G32" s="361"/>
      <c r="H32" s="8" t="s">
        <v>92</v>
      </c>
      <c r="I32" s="743" t="s">
        <v>850</v>
      </c>
      <c r="J32" s="327" t="s">
        <v>850</v>
      </c>
      <c r="K32" s="746" t="s">
        <v>898</v>
      </c>
      <c r="L32" s="584" t="s">
        <v>898</v>
      </c>
      <c r="M32" s="327"/>
      <c r="N32" s="727" t="s">
        <v>898</v>
      </c>
      <c r="O32" s="377"/>
    </row>
    <row r="33" spans="1:15" s="1" customFormat="1" ht="12.95" customHeight="1">
      <c r="A33" s="311"/>
      <c r="B33" s="12"/>
      <c r="C33" s="8"/>
      <c r="D33" s="8"/>
      <c r="E33" s="8"/>
      <c r="F33" s="335"/>
      <c r="G33" s="361"/>
      <c r="H33" s="8" t="s">
        <v>110</v>
      </c>
      <c r="I33" s="575">
        <f>I8+I13+I16+I28</f>
        <v>1157200</v>
      </c>
      <c r="J33" s="318">
        <f>J8+J13+J16+J28</f>
        <v>1157200</v>
      </c>
      <c r="K33" s="575">
        <f t="shared" ref="K33" si="8">K8+K13+K16+K28</f>
        <v>256945</v>
      </c>
      <c r="L33" s="582">
        <f>L8+L13+L16+L28</f>
        <v>1052440</v>
      </c>
      <c r="M33" s="318">
        <f>M8+M13+M16+M28</f>
        <v>0</v>
      </c>
      <c r="N33" s="726">
        <f>N8+N13+N16+N28</f>
        <v>1052440</v>
      </c>
      <c r="O33" s="376">
        <f t="shared" si="2"/>
        <v>90.947113722779122</v>
      </c>
    </row>
    <row r="34" spans="1:15" s="1" customFormat="1" ht="12.95" customHeight="1">
      <c r="A34" s="311"/>
      <c r="B34" s="12"/>
      <c r="C34" s="8"/>
      <c r="D34" s="8"/>
      <c r="E34" s="8"/>
      <c r="F34" s="335"/>
      <c r="G34" s="361"/>
      <c r="H34" s="8" t="s">
        <v>93</v>
      </c>
      <c r="I34" s="575"/>
      <c r="J34" s="318"/>
      <c r="K34" s="575"/>
      <c r="L34" s="582"/>
      <c r="M34" s="318"/>
      <c r="N34" s="726"/>
      <c r="O34" s="377" t="str">
        <f>IF(J34=0,"",N34/J34*100)</f>
        <v/>
      </c>
    </row>
    <row r="35" spans="1:15" s="1" customFormat="1" ht="12.95" customHeight="1">
      <c r="A35" s="311"/>
      <c r="B35" s="12"/>
      <c r="C35" s="8"/>
      <c r="D35" s="8"/>
      <c r="E35" s="8"/>
      <c r="F35" s="335"/>
      <c r="G35" s="361"/>
      <c r="H35" s="8" t="s">
        <v>94</v>
      </c>
      <c r="I35" s="30"/>
      <c r="J35" s="30"/>
      <c r="K35" s="586"/>
      <c r="L35" s="580"/>
      <c r="M35" s="309"/>
      <c r="N35" s="725"/>
      <c r="O35" s="377" t="str">
        <f t="shared" si="2"/>
        <v/>
      </c>
    </row>
    <row r="36" spans="1:15" ht="12.95" customHeight="1" thickBot="1">
      <c r="B36" s="16"/>
      <c r="C36" s="17"/>
      <c r="D36" s="17"/>
      <c r="E36" s="17"/>
      <c r="F36" s="337"/>
      <c r="G36" s="363"/>
      <c r="H36" s="17"/>
      <c r="I36" s="32"/>
      <c r="J36" s="32"/>
      <c r="K36" s="576"/>
      <c r="L36" s="585"/>
      <c r="M36" s="32"/>
      <c r="N36" s="728"/>
      <c r="O36" s="379"/>
    </row>
    <row r="37" spans="1:15" ht="12.95" customHeight="1">
      <c r="F37" s="338"/>
      <c r="G37" s="364"/>
      <c r="N37" s="425"/>
    </row>
    <row r="38" spans="1:15" ht="12.95" customHeight="1">
      <c r="B38" s="55"/>
      <c r="F38" s="338"/>
      <c r="G38" s="364"/>
      <c r="N38" s="425"/>
    </row>
    <row r="39" spans="1:15" ht="12.95" customHeight="1">
      <c r="B39" s="55"/>
      <c r="F39" s="338"/>
      <c r="G39" s="364"/>
      <c r="N39" s="425"/>
    </row>
    <row r="40" spans="1:15" ht="12.95" customHeight="1">
      <c r="B40" s="55"/>
      <c r="F40" s="338"/>
      <c r="G40" s="364"/>
      <c r="N40" s="425"/>
    </row>
    <row r="41" spans="1:15" ht="12.95" customHeight="1">
      <c r="B41" s="55"/>
      <c r="F41" s="338"/>
      <c r="G41" s="364"/>
      <c r="N41" s="425"/>
    </row>
    <row r="42" spans="1:15" ht="12.95" customHeight="1">
      <c r="B42" s="55"/>
      <c r="F42" s="338"/>
      <c r="G42" s="364"/>
      <c r="N42" s="425"/>
    </row>
    <row r="43" spans="1:15" ht="12.95" customHeight="1">
      <c r="B43" s="55"/>
      <c r="F43" s="338"/>
      <c r="G43" s="364"/>
      <c r="N43" s="425"/>
    </row>
    <row r="44" spans="1:15" ht="12.95" customHeight="1">
      <c r="B44" s="55"/>
      <c r="F44" s="338"/>
      <c r="G44" s="364"/>
      <c r="N44" s="425"/>
    </row>
    <row r="45" spans="1:15" ht="12.95" customHeight="1">
      <c r="F45" s="338"/>
      <c r="G45" s="364"/>
      <c r="N45" s="425"/>
    </row>
    <row r="46" spans="1:15" ht="12.95" customHeight="1">
      <c r="F46" s="338"/>
      <c r="G46" s="364"/>
      <c r="N46" s="425"/>
    </row>
    <row r="47" spans="1:15" ht="12.95" customHeight="1">
      <c r="F47" s="338"/>
      <c r="G47" s="364"/>
      <c r="N47" s="425"/>
    </row>
    <row r="48" spans="1:15" ht="12.95" customHeight="1">
      <c r="F48" s="338"/>
      <c r="G48" s="364"/>
      <c r="N48" s="425"/>
    </row>
    <row r="49" spans="6:14" ht="12.95" customHeight="1">
      <c r="F49" s="338"/>
      <c r="G49" s="364"/>
      <c r="N49" s="425"/>
    </row>
    <row r="50" spans="6:14" ht="12.95" customHeight="1">
      <c r="F50" s="338"/>
      <c r="G50" s="364"/>
      <c r="N50" s="425"/>
    </row>
    <row r="51" spans="6:14" ht="12.95" customHeight="1">
      <c r="F51" s="338"/>
      <c r="G51" s="364"/>
      <c r="N51" s="425"/>
    </row>
    <row r="52" spans="6:14" ht="12.95" customHeight="1">
      <c r="F52" s="338"/>
      <c r="G52" s="364"/>
      <c r="N52" s="425"/>
    </row>
    <row r="53" spans="6:14" ht="12.95" customHeight="1">
      <c r="F53" s="338"/>
      <c r="G53" s="364"/>
      <c r="N53" s="425"/>
    </row>
    <row r="54" spans="6:14" ht="12.95" customHeight="1">
      <c r="F54" s="338"/>
      <c r="G54" s="364"/>
      <c r="N54" s="425"/>
    </row>
    <row r="55" spans="6:14" ht="12.95" customHeight="1">
      <c r="F55" s="338"/>
      <c r="G55" s="364"/>
      <c r="N55" s="425"/>
    </row>
    <row r="56" spans="6:14" ht="12.95" customHeight="1">
      <c r="F56" s="338"/>
      <c r="G56" s="364"/>
      <c r="N56" s="425"/>
    </row>
    <row r="57" spans="6:14" ht="12.95" customHeight="1">
      <c r="F57" s="338"/>
      <c r="G57" s="364"/>
      <c r="N57" s="425"/>
    </row>
    <row r="58" spans="6:14" ht="12.95" customHeight="1">
      <c r="F58" s="338"/>
      <c r="G58" s="364"/>
      <c r="N58" s="425"/>
    </row>
    <row r="59" spans="6:14" ht="12.95" customHeight="1">
      <c r="F59" s="338"/>
      <c r="G59" s="364"/>
      <c r="N59" s="425"/>
    </row>
    <row r="60" spans="6:14" ht="17.100000000000001" customHeight="1">
      <c r="F60" s="338"/>
      <c r="G60" s="364"/>
      <c r="N60" s="425"/>
    </row>
    <row r="61" spans="6:14" ht="14.25">
      <c r="F61" s="338"/>
      <c r="G61" s="364"/>
      <c r="N61" s="425"/>
    </row>
    <row r="62" spans="6:14" ht="14.25">
      <c r="F62" s="338"/>
      <c r="G62" s="364"/>
      <c r="N62" s="425"/>
    </row>
    <row r="63" spans="6:14" ht="14.25">
      <c r="F63" s="338"/>
      <c r="G63" s="364"/>
      <c r="N63" s="425"/>
    </row>
    <row r="64" spans="6:14" ht="14.25">
      <c r="F64" s="338"/>
      <c r="G64" s="364"/>
      <c r="N64" s="425"/>
    </row>
    <row r="65" spans="6:14" ht="14.25">
      <c r="F65" s="338"/>
      <c r="G65" s="364"/>
      <c r="N65" s="425"/>
    </row>
    <row r="66" spans="6:14" ht="14.25">
      <c r="F66" s="338"/>
      <c r="G66" s="364"/>
      <c r="N66" s="425"/>
    </row>
    <row r="67" spans="6:14" ht="14.25">
      <c r="F67" s="338"/>
      <c r="G67" s="364"/>
      <c r="N67" s="425"/>
    </row>
    <row r="68" spans="6:14" ht="14.25">
      <c r="F68" s="338"/>
      <c r="G68" s="364"/>
      <c r="N68" s="425"/>
    </row>
    <row r="69" spans="6:14" ht="14.25">
      <c r="F69" s="338"/>
      <c r="G69" s="364"/>
      <c r="N69" s="425"/>
    </row>
    <row r="70" spans="6:14" ht="14.25">
      <c r="F70" s="338"/>
      <c r="G70" s="364"/>
      <c r="N70" s="425"/>
    </row>
    <row r="71" spans="6:14" ht="14.25">
      <c r="F71" s="338"/>
      <c r="G71" s="364"/>
      <c r="N71" s="425"/>
    </row>
    <row r="72" spans="6:14" ht="14.25">
      <c r="F72" s="338"/>
      <c r="G72" s="364"/>
      <c r="N72" s="425"/>
    </row>
    <row r="73" spans="6:14" ht="14.25">
      <c r="F73" s="338"/>
      <c r="G73" s="364"/>
      <c r="N73" s="425"/>
    </row>
    <row r="74" spans="6:14" ht="14.25">
      <c r="F74" s="338"/>
      <c r="G74" s="338"/>
      <c r="N74" s="425"/>
    </row>
    <row r="75" spans="6:14" ht="14.25">
      <c r="F75" s="338"/>
      <c r="G75" s="338"/>
      <c r="N75" s="425"/>
    </row>
    <row r="76" spans="6:14" ht="14.25">
      <c r="F76" s="338"/>
      <c r="G76" s="338"/>
      <c r="N76" s="425"/>
    </row>
    <row r="77" spans="6:14" ht="14.25">
      <c r="F77" s="338"/>
      <c r="G77" s="338"/>
      <c r="N77" s="425"/>
    </row>
    <row r="78" spans="6:14" ht="14.25">
      <c r="F78" s="338"/>
      <c r="G78" s="338"/>
      <c r="N78" s="425"/>
    </row>
    <row r="79" spans="6:14" ht="14.25">
      <c r="F79" s="338"/>
      <c r="G79" s="338"/>
      <c r="N79" s="425"/>
    </row>
    <row r="80" spans="6:14" ht="14.25">
      <c r="F80" s="338"/>
      <c r="G80" s="338"/>
      <c r="N80" s="425"/>
    </row>
    <row r="81" spans="6:14" ht="14.25">
      <c r="F81" s="338"/>
      <c r="G81" s="338"/>
      <c r="N81" s="425"/>
    </row>
    <row r="82" spans="6:14" ht="14.25">
      <c r="F82" s="338"/>
      <c r="G82" s="338"/>
      <c r="N82" s="425"/>
    </row>
    <row r="83" spans="6:14" ht="14.25">
      <c r="F83" s="338"/>
      <c r="G83" s="338"/>
      <c r="N83" s="425"/>
    </row>
    <row r="84" spans="6:14" ht="14.25">
      <c r="F84" s="338"/>
      <c r="G84" s="338"/>
      <c r="N84" s="425"/>
    </row>
    <row r="85" spans="6:14" ht="14.25">
      <c r="F85" s="338"/>
      <c r="G85" s="338"/>
      <c r="N85" s="425"/>
    </row>
    <row r="86" spans="6:14" ht="14.25">
      <c r="F86" s="338"/>
      <c r="G86" s="338"/>
      <c r="N86" s="425"/>
    </row>
    <row r="87" spans="6:14" ht="14.25">
      <c r="F87" s="338"/>
      <c r="G87" s="338"/>
      <c r="N87" s="425"/>
    </row>
    <row r="88" spans="6:14" ht="14.25">
      <c r="F88" s="338"/>
      <c r="G88" s="338"/>
      <c r="N88" s="425"/>
    </row>
    <row r="89" spans="6:14" ht="14.25">
      <c r="F89" s="338"/>
      <c r="G89" s="338"/>
      <c r="N89" s="425"/>
    </row>
    <row r="90" spans="6:14" ht="14.25">
      <c r="F90" s="338"/>
      <c r="G90" s="338"/>
      <c r="N90" s="425"/>
    </row>
    <row r="91" spans="6:14">
      <c r="G91" s="338"/>
    </row>
    <row r="92" spans="6:14">
      <c r="G92" s="338"/>
    </row>
    <row r="93" spans="6:14">
      <c r="G93" s="338"/>
    </row>
    <row r="94" spans="6:14">
      <c r="G94" s="338"/>
    </row>
    <row r="95" spans="6:14">
      <c r="G95" s="338"/>
    </row>
    <row r="96" spans="6:14">
      <c r="G96" s="338"/>
    </row>
  </sheetData>
  <mergeCells count="14">
    <mergeCell ref="B2:O2"/>
    <mergeCell ref="O4:O5"/>
    <mergeCell ref="H4:H5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K4:K5"/>
    <mergeCell ref="E4:E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31"/>
  <dimension ref="A1:Q96"/>
  <sheetViews>
    <sheetView zoomScaleNormal="100" workbookViewId="0">
      <selection activeCell="R29" sqref="R29"/>
    </sheetView>
  </sheetViews>
  <sheetFormatPr defaultRowHeight="12.75"/>
  <cols>
    <col min="1" max="1" width="9.140625" style="314"/>
    <col min="2" max="2" width="4.7109375" style="9" customWidth="1"/>
    <col min="3" max="3" width="5.140625" style="9" customWidth="1"/>
    <col min="4" max="4" width="5" style="9" customWidth="1"/>
    <col min="5" max="5" width="5" style="314" customWidth="1"/>
    <col min="6" max="6" width="8.7109375" style="18" customWidth="1"/>
    <col min="7" max="7" width="8.7109375" style="319" customWidth="1"/>
    <col min="8" max="8" width="50.7109375" style="9" customWidth="1"/>
    <col min="9" max="13" width="14.7109375" style="63" customWidth="1"/>
    <col min="14" max="14" width="15.7109375" style="63" customWidth="1"/>
    <col min="15" max="15" width="7.7109375" style="380" customWidth="1"/>
    <col min="16" max="16384" width="9.140625" style="9"/>
  </cols>
  <sheetData>
    <row r="1" spans="1:17" ht="13.5" thickBot="1"/>
    <row r="2" spans="1:17" s="113" customFormat="1" ht="20.100000000000001" customHeight="1" thickTop="1" thickBot="1">
      <c r="A2" s="408"/>
      <c r="B2" s="887" t="s">
        <v>806</v>
      </c>
      <c r="C2" s="888"/>
      <c r="D2" s="888"/>
      <c r="E2" s="888"/>
      <c r="F2" s="888"/>
      <c r="G2" s="888"/>
      <c r="H2" s="888"/>
      <c r="I2" s="888"/>
      <c r="J2" s="921"/>
      <c r="K2" s="921"/>
      <c r="L2" s="921"/>
      <c r="M2" s="921"/>
      <c r="N2" s="921"/>
      <c r="O2" s="922"/>
      <c r="Q2" s="408"/>
    </row>
    <row r="3" spans="1:17" s="1" customFormat="1" ht="8.1" customHeight="1" thickTop="1" thickBot="1">
      <c r="A3" s="311"/>
      <c r="E3" s="311"/>
      <c r="F3" s="2"/>
      <c r="G3" s="312"/>
      <c r="H3" s="890"/>
      <c r="I3" s="890"/>
      <c r="J3" s="282"/>
      <c r="K3" s="282"/>
      <c r="L3" s="107"/>
      <c r="M3" s="107"/>
      <c r="N3" s="107"/>
      <c r="O3" s="374"/>
    </row>
    <row r="4" spans="1:17" s="1" customFormat="1" ht="39" customHeight="1">
      <c r="A4" s="311"/>
      <c r="B4" s="894" t="s">
        <v>77</v>
      </c>
      <c r="C4" s="909" t="s">
        <v>78</v>
      </c>
      <c r="D4" s="910" t="s">
        <v>107</v>
      </c>
      <c r="E4" s="916" t="s">
        <v>828</v>
      </c>
      <c r="F4" s="911" t="s">
        <v>517</v>
      </c>
      <c r="G4" s="899" t="s">
        <v>556</v>
      </c>
      <c r="H4" s="900" t="s">
        <v>79</v>
      </c>
      <c r="I4" s="912" t="s">
        <v>697</v>
      </c>
      <c r="J4" s="913" t="s">
        <v>862</v>
      </c>
      <c r="K4" s="917" t="s">
        <v>863</v>
      </c>
      <c r="L4" s="908" t="s">
        <v>865</v>
      </c>
      <c r="M4" s="892"/>
      <c r="N4" s="893"/>
      <c r="O4" s="906" t="s">
        <v>866</v>
      </c>
      <c r="Q4" s="81"/>
    </row>
    <row r="5" spans="1:17" s="311" customFormat="1" ht="27" customHeight="1">
      <c r="B5" s="895"/>
      <c r="C5" s="897"/>
      <c r="D5" s="897"/>
      <c r="E5" s="897"/>
      <c r="F5" s="901"/>
      <c r="G5" s="897"/>
      <c r="H5" s="901"/>
      <c r="I5" s="901"/>
      <c r="J5" s="901"/>
      <c r="K5" s="905"/>
      <c r="L5" s="587" t="s">
        <v>601</v>
      </c>
      <c r="M5" s="404" t="s">
        <v>602</v>
      </c>
      <c r="N5" s="720" t="s">
        <v>349</v>
      </c>
      <c r="O5" s="907"/>
    </row>
    <row r="6" spans="1:17" s="2" customFormat="1" ht="12.95" customHeight="1">
      <c r="A6" s="312"/>
      <c r="B6" s="525">
        <v>1</v>
      </c>
      <c r="C6" s="361">
        <v>2</v>
      </c>
      <c r="D6" s="361">
        <v>3</v>
      </c>
      <c r="E6" s="361">
        <v>4</v>
      </c>
      <c r="F6" s="361">
        <v>5</v>
      </c>
      <c r="G6" s="361">
        <v>6</v>
      </c>
      <c r="H6" s="361">
        <v>7</v>
      </c>
      <c r="I6" s="361">
        <v>8</v>
      </c>
      <c r="J6" s="361">
        <v>9</v>
      </c>
      <c r="K6" s="526">
        <v>10</v>
      </c>
      <c r="L6" s="525">
        <v>11</v>
      </c>
      <c r="M6" s="361">
        <v>12</v>
      </c>
      <c r="N6" s="721" t="s">
        <v>830</v>
      </c>
      <c r="O6" s="527">
        <v>14</v>
      </c>
    </row>
    <row r="7" spans="1:17" s="2" customFormat="1" ht="12.95" customHeight="1">
      <c r="A7" s="312"/>
      <c r="B7" s="6" t="s">
        <v>131</v>
      </c>
      <c r="C7" s="7" t="s">
        <v>132</v>
      </c>
      <c r="D7" s="7" t="s">
        <v>134</v>
      </c>
      <c r="E7" s="667" t="s">
        <v>847</v>
      </c>
      <c r="F7" s="5"/>
      <c r="G7" s="313"/>
      <c r="H7" s="5"/>
      <c r="I7" s="592"/>
      <c r="J7" s="100"/>
      <c r="K7" s="592"/>
      <c r="L7" s="619"/>
      <c r="M7" s="100"/>
      <c r="N7" s="773"/>
      <c r="O7" s="375"/>
    </row>
    <row r="8" spans="1:17" s="1" customFormat="1" ht="12.95" customHeight="1">
      <c r="A8" s="311"/>
      <c r="B8" s="12"/>
      <c r="C8" s="8"/>
      <c r="D8" s="8"/>
      <c r="E8" s="8"/>
      <c r="F8" s="335">
        <v>611000</v>
      </c>
      <c r="G8" s="361"/>
      <c r="H8" s="8" t="s">
        <v>146</v>
      </c>
      <c r="I8" s="738">
        <f t="shared" ref="I8:N8" si="0">SUM(I9:I11)</f>
        <v>350910</v>
      </c>
      <c r="J8" s="236">
        <f t="shared" si="0"/>
        <v>350910</v>
      </c>
      <c r="K8" s="744">
        <f t="shared" si="0"/>
        <v>81092</v>
      </c>
      <c r="L8" s="578">
        <f t="shared" si="0"/>
        <v>337470</v>
      </c>
      <c r="M8" s="236">
        <f t="shared" si="0"/>
        <v>0</v>
      </c>
      <c r="N8" s="723">
        <f t="shared" si="0"/>
        <v>337470</v>
      </c>
      <c r="O8" s="376">
        <f>IF(J8=0,"",N8/J8*100)</f>
        <v>96.169958108916816</v>
      </c>
    </row>
    <row r="9" spans="1:17" ht="12.95" customHeight="1">
      <c r="B9" s="10"/>
      <c r="C9" s="11"/>
      <c r="D9" s="11"/>
      <c r="E9" s="316"/>
      <c r="F9" s="336">
        <v>611100</v>
      </c>
      <c r="G9" s="362"/>
      <c r="H9" s="20" t="s">
        <v>174</v>
      </c>
      <c r="I9" s="784">
        <f>275980+420+1000+6900-3100</f>
        <v>281200</v>
      </c>
      <c r="J9" s="238">
        <f>275980+420+1000+6900-3100</f>
        <v>281200</v>
      </c>
      <c r="K9" s="742">
        <v>66628</v>
      </c>
      <c r="L9" s="626">
        <f>266500+500</f>
        <v>267000</v>
      </c>
      <c r="M9" s="238">
        <v>0</v>
      </c>
      <c r="N9" s="724">
        <f>SUM(L9:M9)</f>
        <v>267000</v>
      </c>
      <c r="O9" s="377">
        <f>IF(J9=0,"",N9/J9*100)</f>
        <v>94.950213371266003</v>
      </c>
    </row>
    <row r="10" spans="1:17" ht="12.95" customHeight="1">
      <c r="B10" s="10"/>
      <c r="C10" s="11"/>
      <c r="D10" s="11"/>
      <c r="E10" s="316"/>
      <c r="F10" s="336">
        <v>611200</v>
      </c>
      <c r="G10" s="362"/>
      <c r="H10" s="11" t="s">
        <v>175</v>
      </c>
      <c r="I10" s="784">
        <f>69000+930+500-720</f>
        <v>69710</v>
      </c>
      <c r="J10" s="238">
        <f>69000+930+500-720</f>
        <v>69710</v>
      </c>
      <c r="K10" s="742">
        <v>14464</v>
      </c>
      <c r="L10" s="626">
        <f>67680+2790</f>
        <v>70470</v>
      </c>
      <c r="M10" s="238">
        <v>0</v>
      </c>
      <c r="N10" s="724">
        <f t="shared" ref="N10:N11" si="1">SUM(L10:M10)</f>
        <v>70470</v>
      </c>
      <c r="O10" s="377">
        <f t="shared" ref="O10:O35" si="2">IF(J10=0,"",N10/J10*100)</f>
        <v>101.09023095682113</v>
      </c>
    </row>
    <row r="11" spans="1:17" ht="12.95" customHeight="1">
      <c r="B11" s="10"/>
      <c r="C11" s="11"/>
      <c r="D11" s="11"/>
      <c r="E11" s="316"/>
      <c r="F11" s="336">
        <v>611200</v>
      </c>
      <c r="G11" s="362"/>
      <c r="H11" s="210" t="s">
        <v>464</v>
      </c>
      <c r="I11" s="739">
        <v>0</v>
      </c>
      <c r="J11" s="235">
        <v>0</v>
      </c>
      <c r="K11" s="741">
        <v>0</v>
      </c>
      <c r="L11" s="579">
        <v>0</v>
      </c>
      <c r="M11" s="235">
        <v>0</v>
      </c>
      <c r="N11" s="724">
        <f t="shared" si="1"/>
        <v>0</v>
      </c>
      <c r="O11" s="377" t="str">
        <f t="shared" si="2"/>
        <v/>
      </c>
      <c r="Q11" s="62"/>
    </row>
    <row r="12" spans="1:17" ht="12.95" customHeight="1">
      <c r="B12" s="10"/>
      <c r="C12" s="11"/>
      <c r="D12" s="11"/>
      <c r="E12" s="316"/>
      <c r="F12" s="336"/>
      <c r="G12" s="362"/>
      <c r="H12" s="11"/>
      <c r="I12" s="738"/>
      <c r="J12" s="236"/>
      <c r="K12" s="744"/>
      <c r="L12" s="578"/>
      <c r="M12" s="236"/>
      <c r="N12" s="723"/>
      <c r="O12" s="377" t="str">
        <f t="shared" si="2"/>
        <v/>
      </c>
    </row>
    <row r="13" spans="1:17" s="1" customFormat="1" ht="12.95" customHeight="1">
      <c r="A13" s="311"/>
      <c r="B13" s="12"/>
      <c r="C13" s="8"/>
      <c r="D13" s="8"/>
      <c r="E13" s="8"/>
      <c r="F13" s="335">
        <v>612000</v>
      </c>
      <c r="G13" s="361"/>
      <c r="H13" s="8" t="s">
        <v>145</v>
      </c>
      <c r="I13" s="738">
        <f t="shared" ref="I13:N13" si="3">I14</f>
        <v>30300</v>
      </c>
      <c r="J13" s="236">
        <f t="shared" si="3"/>
        <v>30300</v>
      </c>
      <c r="K13" s="744">
        <f t="shared" si="3"/>
        <v>7263</v>
      </c>
      <c r="L13" s="578">
        <f t="shared" si="3"/>
        <v>28520</v>
      </c>
      <c r="M13" s="236">
        <f t="shared" si="3"/>
        <v>0</v>
      </c>
      <c r="N13" s="723">
        <f t="shared" si="3"/>
        <v>28520</v>
      </c>
      <c r="O13" s="376">
        <f t="shared" si="2"/>
        <v>94.125412541254121</v>
      </c>
    </row>
    <row r="14" spans="1:17" ht="12.95" customHeight="1">
      <c r="B14" s="10"/>
      <c r="C14" s="11"/>
      <c r="D14" s="11"/>
      <c r="E14" s="316"/>
      <c r="F14" s="336">
        <v>612100</v>
      </c>
      <c r="G14" s="362"/>
      <c r="H14" s="13" t="s">
        <v>82</v>
      </c>
      <c r="I14" s="784">
        <f>29260+150+500+730-340</f>
        <v>30300</v>
      </c>
      <c r="J14" s="238">
        <f>29260+150+500+730-340</f>
        <v>30300</v>
      </c>
      <c r="K14" s="742">
        <v>7263</v>
      </c>
      <c r="L14" s="626">
        <f>28420+100</f>
        <v>28520</v>
      </c>
      <c r="M14" s="238">
        <v>0</v>
      </c>
      <c r="N14" s="724">
        <f>SUM(L14:M14)</f>
        <v>28520</v>
      </c>
      <c r="O14" s="377">
        <f t="shared" si="2"/>
        <v>94.125412541254121</v>
      </c>
    </row>
    <row r="15" spans="1:17" ht="12.95" customHeight="1">
      <c r="B15" s="10"/>
      <c r="C15" s="11"/>
      <c r="D15" s="11"/>
      <c r="E15" s="316"/>
      <c r="F15" s="336"/>
      <c r="G15" s="362"/>
      <c r="H15" s="11"/>
      <c r="I15" s="575"/>
      <c r="J15" s="318"/>
      <c r="K15" s="745"/>
      <c r="L15" s="582"/>
      <c r="M15" s="318"/>
      <c r="N15" s="726"/>
      <c r="O15" s="377" t="str">
        <f t="shared" si="2"/>
        <v/>
      </c>
    </row>
    <row r="16" spans="1:17" s="1" customFormat="1" ht="12.95" customHeight="1">
      <c r="A16" s="311"/>
      <c r="B16" s="12"/>
      <c r="C16" s="8"/>
      <c r="D16" s="8"/>
      <c r="E16" s="8"/>
      <c r="F16" s="335">
        <v>613000</v>
      </c>
      <c r="G16" s="361"/>
      <c r="H16" s="8" t="s">
        <v>147</v>
      </c>
      <c r="I16" s="778">
        <f t="shared" ref="I16:N16" si="4">SUM(I17:I26)</f>
        <v>47000</v>
      </c>
      <c r="J16" s="323">
        <f t="shared" si="4"/>
        <v>47000</v>
      </c>
      <c r="K16" s="783">
        <f t="shared" si="4"/>
        <v>9304</v>
      </c>
      <c r="L16" s="581">
        <f t="shared" si="4"/>
        <v>38600</v>
      </c>
      <c r="M16" s="323">
        <f t="shared" si="4"/>
        <v>0</v>
      </c>
      <c r="N16" s="726">
        <f t="shared" si="4"/>
        <v>38600</v>
      </c>
      <c r="O16" s="376">
        <f t="shared" si="2"/>
        <v>82.127659574468083</v>
      </c>
    </row>
    <row r="17" spans="1:15" ht="12.95" customHeight="1">
      <c r="B17" s="10"/>
      <c r="C17" s="11"/>
      <c r="D17" s="11"/>
      <c r="E17" s="316"/>
      <c r="F17" s="336">
        <v>613100</v>
      </c>
      <c r="G17" s="362"/>
      <c r="H17" s="11" t="s">
        <v>83</v>
      </c>
      <c r="I17" s="779">
        <v>3500</v>
      </c>
      <c r="J17" s="395">
        <v>3500</v>
      </c>
      <c r="K17" s="779">
        <v>463</v>
      </c>
      <c r="L17" s="571">
        <v>2500</v>
      </c>
      <c r="M17" s="395">
        <v>0</v>
      </c>
      <c r="N17" s="724">
        <f t="shared" ref="N17:N26" si="5">SUM(L17:M17)</f>
        <v>2500</v>
      </c>
      <c r="O17" s="377">
        <f t="shared" si="2"/>
        <v>71.428571428571431</v>
      </c>
    </row>
    <row r="18" spans="1:15" ht="12.95" customHeight="1">
      <c r="B18" s="10"/>
      <c r="C18" s="11"/>
      <c r="D18" s="11"/>
      <c r="E18" s="316"/>
      <c r="F18" s="336">
        <v>613200</v>
      </c>
      <c r="G18" s="362"/>
      <c r="H18" s="11" t="s">
        <v>84</v>
      </c>
      <c r="I18" s="779">
        <v>16200</v>
      </c>
      <c r="J18" s="395">
        <v>16200</v>
      </c>
      <c r="K18" s="779">
        <v>5920</v>
      </c>
      <c r="L18" s="571">
        <v>14200</v>
      </c>
      <c r="M18" s="395">
        <v>0</v>
      </c>
      <c r="N18" s="724">
        <f t="shared" si="5"/>
        <v>14200</v>
      </c>
      <c r="O18" s="377">
        <f t="shared" si="2"/>
        <v>87.654320987654316</v>
      </c>
    </row>
    <row r="19" spans="1:15" ht="12.95" customHeight="1">
      <c r="B19" s="10"/>
      <c r="C19" s="11"/>
      <c r="D19" s="11"/>
      <c r="E19" s="316"/>
      <c r="F19" s="336">
        <v>613300</v>
      </c>
      <c r="G19" s="362"/>
      <c r="H19" s="20" t="s">
        <v>176</v>
      </c>
      <c r="I19" s="779">
        <v>2500</v>
      </c>
      <c r="J19" s="395">
        <v>2500</v>
      </c>
      <c r="K19" s="779">
        <v>417</v>
      </c>
      <c r="L19" s="571">
        <v>2500</v>
      </c>
      <c r="M19" s="395">
        <v>0</v>
      </c>
      <c r="N19" s="724">
        <f t="shared" si="5"/>
        <v>2500</v>
      </c>
      <c r="O19" s="377">
        <f t="shared" si="2"/>
        <v>100</v>
      </c>
    </row>
    <row r="20" spans="1:15" ht="12.95" customHeight="1">
      <c r="B20" s="10"/>
      <c r="C20" s="11"/>
      <c r="D20" s="11"/>
      <c r="E20" s="316"/>
      <c r="F20" s="336">
        <v>613400</v>
      </c>
      <c r="G20" s="362"/>
      <c r="H20" s="11" t="s">
        <v>148</v>
      </c>
      <c r="I20" s="779">
        <v>9000</v>
      </c>
      <c r="J20" s="395">
        <v>9000</v>
      </c>
      <c r="K20" s="779">
        <v>1480</v>
      </c>
      <c r="L20" s="571">
        <v>7000</v>
      </c>
      <c r="M20" s="395">
        <v>0</v>
      </c>
      <c r="N20" s="724">
        <f t="shared" si="5"/>
        <v>7000</v>
      </c>
      <c r="O20" s="377">
        <f t="shared" si="2"/>
        <v>77.777777777777786</v>
      </c>
    </row>
    <row r="21" spans="1:15" ht="12.95" customHeight="1">
      <c r="B21" s="10"/>
      <c r="C21" s="11"/>
      <c r="D21" s="11"/>
      <c r="E21" s="316"/>
      <c r="F21" s="336">
        <v>613500</v>
      </c>
      <c r="G21" s="362"/>
      <c r="H21" s="11" t="s">
        <v>85</v>
      </c>
      <c r="I21" s="779">
        <v>600</v>
      </c>
      <c r="J21" s="395">
        <v>600</v>
      </c>
      <c r="K21" s="779">
        <v>131</v>
      </c>
      <c r="L21" s="571">
        <v>600</v>
      </c>
      <c r="M21" s="395">
        <v>0</v>
      </c>
      <c r="N21" s="724">
        <f t="shared" si="5"/>
        <v>600</v>
      </c>
      <c r="O21" s="377">
        <f t="shared" si="2"/>
        <v>100</v>
      </c>
    </row>
    <row r="22" spans="1:15" ht="12.95" customHeight="1">
      <c r="B22" s="10"/>
      <c r="C22" s="11"/>
      <c r="D22" s="11"/>
      <c r="E22" s="316"/>
      <c r="F22" s="336">
        <v>613600</v>
      </c>
      <c r="G22" s="362"/>
      <c r="H22" s="20" t="s">
        <v>177</v>
      </c>
      <c r="I22" s="779">
        <v>0</v>
      </c>
      <c r="J22" s="395">
        <v>0</v>
      </c>
      <c r="K22" s="779">
        <v>0</v>
      </c>
      <c r="L22" s="571">
        <v>0</v>
      </c>
      <c r="M22" s="395">
        <v>0</v>
      </c>
      <c r="N22" s="724">
        <f t="shared" si="5"/>
        <v>0</v>
      </c>
      <c r="O22" s="377" t="str">
        <f t="shared" si="2"/>
        <v/>
      </c>
    </row>
    <row r="23" spans="1:15" ht="12.95" customHeight="1">
      <c r="B23" s="10"/>
      <c r="C23" s="11"/>
      <c r="D23" s="11"/>
      <c r="E23" s="316"/>
      <c r="F23" s="336">
        <v>613700</v>
      </c>
      <c r="G23" s="362"/>
      <c r="H23" s="11" t="s">
        <v>86</v>
      </c>
      <c r="I23" s="779">
        <v>6700</v>
      </c>
      <c r="J23" s="395">
        <v>6700</v>
      </c>
      <c r="K23" s="779">
        <v>172</v>
      </c>
      <c r="L23" s="571">
        <v>5000</v>
      </c>
      <c r="M23" s="395">
        <v>0</v>
      </c>
      <c r="N23" s="724">
        <f t="shared" si="5"/>
        <v>5000</v>
      </c>
      <c r="O23" s="377">
        <f t="shared" si="2"/>
        <v>74.626865671641795</v>
      </c>
    </row>
    <row r="24" spans="1:15" ht="12.95" customHeight="1">
      <c r="B24" s="10"/>
      <c r="C24" s="11"/>
      <c r="D24" s="11"/>
      <c r="E24" s="316"/>
      <c r="F24" s="336">
        <v>613800</v>
      </c>
      <c r="G24" s="362"/>
      <c r="H24" s="11" t="s">
        <v>149</v>
      </c>
      <c r="I24" s="742">
        <v>0</v>
      </c>
      <c r="J24" s="397">
        <v>0</v>
      </c>
      <c r="K24" s="742">
        <v>0</v>
      </c>
      <c r="L24" s="571">
        <v>0</v>
      </c>
      <c r="M24" s="397">
        <v>0</v>
      </c>
      <c r="N24" s="724">
        <f t="shared" si="5"/>
        <v>0</v>
      </c>
      <c r="O24" s="377" t="str">
        <f t="shared" si="2"/>
        <v/>
      </c>
    </row>
    <row r="25" spans="1:15" ht="12.95" customHeight="1">
      <c r="B25" s="10"/>
      <c r="C25" s="11"/>
      <c r="D25" s="11"/>
      <c r="E25" s="316"/>
      <c r="F25" s="336">
        <v>613900</v>
      </c>
      <c r="G25" s="362"/>
      <c r="H25" s="11" t="s">
        <v>150</v>
      </c>
      <c r="I25" s="742">
        <v>8500</v>
      </c>
      <c r="J25" s="397">
        <v>8500</v>
      </c>
      <c r="K25" s="742">
        <v>721</v>
      </c>
      <c r="L25" s="571">
        <f>7000-200</f>
        <v>6800</v>
      </c>
      <c r="M25" s="397">
        <v>0</v>
      </c>
      <c r="N25" s="724">
        <f t="shared" si="5"/>
        <v>6800</v>
      </c>
      <c r="O25" s="377">
        <f t="shared" si="2"/>
        <v>80</v>
      </c>
    </row>
    <row r="26" spans="1:15" ht="12.95" customHeight="1">
      <c r="B26" s="10"/>
      <c r="C26" s="11"/>
      <c r="D26" s="11"/>
      <c r="E26" s="316"/>
      <c r="F26" s="336">
        <v>613900</v>
      </c>
      <c r="G26" s="362"/>
      <c r="H26" s="210" t="s">
        <v>465</v>
      </c>
      <c r="I26" s="742">
        <v>0</v>
      </c>
      <c r="J26" s="397">
        <v>0</v>
      </c>
      <c r="K26" s="742">
        <v>0</v>
      </c>
      <c r="L26" s="571">
        <v>0</v>
      </c>
      <c r="M26" s="397">
        <v>0</v>
      </c>
      <c r="N26" s="724">
        <f t="shared" si="5"/>
        <v>0</v>
      </c>
      <c r="O26" s="377" t="str">
        <f t="shared" si="2"/>
        <v/>
      </c>
    </row>
    <row r="27" spans="1:15" ht="12.95" customHeight="1">
      <c r="B27" s="10"/>
      <c r="C27" s="11"/>
      <c r="D27" s="11"/>
      <c r="E27" s="316"/>
      <c r="F27" s="336"/>
      <c r="G27" s="362"/>
      <c r="H27" s="11"/>
      <c r="I27" s="632"/>
      <c r="J27" s="325"/>
      <c r="K27" s="744"/>
      <c r="L27" s="588"/>
      <c r="M27" s="325"/>
      <c r="N27" s="726"/>
      <c r="O27" s="377" t="str">
        <f t="shared" si="2"/>
        <v/>
      </c>
    </row>
    <row r="28" spans="1:15" s="1" customFormat="1" ht="12.95" customHeight="1">
      <c r="A28" s="311"/>
      <c r="B28" s="12"/>
      <c r="C28" s="8"/>
      <c r="D28" s="8"/>
      <c r="E28" s="8"/>
      <c r="F28" s="335">
        <v>821000</v>
      </c>
      <c r="G28" s="361"/>
      <c r="H28" s="8" t="s">
        <v>89</v>
      </c>
      <c r="I28" s="632">
        <f t="shared" ref="I28:N28" si="6">SUM(I29:I30)</f>
        <v>2000</v>
      </c>
      <c r="J28" s="325">
        <f t="shared" si="6"/>
        <v>2000</v>
      </c>
      <c r="K28" s="744">
        <f t="shared" si="6"/>
        <v>0</v>
      </c>
      <c r="L28" s="588">
        <f t="shared" si="6"/>
        <v>2000</v>
      </c>
      <c r="M28" s="325">
        <f t="shared" si="6"/>
        <v>0</v>
      </c>
      <c r="N28" s="726">
        <f t="shared" si="6"/>
        <v>2000</v>
      </c>
      <c r="O28" s="376">
        <f t="shared" si="2"/>
        <v>100</v>
      </c>
    </row>
    <row r="29" spans="1:15" ht="12.95" customHeight="1">
      <c r="B29" s="10"/>
      <c r="C29" s="11"/>
      <c r="D29" s="11"/>
      <c r="E29" s="316"/>
      <c r="F29" s="336">
        <v>821200</v>
      </c>
      <c r="G29" s="362"/>
      <c r="H29" s="11" t="s">
        <v>90</v>
      </c>
      <c r="I29" s="631">
        <v>0</v>
      </c>
      <c r="J29" s="326">
        <v>0</v>
      </c>
      <c r="K29" s="742">
        <v>0</v>
      </c>
      <c r="L29" s="622">
        <v>0</v>
      </c>
      <c r="M29" s="326">
        <v>0</v>
      </c>
      <c r="N29" s="724">
        <f t="shared" ref="N29:N30" si="7">SUM(L29:M29)</f>
        <v>0</v>
      </c>
      <c r="O29" s="377" t="str">
        <f t="shared" si="2"/>
        <v/>
      </c>
    </row>
    <row r="30" spans="1:15" ht="12.95" customHeight="1">
      <c r="B30" s="10"/>
      <c r="C30" s="11"/>
      <c r="D30" s="11"/>
      <c r="E30" s="316"/>
      <c r="F30" s="336">
        <v>821300</v>
      </c>
      <c r="G30" s="362"/>
      <c r="H30" s="11" t="s">
        <v>91</v>
      </c>
      <c r="I30" s="631">
        <v>2000</v>
      </c>
      <c r="J30" s="326">
        <v>2000</v>
      </c>
      <c r="K30" s="742">
        <v>0</v>
      </c>
      <c r="L30" s="622">
        <v>2000</v>
      </c>
      <c r="M30" s="326">
        <v>0</v>
      </c>
      <c r="N30" s="724">
        <f t="shared" si="7"/>
        <v>2000</v>
      </c>
      <c r="O30" s="377">
        <f t="shared" si="2"/>
        <v>100</v>
      </c>
    </row>
    <row r="31" spans="1:15" ht="12.95" customHeight="1">
      <c r="B31" s="10"/>
      <c r="C31" s="11"/>
      <c r="D31" s="11"/>
      <c r="E31" s="316"/>
      <c r="F31" s="336"/>
      <c r="G31" s="362"/>
      <c r="H31" s="11"/>
      <c r="I31" s="777"/>
      <c r="J31" s="321"/>
      <c r="K31" s="779"/>
      <c r="L31" s="621"/>
      <c r="M31" s="321"/>
      <c r="N31" s="725"/>
      <c r="O31" s="377" t="str">
        <f t="shared" si="2"/>
        <v/>
      </c>
    </row>
    <row r="32" spans="1:15" s="1" customFormat="1" ht="12.95" customHeight="1">
      <c r="A32" s="311"/>
      <c r="B32" s="12"/>
      <c r="C32" s="8"/>
      <c r="D32" s="8"/>
      <c r="E32" s="8"/>
      <c r="F32" s="335"/>
      <c r="G32" s="361"/>
      <c r="H32" s="8" t="s">
        <v>92</v>
      </c>
      <c r="I32" s="785" t="s">
        <v>725</v>
      </c>
      <c r="J32" s="308" t="s">
        <v>725</v>
      </c>
      <c r="K32" s="790" t="s">
        <v>899</v>
      </c>
      <c r="L32" s="627" t="s">
        <v>899</v>
      </c>
      <c r="M32" s="308"/>
      <c r="N32" s="727" t="s">
        <v>899</v>
      </c>
      <c r="O32" s="377"/>
    </row>
    <row r="33" spans="1:15" s="1" customFormat="1" ht="12.95" customHeight="1">
      <c r="A33" s="311"/>
      <c r="B33" s="12"/>
      <c r="C33" s="8"/>
      <c r="D33" s="8"/>
      <c r="E33" s="8"/>
      <c r="F33" s="335"/>
      <c r="G33" s="361"/>
      <c r="H33" s="8" t="s">
        <v>110</v>
      </c>
      <c r="I33" s="575">
        <f>I8+I13+I16+I28</f>
        <v>430210</v>
      </c>
      <c r="J33" s="318">
        <f>J8+J13+J16+J28</f>
        <v>430210</v>
      </c>
      <c r="K33" s="575">
        <f t="shared" ref="K33" si="8">K8+K13+K16+K28</f>
        <v>97659</v>
      </c>
      <c r="L33" s="582">
        <f>L8+L13+L16+L28</f>
        <v>406590</v>
      </c>
      <c r="M33" s="318">
        <f>M8+M13+M16+M28</f>
        <v>0</v>
      </c>
      <c r="N33" s="726">
        <f>N8+N13+N16+N28</f>
        <v>406590</v>
      </c>
      <c r="O33" s="376">
        <f t="shared" si="2"/>
        <v>94.509658073963877</v>
      </c>
    </row>
    <row r="34" spans="1:15" s="1" customFormat="1" ht="12.95" customHeight="1">
      <c r="A34" s="311"/>
      <c r="B34" s="12"/>
      <c r="C34" s="8"/>
      <c r="D34" s="8"/>
      <c r="E34" s="8"/>
      <c r="F34" s="335"/>
      <c r="G34" s="361"/>
      <c r="H34" s="8" t="s">
        <v>93</v>
      </c>
      <c r="I34" s="575"/>
      <c r="J34" s="318"/>
      <c r="K34" s="575"/>
      <c r="L34" s="582"/>
      <c r="M34" s="318"/>
      <c r="N34" s="726"/>
      <c r="O34" s="377" t="str">
        <f>IF(J34=0,"",N34/J34*100)</f>
        <v/>
      </c>
    </row>
    <row r="35" spans="1:15" s="1" customFormat="1" ht="12.95" customHeight="1">
      <c r="A35" s="311"/>
      <c r="B35" s="12"/>
      <c r="C35" s="8"/>
      <c r="D35" s="8"/>
      <c r="E35" s="8"/>
      <c r="F35" s="335"/>
      <c r="G35" s="361"/>
      <c r="H35" s="8" t="s">
        <v>94</v>
      </c>
      <c r="I35" s="30"/>
      <c r="J35" s="30"/>
      <c r="K35" s="586"/>
      <c r="L35" s="580"/>
      <c r="M35" s="309"/>
      <c r="N35" s="725"/>
      <c r="O35" s="377" t="str">
        <f t="shared" si="2"/>
        <v/>
      </c>
    </row>
    <row r="36" spans="1:15" ht="12.95" customHeight="1" thickBot="1">
      <c r="B36" s="16"/>
      <c r="C36" s="17"/>
      <c r="D36" s="17"/>
      <c r="E36" s="17"/>
      <c r="F36" s="337"/>
      <c r="G36" s="363"/>
      <c r="H36" s="17"/>
      <c r="I36" s="32"/>
      <c r="J36" s="32"/>
      <c r="K36" s="576"/>
      <c r="L36" s="585"/>
      <c r="M36" s="32"/>
      <c r="N36" s="728"/>
      <c r="O36" s="379"/>
    </row>
    <row r="37" spans="1:15" ht="12.95" customHeight="1">
      <c r="F37" s="338"/>
      <c r="G37" s="364"/>
      <c r="N37" s="425"/>
    </row>
    <row r="38" spans="1:15" ht="12.95" customHeight="1">
      <c r="F38" s="338"/>
      <c r="G38" s="364"/>
      <c r="N38" s="425"/>
    </row>
    <row r="39" spans="1:15" ht="12.95" customHeight="1">
      <c r="B39" s="55"/>
      <c r="F39" s="338"/>
      <c r="G39" s="364"/>
      <c r="N39" s="425"/>
    </row>
    <row r="40" spans="1:15" ht="12.95" customHeight="1">
      <c r="B40" s="55"/>
      <c r="F40" s="338"/>
      <c r="G40" s="364"/>
      <c r="N40" s="425"/>
    </row>
    <row r="41" spans="1:15" ht="12.95" customHeight="1">
      <c r="B41" s="55"/>
      <c r="F41" s="338"/>
      <c r="G41" s="364"/>
      <c r="N41" s="425"/>
    </row>
    <row r="42" spans="1:15" ht="12.95" customHeight="1">
      <c r="B42" s="55"/>
      <c r="F42" s="338"/>
      <c r="G42" s="364"/>
      <c r="N42" s="425"/>
    </row>
    <row r="43" spans="1:15" ht="12.95" customHeight="1">
      <c r="B43" s="55"/>
      <c r="F43" s="338"/>
      <c r="G43" s="364"/>
      <c r="N43" s="425"/>
    </row>
    <row r="44" spans="1:15" ht="12.95" customHeight="1">
      <c r="B44" s="55"/>
      <c r="F44" s="338"/>
      <c r="G44" s="364"/>
      <c r="N44" s="425"/>
    </row>
    <row r="45" spans="1:15" ht="12.95" customHeight="1">
      <c r="B45" s="55"/>
      <c r="F45" s="338"/>
      <c r="G45" s="364"/>
      <c r="N45" s="425"/>
    </row>
    <row r="46" spans="1:15" ht="12.95" customHeight="1">
      <c r="F46" s="338"/>
      <c r="G46" s="364"/>
      <c r="N46" s="425"/>
    </row>
    <row r="47" spans="1:15" ht="12.95" customHeight="1">
      <c r="F47" s="338"/>
      <c r="G47" s="364"/>
      <c r="N47" s="425"/>
    </row>
    <row r="48" spans="1:15" ht="12.95" customHeight="1">
      <c r="F48" s="338"/>
      <c r="G48" s="364"/>
      <c r="N48" s="425"/>
    </row>
    <row r="49" spans="6:14" ht="12.95" customHeight="1">
      <c r="F49" s="338"/>
      <c r="G49" s="364"/>
      <c r="N49" s="425"/>
    </row>
    <row r="50" spans="6:14" ht="12.95" customHeight="1">
      <c r="F50" s="338"/>
      <c r="G50" s="364"/>
      <c r="N50" s="425"/>
    </row>
    <row r="51" spans="6:14" ht="12.95" customHeight="1">
      <c r="F51" s="338"/>
      <c r="G51" s="364"/>
      <c r="N51" s="425"/>
    </row>
    <row r="52" spans="6:14" ht="12.95" customHeight="1">
      <c r="F52" s="338"/>
      <c r="G52" s="364"/>
      <c r="N52" s="425"/>
    </row>
    <row r="53" spans="6:14" ht="12.95" customHeight="1">
      <c r="F53" s="338"/>
      <c r="G53" s="364"/>
      <c r="N53" s="425"/>
    </row>
    <row r="54" spans="6:14" ht="12.95" customHeight="1">
      <c r="F54" s="338"/>
      <c r="G54" s="364"/>
      <c r="N54" s="425"/>
    </row>
    <row r="55" spans="6:14" ht="12.95" customHeight="1">
      <c r="F55" s="338"/>
      <c r="G55" s="364"/>
      <c r="N55" s="425"/>
    </row>
    <row r="56" spans="6:14" ht="12.95" customHeight="1">
      <c r="F56" s="338"/>
      <c r="G56" s="364"/>
      <c r="N56" s="425"/>
    </row>
    <row r="57" spans="6:14" ht="12.95" customHeight="1">
      <c r="F57" s="338"/>
      <c r="G57" s="364"/>
      <c r="N57" s="425"/>
    </row>
    <row r="58" spans="6:14" ht="12.95" customHeight="1">
      <c r="F58" s="338"/>
      <c r="G58" s="364"/>
      <c r="N58" s="425"/>
    </row>
    <row r="59" spans="6:14" ht="12.95" customHeight="1">
      <c r="F59" s="338"/>
      <c r="G59" s="364"/>
      <c r="N59" s="425"/>
    </row>
    <row r="60" spans="6:14" ht="17.100000000000001" customHeight="1">
      <c r="F60" s="338"/>
      <c r="G60" s="364"/>
      <c r="N60" s="425"/>
    </row>
    <row r="61" spans="6:14" ht="14.25">
      <c r="F61" s="338"/>
      <c r="G61" s="364"/>
      <c r="N61" s="425"/>
    </row>
    <row r="62" spans="6:14" ht="14.25">
      <c r="F62" s="338"/>
      <c r="G62" s="364"/>
      <c r="N62" s="425"/>
    </row>
    <row r="63" spans="6:14" ht="14.25">
      <c r="F63" s="338"/>
      <c r="G63" s="364"/>
      <c r="N63" s="425"/>
    </row>
    <row r="64" spans="6:14" ht="14.25">
      <c r="F64" s="338"/>
      <c r="G64" s="364"/>
      <c r="N64" s="425"/>
    </row>
    <row r="65" spans="6:14" ht="14.25">
      <c r="F65" s="338"/>
      <c r="G65" s="364"/>
      <c r="N65" s="425"/>
    </row>
    <row r="66" spans="6:14" ht="14.25">
      <c r="F66" s="338"/>
      <c r="G66" s="364"/>
      <c r="N66" s="425"/>
    </row>
    <row r="67" spans="6:14" ht="14.25">
      <c r="F67" s="338"/>
      <c r="G67" s="364"/>
      <c r="N67" s="425"/>
    </row>
    <row r="68" spans="6:14" ht="14.25">
      <c r="F68" s="338"/>
      <c r="G68" s="364"/>
      <c r="N68" s="425"/>
    </row>
    <row r="69" spans="6:14" ht="14.25">
      <c r="F69" s="338"/>
      <c r="G69" s="364"/>
      <c r="N69" s="425"/>
    </row>
    <row r="70" spans="6:14" ht="14.25">
      <c r="F70" s="338"/>
      <c r="G70" s="364"/>
      <c r="N70" s="425"/>
    </row>
    <row r="71" spans="6:14" ht="14.25">
      <c r="F71" s="338"/>
      <c r="G71" s="364"/>
      <c r="N71" s="425"/>
    </row>
    <row r="72" spans="6:14" ht="14.25">
      <c r="F72" s="338"/>
      <c r="G72" s="364"/>
      <c r="N72" s="425"/>
    </row>
    <row r="73" spans="6:14" ht="14.25">
      <c r="F73" s="338"/>
      <c r="G73" s="364"/>
      <c r="N73" s="425"/>
    </row>
    <row r="74" spans="6:14" ht="14.25">
      <c r="F74" s="338"/>
      <c r="G74" s="338"/>
      <c r="N74" s="425"/>
    </row>
    <row r="75" spans="6:14" ht="14.25">
      <c r="F75" s="338"/>
      <c r="G75" s="338"/>
      <c r="N75" s="425"/>
    </row>
    <row r="76" spans="6:14" ht="14.25">
      <c r="F76" s="338"/>
      <c r="G76" s="338"/>
      <c r="N76" s="425"/>
    </row>
    <row r="77" spans="6:14" ht="14.25">
      <c r="F77" s="338"/>
      <c r="G77" s="338"/>
      <c r="N77" s="425"/>
    </row>
    <row r="78" spans="6:14" ht="14.25">
      <c r="F78" s="338"/>
      <c r="G78" s="338"/>
      <c r="N78" s="425"/>
    </row>
    <row r="79" spans="6:14" ht="14.25">
      <c r="F79" s="338"/>
      <c r="G79" s="338"/>
      <c r="N79" s="425"/>
    </row>
    <row r="80" spans="6:14" ht="14.25">
      <c r="F80" s="338"/>
      <c r="G80" s="338"/>
      <c r="N80" s="425"/>
    </row>
    <row r="81" spans="6:14" ht="14.25">
      <c r="F81" s="338"/>
      <c r="G81" s="338"/>
      <c r="N81" s="425"/>
    </row>
    <row r="82" spans="6:14" ht="14.25">
      <c r="F82" s="338"/>
      <c r="G82" s="338"/>
      <c r="N82" s="425"/>
    </row>
    <row r="83" spans="6:14" ht="14.25">
      <c r="F83" s="338"/>
      <c r="G83" s="338"/>
      <c r="N83" s="425"/>
    </row>
    <row r="84" spans="6:14" ht="14.25">
      <c r="F84" s="338"/>
      <c r="G84" s="338"/>
      <c r="N84" s="425"/>
    </row>
    <row r="85" spans="6:14" ht="14.25">
      <c r="F85" s="338"/>
      <c r="G85" s="338"/>
      <c r="N85" s="425"/>
    </row>
    <row r="86" spans="6:14" ht="14.25">
      <c r="F86" s="338"/>
      <c r="G86" s="338"/>
      <c r="N86" s="425"/>
    </row>
    <row r="87" spans="6:14" ht="14.25">
      <c r="F87" s="338"/>
      <c r="G87" s="338"/>
      <c r="N87" s="425"/>
    </row>
    <row r="88" spans="6:14" ht="14.25">
      <c r="F88" s="338"/>
      <c r="G88" s="338"/>
      <c r="N88" s="425"/>
    </row>
    <row r="89" spans="6:14" ht="14.25">
      <c r="F89" s="338"/>
      <c r="G89" s="338"/>
      <c r="N89" s="425"/>
    </row>
    <row r="90" spans="6:14" ht="14.25">
      <c r="F90" s="338"/>
      <c r="G90" s="338"/>
      <c r="N90" s="425"/>
    </row>
    <row r="91" spans="6:14">
      <c r="G91" s="338"/>
    </row>
    <row r="92" spans="6:14">
      <c r="G92" s="338"/>
    </row>
    <row r="93" spans="6:14">
      <c r="G93" s="338"/>
    </row>
    <row r="94" spans="6:14">
      <c r="G94" s="338"/>
    </row>
    <row r="95" spans="6:14">
      <c r="G95" s="338"/>
    </row>
    <row r="96" spans="6:14">
      <c r="G96" s="338"/>
    </row>
  </sheetData>
  <mergeCells count="14">
    <mergeCell ref="B2:O2"/>
    <mergeCell ref="O4:O5"/>
    <mergeCell ref="H4:H5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K4:K5"/>
    <mergeCell ref="E4:E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32"/>
  <dimension ref="A1:Q96"/>
  <sheetViews>
    <sheetView zoomScaleNormal="100" workbookViewId="0">
      <selection activeCell="R19" sqref="R19"/>
    </sheetView>
  </sheetViews>
  <sheetFormatPr defaultRowHeight="12.75"/>
  <cols>
    <col min="1" max="1" width="9.140625" style="314"/>
    <col min="2" max="2" width="4.7109375" style="9" customWidth="1"/>
    <col min="3" max="3" width="5.140625" style="9" customWidth="1"/>
    <col min="4" max="4" width="5" style="9" customWidth="1"/>
    <col min="5" max="5" width="5" style="314" customWidth="1"/>
    <col min="6" max="6" width="8.7109375" style="18" customWidth="1"/>
    <col min="7" max="7" width="8.7109375" style="319" customWidth="1"/>
    <col min="8" max="8" width="50.7109375" style="9" customWidth="1"/>
    <col min="9" max="13" width="14.7109375" style="63" customWidth="1"/>
    <col min="14" max="14" width="15.7109375" style="63" customWidth="1"/>
    <col min="15" max="15" width="7.7109375" style="380" customWidth="1"/>
    <col min="16" max="16384" width="9.140625" style="9"/>
  </cols>
  <sheetData>
    <row r="1" spans="1:17" ht="13.5" thickBot="1"/>
    <row r="2" spans="1:17" s="113" customFormat="1" ht="20.100000000000001" customHeight="1" thickTop="1" thickBot="1">
      <c r="A2" s="408"/>
      <c r="B2" s="887" t="s">
        <v>807</v>
      </c>
      <c r="C2" s="888"/>
      <c r="D2" s="888"/>
      <c r="E2" s="888"/>
      <c r="F2" s="888"/>
      <c r="G2" s="888"/>
      <c r="H2" s="888"/>
      <c r="I2" s="888"/>
      <c r="J2" s="921"/>
      <c r="K2" s="921"/>
      <c r="L2" s="921"/>
      <c r="M2" s="921"/>
      <c r="N2" s="921"/>
      <c r="O2" s="922"/>
      <c r="Q2" s="408"/>
    </row>
    <row r="3" spans="1:17" s="1" customFormat="1" ht="8.1" customHeight="1" thickTop="1" thickBot="1">
      <c r="A3" s="311"/>
      <c r="E3" s="311"/>
      <c r="F3" s="2"/>
      <c r="G3" s="312"/>
      <c r="H3" s="890"/>
      <c r="I3" s="890"/>
      <c r="J3" s="282"/>
      <c r="K3" s="282"/>
      <c r="L3" s="107"/>
      <c r="M3" s="107"/>
      <c r="N3" s="107"/>
      <c r="O3" s="374"/>
    </row>
    <row r="4" spans="1:17" s="1" customFormat="1" ht="39" customHeight="1">
      <c r="A4" s="311"/>
      <c r="B4" s="894" t="s">
        <v>77</v>
      </c>
      <c r="C4" s="909" t="s">
        <v>78</v>
      </c>
      <c r="D4" s="910" t="s">
        <v>107</v>
      </c>
      <c r="E4" s="916" t="s">
        <v>828</v>
      </c>
      <c r="F4" s="911" t="s">
        <v>517</v>
      </c>
      <c r="G4" s="899" t="s">
        <v>556</v>
      </c>
      <c r="H4" s="900" t="s">
        <v>79</v>
      </c>
      <c r="I4" s="912" t="s">
        <v>697</v>
      </c>
      <c r="J4" s="913" t="s">
        <v>862</v>
      </c>
      <c r="K4" s="917" t="s">
        <v>863</v>
      </c>
      <c r="L4" s="908" t="s">
        <v>865</v>
      </c>
      <c r="M4" s="892"/>
      <c r="N4" s="924"/>
      <c r="O4" s="923" t="s">
        <v>866</v>
      </c>
      <c r="Q4" s="81"/>
    </row>
    <row r="5" spans="1:17" s="311" customFormat="1" ht="27" customHeight="1">
      <c r="B5" s="895"/>
      <c r="C5" s="897"/>
      <c r="D5" s="897"/>
      <c r="E5" s="897"/>
      <c r="F5" s="901"/>
      <c r="G5" s="897"/>
      <c r="H5" s="901"/>
      <c r="I5" s="901"/>
      <c r="J5" s="901"/>
      <c r="K5" s="905"/>
      <c r="L5" s="587" t="s">
        <v>601</v>
      </c>
      <c r="M5" s="404" t="s">
        <v>602</v>
      </c>
      <c r="N5" s="415" t="s">
        <v>349</v>
      </c>
      <c r="O5" s="915"/>
    </row>
    <row r="6" spans="1:17" s="2" customFormat="1" ht="12.95" customHeight="1">
      <c r="A6" s="312"/>
      <c r="B6" s="525">
        <v>1</v>
      </c>
      <c r="C6" s="361">
        <v>2</v>
      </c>
      <c r="D6" s="361">
        <v>3</v>
      </c>
      <c r="E6" s="361">
        <v>4</v>
      </c>
      <c r="F6" s="361">
        <v>5</v>
      </c>
      <c r="G6" s="361">
        <v>6</v>
      </c>
      <c r="H6" s="361">
        <v>7</v>
      </c>
      <c r="I6" s="361">
        <v>8</v>
      </c>
      <c r="J6" s="361">
        <v>9</v>
      </c>
      <c r="K6" s="526">
        <v>10</v>
      </c>
      <c r="L6" s="525">
        <v>11</v>
      </c>
      <c r="M6" s="361">
        <v>12</v>
      </c>
      <c r="N6" s="541" t="s">
        <v>830</v>
      </c>
      <c r="O6" s="527">
        <v>14</v>
      </c>
    </row>
    <row r="7" spans="1:17" s="2" customFormat="1" ht="12.95" customHeight="1">
      <c r="A7" s="312"/>
      <c r="B7" s="6" t="s">
        <v>131</v>
      </c>
      <c r="C7" s="7" t="s">
        <v>132</v>
      </c>
      <c r="D7" s="7" t="s">
        <v>135</v>
      </c>
      <c r="E7" s="667" t="s">
        <v>847</v>
      </c>
      <c r="F7" s="5"/>
      <c r="G7" s="313"/>
      <c r="H7" s="5"/>
      <c r="I7" s="592"/>
      <c r="J7" s="100"/>
      <c r="K7" s="592"/>
      <c r="L7" s="619"/>
      <c r="M7" s="100"/>
      <c r="N7" s="424"/>
      <c r="O7" s="375"/>
    </row>
    <row r="8" spans="1:17" s="1" customFormat="1" ht="12.95" customHeight="1">
      <c r="A8" s="311"/>
      <c r="B8" s="12"/>
      <c r="C8" s="8"/>
      <c r="D8" s="8"/>
      <c r="E8" s="8"/>
      <c r="F8" s="335">
        <v>611000</v>
      </c>
      <c r="G8" s="361"/>
      <c r="H8" s="8" t="s">
        <v>146</v>
      </c>
      <c r="I8" s="738">
        <f t="shared" ref="I8:N8" si="0">SUM(I9:I11)</f>
        <v>561640</v>
      </c>
      <c r="J8" s="236">
        <f t="shared" si="0"/>
        <v>561640</v>
      </c>
      <c r="K8" s="744">
        <f t="shared" si="0"/>
        <v>127364</v>
      </c>
      <c r="L8" s="578">
        <f t="shared" si="0"/>
        <v>539750</v>
      </c>
      <c r="M8" s="236">
        <f t="shared" si="0"/>
        <v>0</v>
      </c>
      <c r="N8" s="416">
        <f t="shared" si="0"/>
        <v>539750</v>
      </c>
      <c r="O8" s="376">
        <f>IF(J8=0,"",N8/J8*100)</f>
        <v>96.10248557795029</v>
      </c>
    </row>
    <row r="9" spans="1:17" ht="12.95" customHeight="1">
      <c r="B9" s="10"/>
      <c r="C9" s="11"/>
      <c r="D9" s="11"/>
      <c r="E9" s="316"/>
      <c r="F9" s="336">
        <v>611100</v>
      </c>
      <c r="G9" s="362"/>
      <c r="H9" s="20" t="s">
        <v>174</v>
      </c>
      <c r="I9" s="784">
        <f>453350+1500+11340-3100</f>
        <v>463090</v>
      </c>
      <c r="J9" s="238">
        <f>453350+1500+11340-3100</f>
        <v>463090</v>
      </c>
      <c r="K9" s="742">
        <v>108567</v>
      </c>
      <c r="L9" s="626">
        <f>435210+1000</f>
        <v>436210</v>
      </c>
      <c r="M9" s="238">
        <v>0</v>
      </c>
      <c r="N9" s="417">
        <f>SUM(L9:M9)</f>
        <v>436210</v>
      </c>
      <c r="O9" s="377">
        <f>IF(J9=0,"",N9/J9*100)</f>
        <v>94.195512751301052</v>
      </c>
    </row>
    <row r="10" spans="1:17" ht="12.95" customHeight="1">
      <c r="B10" s="10"/>
      <c r="C10" s="11"/>
      <c r="D10" s="11"/>
      <c r="E10" s="316"/>
      <c r="F10" s="336">
        <v>611200</v>
      </c>
      <c r="G10" s="362"/>
      <c r="H10" s="11" t="s">
        <v>175</v>
      </c>
      <c r="I10" s="784">
        <f>97770+1500-720</f>
        <v>98550</v>
      </c>
      <c r="J10" s="238">
        <f>97770+1500-720</f>
        <v>98550</v>
      </c>
      <c r="K10" s="742">
        <v>18797</v>
      </c>
      <c r="L10" s="626">
        <f>95120+1000+2*2790+1840</f>
        <v>103540</v>
      </c>
      <c r="M10" s="238">
        <v>0</v>
      </c>
      <c r="N10" s="417">
        <f t="shared" ref="N10:N11" si="1">SUM(L10:M10)</f>
        <v>103540</v>
      </c>
      <c r="O10" s="377">
        <f t="shared" ref="O10:O35" si="2">IF(J10=0,"",N10/J10*100)</f>
        <v>105.06341958396752</v>
      </c>
    </row>
    <row r="11" spans="1:17" ht="12.95" customHeight="1">
      <c r="B11" s="10"/>
      <c r="C11" s="11"/>
      <c r="D11" s="11"/>
      <c r="E11" s="316"/>
      <c r="F11" s="336">
        <v>611200</v>
      </c>
      <c r="G11" s="362"/>
      <c r="H11" s="210" t="s">
        <v>464</v>
      </c>
      <c r="I11" s="739">
        <v>0</v>
      </c>
      <c r="J11" s="235">
        <v>0</v>
      </c>
      <c r="K11" s="741">
        <v>0</v>
      </c>
      <c r="L11" s="579">
        <v>0</v>
      </c>
      <c r="M11" s="235">
        <v>0</v>
      </c>
      <c r="N11" s="417">
        <f t="shared" si="1"/>
        <v>0</v>
      </c>
      <c r="O11" s="377" t="str">
        <f t="shared" si="2"/>
        <v/>
      </c>
      <c r="Q11" s="62"/>
    </row>
    <row r="12" spans="1:17" ht="12.95" customHeight="1">
      <c r="B12" s="10"/>
      <c r="C12" s="11"/>
      <c r="D12" s="11"/>
      <c r="E12" s="316"/>
      <c r="F12" s="336"/>
      <c r="G12" s="362"/>
      <c r="H12" s="11"/>
      <c r="I12" s="738"/>
      <c r="J12" s="236"/>
      <c r="K12" s="744"/>
      <c r="L12" s="578"/>
      <c r="M12" s="236"/>
      <c r="N12" s="416"/>
      <c r="O12" s="377" t="str">
        <f t="shared" si="2"/>
        <v/>
      </c>
    </row>
    <row r="13" spans="1:17" s="1" customFormat="1" ht="12.95" customHeight="1">
      <c r="A13" s="311"/>
      <c r="B13" s="12"/>
      <c r="C13" s="8"/>
      <c r="D13" s="8"/>
      <c r="E13" s="8"/>
      <c r="F13" s="335">
        <v>612000</v>
      </c>
      <c r="G13" s="361"/>
      <c r="H13" s="8" t="s">
        <v>145</v>
      </c>
      <c r="I13" s="738">
        <f t="shared" ref="I13:N13" si="3">I14</f>
        <v>49580</v>
      </c>
      <c r="J13" s="236">
        <f t="shared" si="3"/>
        <v>49580</v>
      </c>
      <c r="K13" s="744">
        <f t="shared" si="3"/>
        <v>11479</v>
      </c>
      <c r="L13" s="578">
        <f t="shared" si="3"/>
        <v>46450</v>
      </c>
      <c r="M13" s="236">
        <f t="shared" si="3"/>
        <v>0</v>
      </c>
      <c r="N13" s="416">
        <f t="shared" si="3"/>
        <v>46450</v>
      </c>
      <c r="O13" s="376">
        <f t="shared" si="2"/>
        <v>93.686970552642194</v>
      </c>
    </row>
    <row r="14" spans="1:17" ht="12.95" customHeight="1">
      <c r="B14" s="10"/>
      <c r="C14" s="11"/>
      <c r="D14" s="11"/>
      <c r="E14" s="316"/>
      <c r="F14" s="336">
        <v>612100</v>
      </c>
      <c r="G14" s="362"/>
      <c r="H14" s="13" t="s">
        <v>82</v>
      </c>
      <c r="I14" s="784">
        <f>48120+600+1200-340</f>
        <v>49580</v>
      </c>
      <c r="J14" s="238">
        <f>48120+600+1200-340</f>
        <v>49580</v>
      </c>
      <c r="K14" s="742">
        <v>11479</v>
      </c>
      <c r="L14" s="626">
        <f>46050+400</f>
        <v>46450</v>
      </c>
      <c r="M14" s="238">
        <v>0</v>
      </c>
      <c r="N14" s="417">
        <f>SUM(L14:M14)</f>
        <v>46450</v>
      </c>
      <c r="O14" s="377">
        <f t="shared" si="2"/>
        <v>93.686970552642194</v>
      </c>
    </row>
    <row r="15" spans="1:17" ht="12.95" customHeight="1">
      <c r="B15" s="10"/>
      <c r="C15" s="11"/>
      <c r="D15" s="11"/>
      <c r="E15" s="316"/>
      <c r="F15" s="336"/>
      <c r="G15" s="362"/>
      <c r="H15" s="11"/>
      <c r="I15" s="575"/>
      <c r="J15" s="318"/>
      <c r="K15" s="745"/>
      <c r="L15" s="582"/>
      <c r="M15" s="318"/>
      <c r="N15" s="419"/>
      <c r="O15" s="377" t="str">
        <f t="shared" si="2"/>
        <v/>
      </c>
    </row>
    <row r="16" spans="1:17" s="1" customFormat="1" ht="12.95" customHeight="1">
      <c r="A16" s="311"/>
      <c r="B16" s="12"/>
      <c r="C16" s="8"/>
      <c r="D16" s="8"/>
      <c r="E16" s="8"/>
      <c r="F16" s="335">
        <v>613000</v>
      </c>
      <c r="G16" s="361"/>
      <c r="H16" s="8" t="s">
        <v>147</v>
      </c>
      <c r="I16" s="778">
        <f t="shared" ref="I16:N16" si="4">SUM(I17:I26)</f>
        <v>65400</v>
      </c>
      <c r="J16" s="323">
        <f t="shared" si="4"/>
        <v>65400</v>
      </c>
      <c r="K16" s="783">
        <f t="shared" si="4"/>
        <v>14301</v>
      </c>
      <c r="L16" s="581">
        <f t="shared" si="4"/>
        <v>55240</v>
      </c>
      <c r="M16" s="323">
        <f t="shared" si="4"/>
        <v>0</v>
      </c>
      <c r="N16" s="419">
        <f t="shared" si="4"/>
        <v>55240</v>
      </c>
      <c r="O16" s="376">
        <f t="shared" si="2"/>
        <v>84.464831804281346</v>
      </c>
    </row>
    <row r="17" spans="1:15" ht="12.95" customHeight="1">
      <c r="B17" s="10"/>
      <c r="C17" s="11"/>
      <c r="D17" s="11"/>
      <c r="E17" s="316"/>
      <c r="F17" s="336">
        <v>613100</v>
      </c>
      <c r="G17" s="362"/>
      <c r="H17" s="11" t="s">
        <v>83</v>
      </c>
      <c r="I17" s="779">
        <v>4000</v>
      </c>
      <c r="J17" s="395">
        <v>4000</v>
      </c>
      <c r="K17" s="779">
        <v>590</v>
      </c>
      <c r="L17" s="571">
        <v>3000</v>
      </c>
      <c r="M17" s="395">
        <v>0</v>
      </c>
      <c r="N17" s="417">
        <f t="shared" ref="N17:N26" si="5">SUM(L17:M17)</f>
        <v>3000</v>
      </c>
      <c r="O17" s="377">
        <f t="shared" si="2"/>
        <v>75</v>
      </c>
    </row>
    <row r="18" spans="1:15" ht="12.95" customHeight="1">
      <c r="B18" s="10"/>
      <c r="C18" s="11"/>
      <c r="D18" s="11"/>
      <c r="E18" s="316"/>
      <c r="F18" s="336">
        <v>613200</v>
      </c>
      <c r="G18" s="362"/>
      <c r="H18" s="11" t="s">
        <v>84</v>
      </c>
      <c r="I18" s="779">
        <v>30500</v>
      </c>
      <c r="J18" s="395">
        <v>30500</v>
      </c>
      <c r="K18" s="779">
        <v>10391</v>
      </c>
      <c r="L18" s="571">
        <v>25500</v>
      </c>
      <c r="M18" s="395">
        <v>0</v>
      </c>
      <c r="N18" s="417">
        <f t="shared" si="5"/>
        <v>25500</v>
      </c>
      <c r="O18" s="377">
        <f t="shared" si="2"/>
        <v>83.606557377049185</v>
      </c>
    </row>
    <row r="19" spans="1:15" ht="12.95" customHeight="1">
      <c r="B19" s="10"/>
      <c r="C19" s="11"/>
      <c r="D19" s="11"/>
      <c r="E19" s="316"/>
      <c r="F19" s="336">
        <v>613300</v>
      </c>
      <c r="G19" s="362"/>
      <c r="H19" s="20" t="s">
        <v>176</v>
      </c>
      <c r="I19" s="779">
        <v>2400</v>
      </c>
      <c r="J19" s="395">
        <v>2400</v>
      </c>
      <c r="K19" s="779">
        <v>448</v>
      </c>
      <c r="L19" s="571">
        <v>2400</v>
      </c>
      <c r="M19" s="395">
        <v>0</v>
      </c>
      <c r="N19" s="417">
        <f t="shared" si="5"/>
        <v>2400</v>
      </c>
      <c r="O19" s="377">
        <f t="shared" si="2"/>
        <v>100</v>
      </c>
    </row>
    <row r="20" spans="1:15" ht="12.95" customHeight="1">
      <c r="B20" s="10"/>
      <c r="C20" s="11"/>
      <c r="D20" s="11"/>
      <c r="E20" s="316"/>
      <c r="F20" s="336">
        <v>613400</v>
      </c>
      <c r="G20" s="362"/>
      <c r="H20" s="11" t="s">
        <v>148</v>
      </c>
      <c r="I20" s="742">
        <v>9000</v>
      </c>
      <c r="J20" s="397">
        <v>9000</v>
      </c>
      <c r="K20" s="742">
        <v>1496</v>
      </c>
      <c r="L20" s="571">
        <v>7500</v>
      </c>
      <c r="M20" s="397">
        <v>0</v>
      </c>
      <c r="N20" s="417">
        <f t="shared" si="5"/>
        <v>7500</v>
      </c>
      <c r="O20" s="377">
        <f t="shared" si="2"/>
        <v>83.333333333333343</v>
      </c>
    </row>
    <row r="21" spans="1:15" ht="12.95" customHeight="1">
      <c r="B21" s="10"/>
      <c r="C21" s="11"/>
      <c r="D21" s="11"/>
      <c r="E21" s="316"/>
      <c r="F21" s="336">
        <v>613500</v>
      </c>
      <c r="G21" s="362"/>
      <c r="H21" s="11" t="s">
        <v>85</v>
      </c>
      <c r="I21" s="742">
        <v>1000</v>
      </c>
      <c r="J21" s="397">
        <v>1000</v>
      </c>
      <c r="K21" s="742">
        <v>0</v>
      </c>
      <c r="L21" s="571">
        <v>600</v>
      </c>
      <c r="M21" s="397">
        <v>0</v>
      </c>
      <c r="N21" s="417">
        <f t="shared" si="5"/>
        <v>600</v>
      </c>
      <c r="O21" s="377">
        <f t="shared" si="2"/>
        <v>60</v>
      </c>
    </row>
    <row r="22" spans="1:15" ht="12.95" customHeight="1">
      <c r="B22" s="10"/>
      <c r="C22" s="11"/>
      <c r="D22" s="11"/>
      <c r="E22" s="316"/>
      <c r="F22" s="336">
        <v>613600</v>
      </c>
      <c r="G22" s="362"/>
      <c r="H22" s="20" t="s">
        <v>177</v>
      </c>
      <c r="I22" s="742">
        <v>0</v>
      </c>
      <c r="J22" s="397">
        <v>0</v>
      </c>
      <c r="K22" s="742">
        <v>0</v>
      </c>
      <c r="L22" s="571">
        <v>0</v>
      </c>
      <c r="M22" s="397">
        <v>0</v>
      </c>
      <c r="N22" s="417">
        <f t="shared" si="5"/>
        <v>0</v>
      </c>
      <c r="O22" s="377" t="str">
        <f t="shared" si="2"/>
        <v/>
      </c>
    </row>
    <row r="23" spans="1:15" ht="12.95" customHeight="1">
      <c r="B23" s="10"/>
      <c r="C23" s="11"/>
      <c r="D23" s="11"/>
      <c r="E23" s="316"/>
      <c r="F23" s="336">
        <v>613700</v>
      </c>
      <c r="G23" s="362"/>
      <c r="H23" s="11" t="s">
        <v>86</v>
      </c>
      <c r="I23" s="742">
        <f>8500+2500</f>
        <v>11000</v>
      </c>
      <c r="J23" s="397">
        <f>8500+2500</f>
        <v>11000</v>
      </c>
      <c r="K23" s="742">
        <v>625</v>
      </c>
      <c r="L23" s="571">
        <v>9000</v>
      </c>
      <c r="M23" s="397">
        <v>0</v>
      </c>
      <c r="N23" s="417">
        <f t="shared" si="5"/>
        <v>9000</v>
      </c>
      <c r="O23" s="377">
        <f t="shared" si="2"/>
        <v>81.818181818181827</v>
      </c>
    </row>
    <row r="24" spans="1:15" ht="12.95" customHeight="1">
      <c r="B24" s="10"/>
      <c r="C24" s="11"/>
      <c r="D24" s="11"/>
      <c r="E24" s="316"/>
      <c r="F24" s="336">
        <v>613800</v>
      </c>
      <c r="G24" s="362"/>
      <c r="H24" s="11" t="s">
        <v>149</v>
      </c>
      <c r="I24" s="742">
        <v>0</v>
      </c>
      <c r="J24" s="397">
        <v>0</v>
      </c>
      <c r="K24" s="742">
        <v>0</v>
      </c>
      <c r="L24" s="571">
        <v>0</v>
      </c>
      <c r="M24" s="397">
        <v>0</v>
      </c>
      <c r="N24" s="417">
        <f t="shared" si="5"/>
        <v>0</v>
      </c>
      <c r="O24" s="377" t="str">
        <f t="shared" si="2"/>
        <v/>
      </c>
    </row>
    <row r="25" spans="1:15" ht="12.95" customHeight="1">
      <c r="B25" s="10"/>
      <c r="C25" s="11"/>
      <c r="D25" s="11"/>
      <c r="E25" s="316"/>
      <c r="F25" s="336">
        <v>613900</v>
      </c>
      <c r="G25" s="362"/>
      <c r="H25" s="11" t="s">
        <v>150</v>
      </c>
      <c r="I25" s="742">
        <v>7500</v>
      </c>
      <c r="J25" s="397">
        <v>7500</v>
      </c>
      <c r="K25" s="742">
        <v>751</v>
      </c>
      <c r="L25" s="571">
        <f>7500-260</f>
        <v>7240</v>
      </c>
      <c r="M25" s="397">
        <v>0</v>
      </c>
      <c r="N25" s="417">
        <f t="shared" si="5"/>
        <v>7240</v>
      </c>
      <c r="O25" s="377">
        <f t="shared" si="2"/>
        <v>96.533333333333331</v>
      </c>
    </row>
    <row r="26" spans="1:15" ht="12.95" customHeight="1">
      <c r="B26" s="10"/>
      <c r="C26" s="11"/>
      <c r="D26" s="11"/>
      <c r="E26" s="316"/>
      <c r="F26" s="336">
        <v>613900</v>
      </c>
      <c r="G26" s="362"/>
      <c r="H26" s="210" t="s">
        <v>465</v>
      </c>
      <c r="I26" s="742">
        <v>0</v>
      </c>
      <c r="J26" s="397">
        <v>0</v>
      </c>
      <c r="K26" s="742">
        <v>0</v>
      </c>
      <c r="L26" s="571">
        <v>0</v>
      </c>
      <c r="M26" s="397">
        <v>0</v>
      </c>
      <c r="N26" s="417">
        <f t="shared" si="5"/>
        <v>0</v>
      </c>
      <c r="O26" s="377" t="str">
        <f t="shared" si="2"/>
        <v/>
      </c>
    </row>
    <row r="27" spans="1:15" s="1" customFormat="1" ht="12.95" customHeight="1">
      <c r="A27" s="311"/>
      <c r="B27" s="12"/>
      <c r="C27" s="8"/>
      <c r="D27" s="8"/>
      <c r="E27" s="8"/>
      <c r="F27" s="335"/>
      <c r="G27" s="361"/>
      <c r="H27" s="8"/>
      <c r="I27" s="631"/>
      <c r="J27" s="326"/>
      <c r="K27" s="742"/>
      <c r="L27" s="622"/>
      <c r="M27" s="326"/>
      <c r="N27" s="418"/>
      <c r="O27" s="377" t="str">
        <f t="shared" si="2"/>
        <v/>
      </c>
    </row>
    <row r="28" spans="1:15" s="1" customFormat="1" ht="12.95" customHeight="1">
      <c r="A28" s="311"/>
      <c r="B28" s="12"/>
      <c r="C28" s="8"/>
      <c r="D28" s="8"/>
      <c r="E28" s="8"/>
      <c r="F28" s="335">
        <v>821000</v>
      </c>
      <c r="G28" s="361"/>
      <c r="H28" s="8" t="s">
        <v>89</v>
      </c>
      <c r="I28" s="632">
        <f t="shared" ref="I28:N28" si="6">SUM(I29:I31)</f>
        <v>3000</v>
      </c>
      <c r="J28" s="325">
        <f t="shared" si="6"/>
        <v>3000</v>
      </c>
      <c r="K28" s="744">
        <f t="shared" si="6"/>
        <v>0</v>
      </c>
      <c r="L28" s="588">
        <f t="shared" si="6"/>
        <v>3000</v>
      </c>
      <c r="M28" s="325">
        <f t="shared" si="6"/>
        <v>0</v>
      </c>
      <c r="N28" s="419">
        <f t="shared" si="6"/>
        <v>3000</v>
      </c>
      <c r="O28" s="376">
        <f t="shared" si="2"/>
        <v>100</v>
      </c>
    </row>
    <row r="29" spans="1:15" ht="12.95" customHeight="1">
      <c r="B29" s="10"/>
      <c r="C29" s="11"/>
      <c r="D29" s="11"/>
      <c r="E29" s="316"/>
      <c r="F29" s="336">
        <v>821200</v>
      </c>
      <c r="G29" s="362"/>
      <c r="H29" s="11" t="s">
        <v>90</v>
      </c>
      <c r="I29" s="631">
        <v>0</v>
      </c>
      <c r="J29" s="326">
        <v>0</v>
      </c>
      <c r="K29" s="742">
        <v>0</v>
      </c>
      <c r="L29" s="622">
        <v>0</v>
      </c>
      <c r="M29" s="326">
        <v>0</v>
      </c>
      <c r="N29" s="417">
        <f t="shared" ref="N29:N30" si="7">SUM(L29:M29)</f>
        <v>0</v>
      </c>
      <c r="O29" s="377" t="str">
        <f t="shared" si="2"/>
        <v/>
      </c>
    </row>
    <row r="30" spans="1:15" ht="12.95" customHeight="1">
      <c r="B30" s="10"/>
      <c r="C30" s="11"/>
      <c r="D30" s="11"/>
      <c r="E30" s="316"/>
      <c r="F30" s="336">
        <v>821300</v>
      </c>
      <c r="G30" s="362"/>
      <c r="H30" s="11" t="s">
        <v>91</v>
      </c>
      <c r="I30" s="631">
        <v>3000</v>
      </c>
      <c r="J30" s="326">
        <v>3000</v>
      </c>
      <c r="K30" s="742">
        <v>0</v>
      </c>
      <c r="L30" s="622">
        <v>3000</v>
      </c>
      <c r="M30" s="326">
        <v>0</v>
      </c>
      <c r="N30" s="417">
        <f t="shared" si="7"/>
        <v>3000</v>
      </c>
      <c r="O30" s="377">
        <f t="shared" si="2"/>
        <v>100</v>
      </c>
    </row>
    <row r="31" spans="1:15" ht="12.95" customHeight="1">
      <c r="B31" s="10"/>
      <c r="C31" s="11"/>
      <c r="D31" s="11"/>
      <c r="E31" s="316"/>
      <c r="F31" s="336"/>
      <c r="G31" s="362"/>
      <c r="H31" s="20"/>
      <c r="I31" s="631"/>
      <c r="J31" s="326"/>
      <c r="K31" s="742"/>
      <c r="L31" s="622"/>
      <c r="M31" s="326"/>
      <c r="N31" s="418"/>
      <c r="O31" s="377" t="str">
        <f t="shared" si="2"/>
        <v/>
      </c>
    </row>
    <row r="32" spans="1:15" s="1" customFormat="1" ht="12.95" customHeight="1">
      <c r="A32" s="311"/>
      <c r="B32" s="12"/>
      <c r="C32" s="8"/>
      <c r="D32" s="8"/>
      <c r="E32" s="8"/>
      <c r="F32" s="335"/>
      <c r="G32" s="361"/>
      <c r="H32" s="8" t="s">
        <v>92</v>
      </c>
      <c r="I32" s="785" t="s">
        <v>474</v>
      </c>
      <c r="J32" s="308" t="s">
        <v>474</v>
      </c>
      <c r="K32" s="790" t="s">
        <v>519</v>
      </c>
      <c r="L32" s="627" t="s">
        <v>519</v>
      </c>
      <c r="M32" s="308"/>
      <c r="N32" s="421" t="s">
        <v>519</v>
      </c>
      <c r="O32" s="377"/>
    </row>
    <row r="33" spans="1:15" s="1" customFormat="1" ht="12.95" customHeight="1">
      <c r="A33" s="311"/>
      <c r="B33" s="12"/>
      <c r="C33" s="8"/>
      <c r="D33" s="8"/>
      <c r="E33" s="8"/>
      <c r="F33" s="335"/>
      <c r="G33" s="361"/>
      <c r="H33" s="8" t="s">
        <v>110</v>
      </c>
      <c r="I33" s="575">
        <f>I8+I13+I16+I28</f>
        <v>679620</v>
      </c>
      <c r="J33" s="318">
        <f>J8+J13+J16+J28</f>
        <v>679620</v>
      </c>
      <c r="K33" s="575">
        <f t="shared" ref="K33" si="8">K8+K13+K16+K28</f>
        <v>153144</v>
      </c>
      <c r="L33" s="582">
        <f>L8+L13+L16+L28</f>
        <v>644440</v>
      </c>
      <c r="M33" s="318">
        <f>M8+M13+M16+M28</f>
        <v>0</v>
      </c>
      <c r="N33" s="419">
        <f>N8+N13+N16+N28</f>
        <v>644440</v>
      </c>
      <c r="O33" s="376">
        <f t="shared" si="2"/>
        <v>94.823577881757444</v>
      </c>
    </row>
    <row r="34" spans="1:15" s="1" customFormat="1" ht="12.95" customHeight="1">
      <c r="A34" s="311"/>
      <c r="B34" s="12"/>
      <c r="C34" s="8"/>
      <c r="D34" s="8"/>
      <c r="E34" s="8"/>
      <c r="F34" s="335"/>
      <c r="G34" s="361"/>
      <c r="H34" s="8" t="s">
        <v>93</v>
      </c>
      <c r="I34" s="575">
        <f>I33+'29'!I33+'28'!I33+'27'!I33+'26'!I33+'25'!I33+'24'!I33</f>
        <v>7880330</v>
      </c>
      <c r="J34" s="318">
        <f>J33+'29'!J33+'28'!J33+'27'!J33+'26'!J33+'25'!J33+'24'!J33</f>
        <v>7880330</v>
      </c>
      <c r="K34" s="575">
        <f>K33+'29'!K33+'28'!K33+'27'!K33+'26'!K33+'25'!K33+'24'!K33</f>
        <v>1874718</v>
      </c>
      <c r="L34" s="582">
        <f>L33+'29'!L33+'28'!L33+'27'!L33+'26'!L33+'25'!L33+'24'!L33</f>
        <v>7625270</v>
      </c>
      <c r="M34" s="318">
        <f>M33+'29'!M33+'28'!M33+'27'!M33+'26'!M33+'25'!M33+'24'!M33</f>
        <v>0</v>
      </c>
      <c r="N34" s="419">
        <f>N33+'29'!N33+'28'!N33+'27'!N33+'26'!N33+'25'!N33+'24'!N33</f>
        <v>7625270</v>
      </c>
      <c r="O34" s="376">
        <f>IF(J34=0,"",N34/J34*100)</f>
        <v>96.763333515220808</v>
      </c>
    </row>
    <row r="35" spans="1:15" s="1" customFormat="1" ht="12.95" customHeight="1">
      <c r="A35" s="311"/>
      <c r="B35" s="12"/>
      <c r="C35" s="8"/>
      <c r="D35" s="8"/>
      <c r="E35" s="8"/>
      <c r="F35" s="335"/>
      <c r="G35" s="361"/>
      <c r="H35" s="8" t="s">
        <v>94</v>
      </c>
      <c r="I35" s="15">
        <f>I34+'23'!I34+'20'!I53</f>
        <v>13655050</v>
      </c>
      <c r="J35" s="15">
        <f>J34+'23'!J34+'20'!J53</f>
        <v>13805443</v>
      </c>
      <c r="K35" s="575">
        <f>K34+'23'!K34+'20'!K53</f>
        <v>3121372</v>
      </c>
      <c r="L35" s="582">
        <f>L34+'23'!L34+'20'!L53</f>
        <v>13041527</v>
      </c>
      <c r="M35" s="318">
        <f>M34+'23'!M34+'20'!M53</f>
        <v>350393</v>
      </c>
      <c r="N35" s="419">
        <f>N34+'23'!N34+'20'!N53</f>
        <v>13391920</v>
      </c>
      <c r="O35" s="376">
        <f t="shared" si="2"/>
        <v>97.004637953305803</v>
      </c>
    </row>
    <row r="36" spans="1:15" ht="12.95" customHeight="1" thickBot="1">
      <c r="B36" s="16"/>
      <c r="C36" s="17"/>
      <c r="D36" s="17"/>
      <c r="E36" s="17"/>
      <c r="F36" s="337"/>
      <c r="G36" s="363"/>
      <c r="H36" s="17"/>
      <c r="I36" s="32"/>
      <c r="J36" s="32"/>
      <c r="K36" s="576"/>
      <c r="L36" s="585"/>
      <c r="M36" s="32"/>
      <c r="N36" s="422"/>
      <c r="O36" s="379"/>
    </row>
    <row r="37" spans="1:15" ht="12.95" customHeight="1">
      <c r="F37" s="338"/>
      <c r="G37" s="364"/>
      <c r="N37" s="425"/>
    </row>
    <row r="38" spans="1:15" ht="12.95" customHeight="1">
      <c r="B38" s="55"/>
      <c r="F38" s="338"/>
      <c r="G38" s="364"/>
      <c r="N38" s="425"/>
    </row>
    <row r="39" spans="1:15" ht="12.95" customHeight="1">
      <c r="B39" s="55"/>
      <c r="F39" s="338"/>
      <c r="G39" s="364"/>
      <c r="N39" s="425"/>
    </row>
    <row r="40" spans="1:15" ht="12.95" customHeight="1">
      <c r="B40" s="55"/>
      <c r="F40" s="338"/>
      <c r="G40" s="364"/>
      <c r="N40" s="425"/>
    </row>
    <row r="41" spans="1:15" ht="12.95" customHeight="1">
      <c r="B41" s="55"/>
      <c r="F41" s="338"/>
      <c r="G41" s="364"/>
      <c r="N41" s="425"/>
    </row>
    <row r="42" spans="1:15" ht="12.95" customHeight="1">
      <c r="B42" s="55"/>
      <c r="F42" s="338"/>
      <c r="G42" s="364"/>
      <c r="N42" s="425"/>
    </row>
    <row r="43" spans="1:15" ht="12.95" customHeight="1">
      <c r="B43" s="55"/>
      <c r="F43" s="338"/>
      <c r="G43" s="364"/>
      <c r="N43" s="425"/>
    </row>
    <row r="44" spans="1:15" ht="12.95" customHeight="1">
      <c r="B44" s="55"/>
      <c r="F44" s="338"/>
      <c r="G44" s="364"/>
      <c r="N44" s="425"/>
    </row>
    <row r="45" spans="1:15" ht="12.95" customHeight="1">
      <c r="F45" s="338"/>
      <c r="G45" s="364"/>
      <c r="N45" s="425"/>
    </row>
    <row r="46" spans="1:15" ht="12.95" customHeight="1">
      <c r="F46" s="338"/>
      <c r="G46" s="364"/>
      <c r="N46" s="425"/>
    </row>
    <row r="47" spans="1:15" ht="12.95" customHeight="1">
      <c r="F47" s="338"/>
      <c r="G47" s="364"/>
      <c r="N47" s="425"/>
    </row>
    <row r="48" spans="1:15" ht="12.95" customHeight="1">
      <c r="F48" s="338"/>
      <c r="G48" s="364"/>
      <c r="N48" s="425"/>
    </row>
    <row r="49" spans="6:14" ht="12.95" customHeight="1">
      <c r="F49" s="338"/>
      <c r="G49" s="364"/>
      <c r="N49" s="425"/>
    </row>
    <row r="50" spans="6:14" ht="12.95" customHeight="1">
      <c r="F50" s="338"/>
      <c r="G50" s="364"/>
      <c r="N50" s="425"/>
    </row>
    <row r="51" spans="6:14" ht="12.95" customHeight="1">
      <c r="F51" s="338"/>
      <c r="G51" s="364"/>
      <c r="N51" s="425"/>
    </row>
    <row r="52" spans="6:14" ht="12.95" customHeight="1">
      <c r="F52" s="338"/>
      <c r="G52" s="364"/>
      <c r="N52" s="425"/>
    </row>
    <row r="53" spans="6:14" ht="12.95" customHeight="1">
      <c r="F53" s="338"/>
      <c r="G53" s="364"/>
      <c r="N53" s="425"/>
    </row>
    <row r="54" spans="6:14" ht="12.95" customHeight="1">
      <c r="F54" s="338"/>
      <c r="G54" s="364"/>
      <c r="N54" s="425"/>
    </row>
    <row r="55" spans="6:14" ht="12.95" customHeight="1">
      <c r="F55" s="338"/>
      <c r="G55" s="364"/>
      <c r="N55" s="425"/>
    </row>
    <row r="56" spans="6:14" ht="12.95" customHeight="1">
      <c r="F56" s="338"/>
      <c r="G56" s="364"/>
      <c r="N56" s="425"/>
    </row>
    <row r="57" spans="6:14" ht="12.95" customHeight="1">
      <c r="F57" s="338"/>
      <c r="G57" s="364"/>
      <c r="N57" s="425"/>
    </row>
    <row r="58" spans="6:14" ht="12.95" customHeight="1">
      <c r="F58" s="338"/>
      <c r="G58" s="364"/>
      <c r="N58" s="425"/>
    </row>
    <row r="59" spans="6:14" ht="12.95" customHeight="1">
      <c r="F59" s="338"/>
      <c r="G59" s="364"/>
      <c r="N59" s="425"/>
    </row>
    <row r="60" spans="6:14" ht="17.100000000000001" customHeight="1">
      <c r="F60" s="338"/>
      <c r="G60" s="364"/>
      <c r="N60" s="425"/>
    </row>
    <row r="61" spans="6:14" ht="14.25">
      <c r="F61" s="338"/>
      <c r="G61" s="364"/>
      <c r="N61" s="425"/>
    </row>
    <row r="62" spans="6:14" ht="14.25">
      <c r="F62" s="338"/>
      <c r="G62" s="364"/>
      <c r="N62" s="425"/>
    </row>
    <row r="63" spans="6:14" ht="14.25">
      <c r="F63" s="338"/>
      <c r="G63" s="364"/>
      <c r="N63" s="425"/>
    </row>
    <row r="64" spans="6:14" ht="14.25">
      <c r="F64" s="338"/>
      <c r="G64" s="364"/>
      <c r="N64" s="425"/>
    </row>
    <row r="65" spans="6:14" ht="14.25">
      <c r="F65" s="338"/>
      <c r="G65" s="364"/>
      <c r="N65" s="425"/>
    </row>
    <row r="66" spans="6:14" ht="14.25">
      <c r="F66" s="338"/>
      <c r="G66" s="364"/>
      <c r="N66" s="425"/>
    </row>
    <row r="67" spans="6:14" ht="14.25">
      <c r="F67" s="338"/>
      <c r="G67" s="364"/>
      <c r="N67" s="425"/>
    </row>
    <row r="68" spans="6:14" ht="14.25">
      <c r="F68" s="338"/>
      <c r="G68" s="364"/>
      <c r="N68" s="425"/>
    </row>
    <row r="69" spans="6:14" ht="14.25">
      <c r="F69" s="338"/>
      <c r="G69" s="364"/>
      <c r="N69" s="425"/>
    </row>
    <row r="70" spans="6:14" ht="14.25">
      <c r="F70" s="338"/>
      <c r="G70" s="364"/>
      <c r="N70" s="425"/>
    </row>
    <row r="71" spans="6:14" ht="14.25">
      <c r="F71" s="338"/>
      <c r="G71" s="364"/>
      <c r="N71" s="425"/>
    </row>
    <row r="72" spans="6:14" ht="14.25">
      <c r="F72" s="338"/>
      <c r="G72" s="364"/>
      <c r="N72" s="425"/>
    </row>
    <row r="73" spans="6:14" ht="14.25">
      <c r="F73" s="338"/>
      <c r="G73" s="364"/>
      <c r="N73" s="425"/>
    </row>
    <row r="74" spans="6:14" ht="14.25">
      <c r="F74" s="338"/>
      <c r="G74" s="338"/>
      <c r="N74" s="425"/>
    </row>
    <row r="75" spans="6:14" ht="14.25">
      <c r="F75" s="338"/>
      <c r="G75" s="338"/>
      <c r="N75" s="425"/>
    </row>
    <row r="76" spans="6:14" ht="14.25">
      <c r="F76" s="338"/>
      <c r="G76" s="338"/>
      <c r="N76" s="425"/>
    </row>
    <row r="77" spans="6:14" ht="14.25">
      <c r="F77" s="338"/>
      <c r="G77" s="338"/>
      <c r="N77" s="425"/>
    </row>
    <row r="78" spans="6:14" ht="14.25">
      <c r="F78" s="338"/>
      <c r="G78" s="338"/>
      <c r="N78" s="425"/>
    </row>
    <row r="79" spans="6:14" ht="14.25">
      <c r="F79" s="338"/>
      <c r="G79" s="338"/>
      <c r="N79" s="425"/>
    </row>
    <row r="80" spans="6:14" ht="14.25">
      <c r="F80" s="338"/>
      <c r="G80" s="338"/>
      <c r="N80" s="425"/>
    </row>
    <row r="81" spans="6:14" ht="14.25">
      <c r="F81" s="338"/>
      <c r="G81" s="338"/>
      <c r="N81" s="425"/>
    </row>
    <row r="82" spans="6:14" ht="14.25">
      <c r="F82" s="338"/>
      <c r="G82" s="338"/>
      <c r="N82" s="425"/>
    </row>
    <row r="83" spans="6:14" ht="14.25">
      <c r="F83" s="338"/>
      <c r="G83" s="338"/>
      <c r="N83" s="425"/>
    </row>
    <row r="84" spans="6:14" ht="14.25">
      <c r="F84" s="338"/>
      <c r="G84" s="338"/>
      <c r="N84" s="425"/>
    </row>
    <row r="85" spans="6:14" ht="14.25">
      <c r="F85" s="338"/>
      <c r="G85" s="338"/>
      <c r="N85" s="425"/>
    </row>
    <row r="86" spans="6:14" ht="14.25">
      <c r="F86" s="338"/>
      <c r="G86" s="338"/>
      <c r="N86" s="425"/>
    </row>
    <row r="87" spans="6:14" ht="14.25">
      <c r="F87" s="338"/>
      <c r="G87" s="338"/>
      <c r="N87" s="425"/>
    </row>
    <row r="88" spans="6:14" ht="14.25">
      <c r="F88" s="338"/>
      <c r="G88" s="338"/>
      <c r="N88" s="425"/>
    </row>
    <row r="89" spans="6:14" ht="14.25">
      <c r="F89" s="338"/>
      <c r="G89" s="338"/>
      <c r="N89" s="425"/>
    </row>
    <row r="90" spans="6:14" ht="14.25">
      <c r="F90" s="338"/>
      <c r="G90" s="338"/>
      <c r="N90" s="425"/>
    </row>
    <row r="91" spans="6:14">
      <c r="G91" s="338"/>
    </row>
    <row r="92" spans="6:14">
      <c r="G92" s="338"/>
    </row>
    <row r="93" spans="6:14">
      <c r="G93" s="338"/>
    </row>
    <row r="94" spans="6:14">
      <c r="G94" s="338"/>
    </row>
    <row r="95" spans="6:14">
      <c r="G95" s="338"/>
    </row>
    <row r="96" spans="6:14">
      <c r="G96" s="338"/>
    </row>
  </sheetData>
  <mergeCells count="14">
    <mergeCell ref="B2:O2"/>
    <mergeCell ref="O4:O5"/>
    <mergeCell ref="H4:H5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K4:K5"/>
    <mergeCell ref="E4:E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36"/>
  <dimension ref="A1:Q96"/>
  <sheetViews>
    <sheetView zoomScaleNormal="100" workbookViewId="0">
      <selection activeCell="N36" sqref="N36"/>
    </sheetView>
  </sheetViews>
  <sheetFormatPr defaultRowHeight="12.75"/>
  <cols>
    <col min="1" max="1" width="9.140625" style="314"/>
    <col min="2" max="2" width="4.7109375" style="9" customWidth="1"/>
    <col min="3" max="3" width="5.140625" style="9" customWidth="1"/>
    <col min="4" max="4" width="5" style="9" customWidth="1"/>
    <col min="5" max="5" width="5" style="314" customWidth="1"/>
    <col min="6" max="6" width="8.7109375" style="18" customWidth="1"/>
    <col min="7" max="7" width="8.7109375" style="319" customWidth="1"/>
    <col min="8" max="8" width="50.7109375" style="9" customWidth="1"/>
    <col min="9" max="13" width="14.7109375" style="63" customWidth="1"/>
    <col min="14" max="14" width="15.7109375" style="63" customWidth="1"/>
    <col min="15" max="15" width="7.7109375" style="380" customWidth="1"/>
    <col min="16" max="16384" width="9.140625" style="9"/>
  </cols>
  <sheetData>
    <row r="1" spans="1:17" ht="13.5" thickBot="1"/>
    <row r="2" spans="1:17" s="113" customFormat="1" ht="20.100000000000001" customHeight="1" thickTop="1" thickBot="1">
      <c r="A2" s="408"/>
      <c r="B2" s="887" t="s">
        <v>762</v>
      </c>
      <c r="C2" s="888"/>
      <c r="D2" s="888"/>
      <c r="E2" s="888"/>
      <c r="F2" s="888"/>
      <c r="G2" s="888"/>
      <c r="H2" s="888"/>
      <c r="I2" s="888"/>
      <c r="J2" s="409"/>
      <c r="K2" s="409"/>
      <c r="L2" s="410"/>
      <c r="M2" s="410"/>
      <c r="N2" s="410"/>
      <c r="O2" s="413"/>
      <c r="Q2" s="408"/>
    </row>
    <row r="3" spans="1:17" s="1" customFormat="1" ht="8.1" customHeight="1" thickTop="1" thickBot="1">
      <c r="A3" s="311"/>
      <c r="E3" s="311"/>
      <c r="F3" s="2"/>
      <c r="G3" s="312"/>
      <c r="H3" s="890"/>
      <c r="I3" s="890"/>
      <c r="J3" s="282"/>
      <c r="K3" s="282"/>
      <c r="L3" s="107"/>
      <c r="M3" s="107"/>
      <c r="N3" s="107"/>
      <c r="O3" s="374"/>
    </row>
    <row r="4" spans="1:17" s="1" customFormat="1" ht="39" customHeight="1">
      <c r="A4" s="311"/>
      <c r="B4" s="894" t="s">
        <v>77</v>
      </c>
      <c r="C4" s="909" t="s">
        <v>78</v>
      </c>
      <c r="D4" s="910" t="s">
        <v>107</v>
      </c>
      <c r="E4" s="916" t="s">
        <v>828</v>
      </c>
      <c r="F4" s="911" t="s">
        <v>517</v>
      </c>
      <c r="G4" s="899" t="s">
        <v>556</v>
      </c>
      <c r="H4" s="900" t="s">
        <v>79</v>
      </c>
      <c r="I4" s="912" t="s">
        <v>697</v>
      </c>
      <c r="J4" s="913" t="s">
        <v>862</v>
      </c>
      <c r="K4" s="917" t="s">
        <v>863</v>
      </c>
      <c r="L4" s="908" t="s">
        <v>865</v>
      </c>
      <c r="M4" s="892"/>
      <c r="N4" s="893"/>
      <c r="O4" s="906" t="s">
        <v>866</v>
      </c>
      <c r="Q4" s="81"/>
    </row>
    <row r="5" spans="1:17" s="311" customFormat="1" ht="27" customHeight="1">
      <c r="B5" s="895"/>
      <c r="C5" s="897"/>
      <c r="D5" s="897"/>
      <c r="E5" s="897"/>
      <c r="F5" s="901"/>
      <c r="G5" s="897"/>
      <c r="H5" s="901"/>
      <c r="I5" s="901"/>
      <c r="J5" s="901"/>
      <c r="K5" s="905"/>
      <c r="L5" s="587" t="s">
        <v>601</v>
      </c>
      <c r="M5" s="404" t="s">
        <v>602</v>
      </c>
      <c r="N5" s="720" t="s">
        <v>349</v>
      </c>
      <c r="O5" s="907"/>
    </row>
    <row r="6" spans="1:17" s="2" customFormat="1" ht="12.95" customHeight="1">
      <c r="A6" s="312"/>
      <c r="B6" s="525">
        <v>1</v>
      </c>
      <c r="C6" s="361">
        <v>2</v>
      </c>
      <c r="D6" s="361">
        <v>3</v>
      </c>
      <c r="E6" s="361">
        <v>4</v>
      </c>
      <c r="F6" s="361">
        <v>5</v>
      </c>
      <c r="G6" s="361">
        <v>6</v>
      </c>
      <c r="H6" s="361">
        <v>7</v>
      </c>
      <c r="I6" s="361">
        <v>8</v>
      </c>
      <c r="J6" s="361">
        <v>9</v>
      </c>
      <c r="K6" s="526">
        <v>10</v>
      </c>
      <c r="L6" s="525">
        <v>11</v>
      </c>
      <c r="M6" s="361">
        <v>12</v>
      </c>
      <c r="N6" s="721" t="s">
        <v>830</v>
      </c>
      <c r="O6" s="527">
        <v>14</v>
      </c>
    </row>
    <row r="7" spans="1:17" s="2" customFormat="1" ht="12.95" customHeight="1">
      <c r="A7" s="312"/>
      <c r="B7" s="6" t="s">
        <v>136</v>
      </c>
      <c r="C7" s="7" t="s">
        <v>80</v>
      </c>
      <c r="D7" s="7" t="s">
        <v>81</v>
      </c>
      <c r="E7" s="667" t="s">
        <v>837</v>
      </c>
      <c r="F7" s="5"/>
      <c r="G7" s="313"/>
      <c r="H7" s="5"/>
      <c r="I7" s="592"/>
      <c r="J7" s="100"/>
      <c r="K7" s="592"/>
      <c r="L7" s="619"/>
      <c r="M7" s="100"/>
      <c r="N7" s="773"/>
      <c r="O7" s="375"/>
    </row>
    <row r="8" spans="1:17" s="1" customFormat="1" ht="12.95" customHeight="1">
      <c r="A8" s="311"/>
      <c r="B8" s="12"/>
      <c r="C8" s="8"/>
      <c r="D8" s="8"/>
      <c r="E8" s="8"/>
      <c r="F8" s="335">
        <v>611000</v>
      </c>
      <c r="G8" s="361"/>
      <c r="H8" s="8" t="s">
        <v>146</v>
      </c>
      <c r="I8" s="738">
        <f t="shared" ref="I8:N8" si="0">SUM(I9:I11)</f>
        <v>244980</v>
      </c>
      <c r="J8" s="236">
        <f t="shared" si="0"/>
        <v>244980</v>
      </c>
      <c r="K8" s="744">
        <f t="shared" si="0"/>
        <v>54590</v>
      </c>
      <c r="L8" s="578">
        <f t="shared" si="0"/>
        <v>231740</v>
      </c>
      <c r="M8" s="236">
        <f t="shared" si="0"/>
        <v>0</v>
      </c>
      <c r="N8" s="723">
        <f t="shared" si="0"/>
        <v>231740</v>
      </c>
      <c r="O8" s="376">
        <f>IF(J8=0,"",N8/J8*100)</f>
        <v>94.595477181810764</v>
      </c>
    </row>
    <row r="9" spans="1:17" ht="12.95" customHeight="1">
      <c r="B9" s="10"/>
      <c r="C9" s="11"/>
      <c r="D9" s="11"/>
      <c r="E9" s="316"/>
      <c r="F9" s="336">
        <v>611100</v>
      </c>
      <c r="G9" s="362"/>
      <c r="H9" s="20" t="s">
        <v>174</v>
      </c>
      <c r="I9" s="784">
        <f>198500-12*1650+9*1140+1000+4960</f>
        <v>194920</v>
      </c>
      <c r="J9" s="238">
        <f>198500-12*1650+9*1140+1000+4960</f>
        <v>194920</v>
      </c>
      <c r="K9" s="742">
        <v>44707</v>
      </c>
      <c r="L9" s="626">
        <f>178810+1000+5*1140</f>
        <v>185510</v>
      </c>
      <c r="M9" s="238">
        <v>0</v>
      </c>
      <c r="N9" s="724">
        <f>SUM(L9:M9)</f>
        <v>185510</v>
      </c>
      <c r="O9" s="377">
        <f>IF(J9=0,"",N9/J9*100)</f>
        <v>95.172378411656069</v>
      </c>
    </row>
    <row r="10" spans="1:17" ht="12.95" customHeight="1">
      <c r="B10" s="10"/>
      <c r="C10" s="11"/>
      <c r="D10" s="11"/>
      <c r="E10" s="316"/>
      <c r="F10" s="336">
        <v>611200</v>
      </c>
      <c r="G10" s="362"/>
      <c r="H10" s="11" t="s">
        <v>175</v>
      </c>
      <c r="I10" s="784">
        <f>49450-11*21*14+9*1*21*15+1009</f>
        <v>50060</v>
      </c>
      <c r="J10" s="238">
        <f>49450-11*21*14+9*1*21*15+1009</f>
        <v>50060</v>
      </c>
      <c r="K10" s="742">
        <v>9883</v>
      </c>
      <c r="L10" s="626">
        <f>43650+1000+1580</f>
        <v>46230</v>
      </c>
      <c r="M10" s="238">
        <v>0</v>
      </c>
      <c r="N10" s="724">
        <f t="shared" ref="N10:N11" si="1">SUM(L10:M10)</f>
        <v>46230</v>
      </c>
      <c r="O10" s="377">
        <f t="shared" ref="O10:O38" si="2">IF(J10=0,"",N10/J10*100)</f>
        <v>92.349180982820613</v>
      </c>
    </row>
    <row r="11" spans="1:17" ht="12.95" customHeight="1">
      <c r="B11" s="10"/>
      <c r="C11" s="11"/>
      <c r="D11" s="11"/>
      <c r="E11" s="316"/>
      <c r="F11" s="336">
        <v>611200</v>
      </c>
      <c r="G11" s="362"/>
      <c r="H11" s="210" t="s">
        <v>464</v>
      </c>
      <c r="I11" s="739">
        <v>0</v>
      </c>
      <c r="J11" s="235">
        <v>0</v>
      </c>
      <c r="K11" s="741">
        <v>0</v>
      </c>
      <c r="L11" s="579">
        <v>0</v>
      </c>
      <c r="M11" s="235">
        <v>0</v>
      </c>
      <c r="N11" s="724">
        <f t="shared" si="1"/>
        <v>0</v>
      </c>
      <c r="O11" s="377" t="str">
        <f t="shared" si="2"/>
        <v/>
      </c>
      <c r="Q11" s="62"/>
    </row>
    <row r="12" spans="1:17" ht="12.95" customHeight="1">
      <c r="B12" s="10"/>
      <c r="C12" s="11"/>
      <c r="D12" s="11"/>
      <c r="E12" s="316"/>
      <c r="F12" s="336"/>
      <c r="G12" s="362"/>
      <c r="H12" s="11"/>
      <c r="I12" s="738"/>
      <c r="J12" s="236"/>
      <c r="K12" s="744"/>
      <c r="L12" s="578"/>
      <c r="M12" s="236"/>
      <c r="N12" s="723"/>
      <c r="O12" s="377" t="str">
        <f t="shared" si="2"/>
        <v/>
      </c>
    </row>
    <row r="13" spans="1:17" s="1" customFormat="1" ht="12.95" customHeight="1">
      <c r="A13" s="311"/>
      <c r="B13" s="12"/>
      <c r="C13" s="8"/>
      <c r="D13" s="8"/>
      <c r="E13" s="8"/>
      <c r="F13" s="335">
        <v>612000</v>
      </c>
      <c r="G13" s="361"/>
      <c r="H13" s="8" t="s">
        <v>145</v>
      </c>
      <c r="I13" s="738">
        <f t="shared" ref="I13:N13" si="3">I14</f>
        <v>20890</v>
      </c>
      <c r="J13" s="236">
        <f t="shared" si="3"/>
        <v>20890</v>
      </c>
      <c r="K13" s="744">
        <f t="shared" si="3"/>
        <v>4725</v>
      </c>
      <c r="L13" s="578">
        <f t="shared" si="3"/>
        <v>19950</v>
      </c>
      <c r="M13" s="236">
        <f t="shared" si="3"/>
        <v>0</v>
      </c>
      <c r="N13" s="723">
        <f t="shared" si="3"/>
        <v>19950</v>
      </c>
      <c r="O13" s="376">
        <f t="shared" si="2"/>
        <v>95.500239348970794</v>
      </c>
    </row>
    <row r="14" spans="1:17" ht="12.95" customHeight="1">
      <c r="B14" s="10"/>
      <c r="C14" s="11"/>
      <c r="D14" s="11"/>
      <c r="E14" s="316"/>
      <c r="F14" s="336">
        <v>612100</v>
      </c>
      <c r="G14" s="362"/>
      <c r="H14" s="13" t="s">
        <v>82</v>
      </c>
      <c r="I14" s="784">
        <f>21050-12*180+9*130+300+530</f>
        <v>20890</v>
      </c>
      <c r="J14" s="238">
        <f>21050-12*180+9*130+300+530</f>
        <v>20890</v>
      </c>
      <c r="K14" s="742">
        <v>4725</v>
      </c>
      <c r="L14" s="626">
        <f>18900+400+5*130</f>
        <v>19950</v>
      </c>
      <c r="M14" s="238">
        <v>0</v>
      </c>
      <c r="N14" s="724">
        <f>SUM(L14:M14)</f>
        <v>19950</v>
      </c>
      <c r="O14" s="377">
        <f t="shared" si="2"/>
        <v>95.500239348970794</v>
      </c>
    </row>
    <row r="15" spans="1:17" ht="12.95" customHeight="1">
      <c r="B15" s="10"/>
      <c r="C15" s="11"/>
      <c r="D15" s="11"/>
      <c r="E15" s="316"/>
      <c r="F15" s="336"/>
      <c r="G15" s="362"/>
      <c r="H15" s="11"/>
      <c r="I15" s="632"/>
      <c r="J15" s="325"/>
      <c r="K15" s="744"/>
      <c r="L15" s="588"/>
      <c r="M15" s="325"/>
      <c r="N15" s="726"/>
      <c r="O15" s="377" t="str">
        <f t="shared" si="2"/>
        <v/>
      </c>
    </row>
    <row r="16" spans="1:17" s="1" customFormat="1" ht="12.95" customHeight="1">
      <c r="A16" s="311"/>
      <c r="B16" s="12"/>
      <c r="C16" s="8"/>
      <c r="D16" s="8"/>
      <c r="E16" s="8"/>
      <c r="F16" s="335">
        <v>613000</v>
      </c>
      <c r="G16" s="361"/>
      <c r="H16" s="8" t="s">
        <v>147</v>
      </c>
      <c r="I16" s="556">
        <f t="shared" ref="I16:J16" si="4">SUM(I17:I26)</f>
        <v>50800</v>
      </c>
      <c r="J16" s="389">
        <f t="shared" si="4"/>
        <v>50800</v>
      </c>
      <c r="K16" s="556">
        <f t="shared" ref="K16:L16" si="5">SUM(K17:K26)</f>
        <v>11379</v>
      </c>
      <c r="L16" s="573">
        <f t="shared" si="5"/>
        <v>44100</v>
      </c>
      <c r="M16" s="325">
        <f>SUM(M17:M26)</f>
        <v>0</v>
      </c>
      <c r="N16" s="726">
        <f>SUM(N17:N26)</f>
        <v>44100</v>
      </c>
      <c r="O16" s="376">
        <f t="shared" si="2"/>
        <v>86.811023622047244</v>
      </c>
    </row>
    <row r="17" spans="1:16" ht="12.95" customHeight="1">
      <c r="B17" s="10"/>
      <c r="C17" s="11"/>
      <c r="D17" s="11"/>
      <c r="E17" s="316"/>
      <c r="F17" s="336">
        <v>613100</v>
      </c>
      <c r="G17" s="362"/>
      <c r="H17" s="11" t="s">
        <v>83</v>
      </c>
      <c r="I17" s="742">
        <v>3500</v>
      </c>
      <c r="J17" s="397">
        <v>3500</v>
      </c>
      <c r="K17" s="742">
        <v>304</v>
      </c>
      <c r="L17" s="571">
        <f>3500*80%</f>
        <v>2800</v>
      </c>
      <c r="M17" s="397">
        <v>0</v>
      </c>
      <c r="N17" s="724">
        <f t="shared" ref="N17:N26" si="6">SUM(L17:M17)</f>
        <v>2800</v>
      </c>
      <c r="O17" s="377">
        <f t="shared" si="2"/>
        <v>80</v>
      </c>
    </row>
    <row r="18" spans="1:16" ht="12.95" customHeight="1">
      <c r="B18" s="10"/>
      <c r="C18" s="11"/>
      <c r="D18" s="11"/>
      <c r="E18" s="316"/>
      <c r="F18" s="336">
        <v>613200</v>
      </c>
      <c r="G18" s="362"/>
      <c r="H18" s="11" t="s">
        <v>84</v>
      </c>
      <c r="I18" s="742">
        <v>0</v>
      </c>
      <c r="J18" s="397">
        <v>0</v>
      </c>
      <c r="K18" s="742">
        <v>0</v>
      </c>
      <c r="L18" s="571">
        <v>0</v>
      </c>
      <c r="M18" s="397">
        <v>0</v>
      </c>
      <c r="N18" s="724">
        <f t="shared" si="6"/>
        <v>0</v>
      </c>
      <c r="O18" s="377" t="str">
        <f t="shared" si="2"/>
        <v/>
      </c>
    </row>
    <row r="19" spans="1:16" ht="12.95" customHeight="1">
      <c r="B19" s="10"/>
      <c r="C19" s="11"/>
      <c r="D19" s="11"/>
      <c r="E19" s="316"/>
      <c r="F19" s="336">
        <v>613300</v>
      </c>
      <c r="G19" s="362"/>
      <c r="H19" s="20" t="s">
        <v>176</v>
      </c>
      <c r="I19" s="742">
        <v>3300</v>
      </c>
      <c r="J19" s="397">
        <v>3300</v>
      </c>
      <c r="K19" s="742">
        <v>704</v>
      </c>
      <c r="L19" s="571">
        <v>3300</v>
      </c>
      <c r="M19" s="397">
        <v>0</v>
      </c>
      <c r="N19" s="724">
        <f t="shared" si="6"/>
        <v>3300</v>
      </c>
      <c r="O19" s="377">
        <f t="shared" si="2"/>
        <v>100</v>
      </c>
    </row>
    <row r="20" spans="1:16" ht="12.95" customHeight="1">
      <c r="B20" s="10"/>
      <c r="C20" s="11"/>
      <c r="D20" s="11"/>
      <c r="E20" s="316"/>
      <c r="F20" s="336">
        <v>613400</v>
      </c>
      <c r="G20" s="362"/>
      <c r="H20" s="11" t="s">
        <v>148</v>
      </c>
      <c r="I20" s="742">
        <v>1500</v>
      </c>
      <c r="J20" s="397">
        <v>1500</v>
      </c>
      <c r="K20" s="742">
        <v>132</v>
      </c>
      <c r="L20" s="571">
        <v>1500</v>
      </c>
      <c r="M20" s="397">
        <v>0</v>
      </c>
      <c r="N20" s="724">
        <f t="shared" si="6"/>
        <v>1500</v>
      </c>
      <c r="O20" s="377">
        <f t="shared" si="2"/>
        <v>100</v>
      </c>
    </row>
    <row r="21" spans="1:16" ht="12.95" customHeight="1">
      <c r="B21" s="10"/>
      <c r="C21" s="11"/>
      <c r="D21" s="11"/>
      <c r="E21" s="316"/>
      <c r="F21" s="336">
        <v>613500</v>
      </c>
      <c r="G21" s="362"/>
      <c r="H21" s="11" t="s">
        <v>85</v>
      </c>
      <c r="I21" s="742">
        <v>0</v>
      </c>
      <c r="J21" s="397">
        <v>0</v>
      </c>
      <c r="K21" s="742">
        <v>0</v>
      </c>
      <c r="L21" s="571">
        <v>0</v>
      </c>
      <c r="M21" s="397">
        <v>0</v>
      </c>
      <c r="N21" s="724">
        <f t="shared" si="6"/>
        <v>0</v>
      </c>
      <c r="O21" s="377" t="str">
        <f t="shared" si="2"/>
        <v/>
      </c>
    </row>
    <row r="22" spans="1:16" ht="12.95" customHeight="1">
      <c r="B22" s="10"/>
      <c r="C22" s="11"/>
      <c r="D22" s="11"/>
      <c r="E22" s="316"/>
      <c r="F22" s="336">
        <v>613600</v>
      </c>
      <c r="G22" s="362"/>
      <c r="H22" s="20" t="s">
        <v>177</v>
      </c>
      <c r="I22" s="742">
        <v>0</v>
      </c>
      <c r="J22" s="397">
        <v>0</v>
      </c>
      <c r="K22" s="742">
        <v>0</v>
      </c>
      <c r="L22" s="571">
        <v>0</v>
      </c>
      <c r="M22" s="397">
        <v>0</v>
      </c>
      <c r="N22" s="724">
        <f t="shared" si="6"/>
        <v>0</v>
      </c>
      <c r="O22" s="377" t="str">
        <f t="shared" si="2"/>
        <v/>
      </c>
    </row>
    <row r="23" spans="1:16" ht="12.95" customHeight="1">
      <c r="B23" s="10"/>
      <c r="C23" s="11"/>
      <c r="D23" s="11"/>
      <c r="E23" s="316"/>
      <c r="F23" s="336">
        <v>613700</v>
      </c>
      <c r="G23" s="362"/>
      <c r="H23" s="11" t="s">
        <v>86</v>
      </c>
      <c r="I23" s="742">
        <v>2500</v>
      </c>
      <c r="J23" s="397">
        <v>2500</v>
      </c>
      <c r="K23" s="742">
        <v>0</v>
      </c>
      <c r="L23" s="571">
        <v>2500</v>
      </c>
      <c r="M23" s="397">
        <v>0</v>
      </c>
      <c r="N23" s="724">
        <f t="shared" si="6"/>
        <v>2500</v>
      </c>
      <c r="O23" s="377">
        <f t="shared" si="2"/>
        <v>100</v>
      </c>
    </row>
    <row r="24" spans="1:16" ht="12.95" customHeight="1">
      <c r="B24" s="10"/>
      <c r="C24" s="11"/>
      <c r="D24" s="11"/>
      <c r="E24" s="316"/>
      <c r="F24" s="336">
        <v>613800</v>
      </c>
      <c r="G24" s="362"/>
      <c r="H24" s="11" t="s">
        <v>149</v>
      </c>
      <c r="I24" s="742">
        <v>0</v>
      </c>
      <c r="J24" s="397">
        <v>0</v>
      </c>
      <c r="K24" s="742">
        <v>0</v>
      </c>
      <c r="L24" s="571">
        <v>0</v>
      </c>
      <c r="M24" s="397">
        <v>0</v>
      </c>
      <c r="N24" s="724">
        <f t="shared" si="6"/>
        <v>0</v>
      </c>
      <c r="O24" s="377" t="str">
        <f t="shared" si="2"/>
        <v/>
      </c>
    </row>
    <row r="25" spans="1:16" ht="12.95" customHeight="1">
      <c r="B25" s="10"/>
      <c r="C25" s="11"/>
      <c r="D25" s="11"/>
      <c r="E25" s="316"/>
      <c r="F25" s="336">
        <v>613900</v>
      </c>
      <c r="G25" s="362"/>
      <c r="H25" s="11" t="s">
        <v>150</v>
      </c>
      <c r="I25" s="742">
        <v>40000</v>
      </c>
      <c r="J25" s="397">
        <v>40000</v>
      </c>
      <c r="K25" s="742">
        <v>10239</v>
      </c>
      <c r="L25" s="571">
        <f>35000-1000</f>
        <v>34000</v>
      </c>
      <c r="M25" s="397">
        <v>0</v>
      </c>
      <c r="N25" s="724">
        <f t="shared" si="6"/>
        <v>34000</v>
      </c>
      <c r="O25" s="377">
        <f t="shared" si="2"/>
        <v>85</v>
      </c>
      <c r="P25" s="77"/>
    </row>
    <row r="26" spans="1:16" ht="12.95" customHeight="1">
      <c r="B26" s="10"/>
      <c r="C26" s="11"/>
      <c r="D26" s="11"/>
      <c r="E26" s="316"/>
      <c r="F26" s="336">
        <v>613900</v>
      </c>
      <c r="G26" s="362"/>
      <c r="H26" s="210" t="s">
        <v>465</v>
      </c>
      <c r="I26" s="742">
        <v>0</v>
      </c>
      <c r="J26" s="397">
        <v>0</v>
      </c>
      <c r="K26" s="742">
        <v>0</v>
      </c>
      <c r="L26" s="571">
        <v>0</v>
      </c>
      <c r="M26" s="397">
        <v>0</v>
      </c>
      <c r="N26" s="724">
        <f t="shared" si="6"/>
        <v>0</v>
      </c>
      <c r="O26" s="377" t="str">
        <f t="shared" si="2"/>
        <v/>
      </c>
    </row>
    <row r="27" spans="1:16" ht="12.95" customHeight="1">
      <c r="B27" s="10"/>
      <c r="C27" s="11"/>
      <c r="D27" s="11"/>
      <c r="E27" s="316"/>
      <c r="F27" s="336"/>
      <c r="G27" s="362"/>
      <c r="H27" s="11"/>
      <c r="I27" s="632"/>
      <c r="J27" s="325"/>
      <c r="K27" s="744"/>
      <c r="L27" s="588"/>
      <c r="M27" s="325"/>
      <c r="N27" s="726"/>
      <c r="O27" s="377" t="str">
        <f t="shared" si="2"/>
        <v/>
      </c>
    </row>
    <row r="28" spans="1:16" s="1" customFormat="1" ht="12.95" customHeight="1">
      <c r="A28" s="311"/>
      <c r="B28" s="12"/>
      <c r="C28" s="8"/>
      <c r="D28" s="8"/>
      <c r="E28" s="8"/>
      <c r="F28" s="335">
        <v>614000</v>
      </c>
      <c r="G28" s="361"/>
      <c r="H28" s="8" t="s">
        <v>178</v>
      </c>
      <c r="I28" s="632">
        <f t="shared" ref="I28:N28" si="7">SUM(I29:I29)</f>
        <v>1100000</v>
      </c>
      <c r="J28" s="325">
        <f t="shared" si="7"/>
        <v>1100000</v>
      </c>
      <c r="K28" s="744">
        <f t="shared" si="7"/>
        <v>250592</v>
      </c>
      <c r="L28" s="635">
        <f t="shared" si="7"/>
        <v>1100000</v>
      </c>
      <c r="M28" s="325">
        <f t="shared" si="7"/>
        <v>0</v>
      </c>
      <c r="N28" s="726">
        <f t="shared" si="7"/>
        <v>1100000</v>
      </c>
      <c r="O28" s="376">
        <f t="shared" si="2"/>
        <v>100</v>
      </c>
    </row>
    <row r="29" spans="1:16" s="314" customFormat="1" ht="12.95" customHeight="1">
      <c r="B29" s="315"/>
      <c r="C29" s="316"/>
      <c r="D29" s="316"/>
      <c r="E29" s="316"/>
      <c r="F29" s="336">
        <v>614200</v>
      </c>
      <c r="G29" s="362" t="s">
        <v>593</v>
      </c>
      <c r="H29" s="23" t="s">
        <v>728</v>
      </c>
      <c r="I29" s="631">
        <v>1100000</v>
      </c>
      <c r="J29" s="326">
        <v>1100000</v>
      </c>
      <c r="K29" s="742">
        <v>250592</v>
      </c>
      <c r="L29" s="622">
        <v>1100000</v>
      </c>
      <c r="M29" s="326">
        <v>0</v>
      </c>
      <c r="N29" s="724">
        <f>SUM(L29:M29)</f>
        <v>1100000</v>
      </c>
      <c r="O29" s="377">
        <f t="shared" si="2"/>
        <v>100</v>
      </c>
    </row>
    <row r="30" spans="1:16" ht="12.95" customHeight="1">
      <c r="B30" s="10"/>
      <c r="C30" s="11"/>
      <c r="D30" s="11"/>
      <c r="E30" s="316"/>
      <c r="F30" s="336"/>
      <c r="G30" s="362"/>
      <c r="H30" s="11"/>
      <c r="I30" s="631"/>
      <c r="J30" s="326"/>
      <c r="K30" s="742"/>
      <c r="L30" s="622"/>
      <c r="M30" s="326"/>
      <c r="N30" s="725"/>
      <c r="O30" s="377" t="str">
        <f t="shared" si="2"/>
        <v/>
      </c>
    </row>
    <row r="31" spans="1:16" s="1" customFormat="1" ht="12.95" customHeight="1">
      <c r="A31" s="311"/>
      <c r="B31" s="12"/>
      <c r="C31" s="8"/>
      <c r="D31" s="8"/>
      <c r="E31" s="8"/>
      <c r="F31" s="335">
        <v>821000</v>
      </c>
      <c r="G31" s="361"/>
      <c r="H31" s="8" t="s">
        <v>89</v>
      </c>
      <c r="I31" s="632">
        <f t="shared" ref="I31:J31" si="8">SUM(I32:I33)</f>
        <v>3000</v>
      </c>
      <c r="J31" s="325">
        <f t="shared" si="8"/>
        <v>3000</v>
      </c>
      <c r="K31" s="744">
        <f t="shared" ref="K31:L31" si="9">SUM(K32:K33)</f>
        <v>317</v>
      </c>
      <c r="L31" s="588">
        <f t="shared" si="9"/>
        <v>3000</v>
      </c>
      <c r="M31" s="325">
        <f>SUM(M32:M33)</f>
        <v>0</v>
      </c>
      <c r="N31" s="726">
        <f>SUM(N32:N33)</f>
        <v>3000</v>
      </c>
      <c r="O31" s="377">
        <f t="shared" si="2"/>
        <v>100</v>
      </c>
    </row>
    <row r="32" spans="1:16" ht="12.95" customHeight="1">
      <c r="B32" s="10"/>
      <c r="C32" s="11"/>
      <c r="D32" s="11"/>
      <c r="E32" s="316"/>
      <c r="F32" s="336">
        <v>821200</v>
      </c>
      <c r="G32" s="362"/>
      <c r="H32" s="11" t="s">
        <v>90</v>
      </c>
      <c r="I32" s="631">
        <v>0</v>
      </c>
      <c r="J32" s="326">
        <v>0</v>
      </c>
      <c r="K32" s="742">
        <v>0</v>
      </c>
      <c r="L32" s="622">
        <v>0</v>
      </c>
      <c r="M32" s="326">
        <v>0</v>
      </c>
      <c r="N32" s="724">
        <f t="shared" ref="N32:N33" si="10">SUM(L32:M32)</f>
        <v>0</v>
      </c>
      <c r="O32" s="377" t="str">
        <f t="shared" si="2"/>
        <v/>
      </c>
    </row>
    <row r="33" spans="1:15" ht="12.95" customHeight="1">
      <c r="B33" s="10"/>
      <c r="C33" s="11"/>
      <c r="D33" s="11"/>
      <c r="E33" s="316"/>
      <c r="F33" s="336">
        <v>821300</v>
      </c>
      <c r="G33" s="362"/>
      <c r="H33" s="11" t="s">
        <v>91</v>
      </c>
      <c r="I33" s="326">
        <v>3000</v>
      </c>
      <c r="J33" s="326">
        <v>3000</v>
      </c>
      <c r="K33" s="742">
        <v>317</v>
      </c>
      <c r="L33" s="622">
        <v>3000</v>
      </c>
      <c r="M33" s="326">
        <v>0</v>
      </c>
      <c r="N33" s="724">
        <f t="shared" si="10"/>
        <v>3000</v>
      </c>
      <c r="O33" s="377">
        <f t="shared" si="2"/>
        <v>100</v>
      </c>
    </row>
    <row r="34" spans="1:15" ht="12.95" customHeight="1">
      <c r="B34" s="10"/>
      <c r="C34" s="11"/>
      <c r="D34" s="11"/>
      <c r="E34" s="316"/>
      <c r="F34" s="336"/>
      <c r="G34" s="362"/>
      <c r="H34" s="11"/>
      <c r="I34" s="326"/>
      <c r="J34" s="326"/>
      <c r="K34" s="742"/>
      <c r="L34" s="622"/>
      <c r="M34" s="326"/>
      <c r="N34" s="725"/>
      <c r="O34" s="377" t="str">
        <f t="shared" si="2"/>
        <v/>
      </c>
    </row>
    <row r="35" spans="1:15" s="1" customFormat="1" ht="12.95" customHeight="1">
      <c r="A35" s="311"/>
      <c r="B35" s="12"/>
      <c r="C35" s="8"/>
      <c r="D35" s="8"/>
      <c r="E35" s="8"/>
      <c r="F35" s="335"/>
      <c r="G35" s="361"/>
      <c r="H35" s="8" t="s">
        <v>92</v>
      </c>
      <c r="I35" s="308" t="s">
        <v>788</v>
      </c>
      <c r="J35" s="308" t="s">
        <v>788</v>
      </c>
      <c r="K35" s="790">
        <v>10</v>
      </c>
      <c r="L35" s="627" t="s">
        <v>933</v>
      </c>
      <c r="M35" s="318"/>
      <c r="N35" s="727" t="s">
        <v>933</v>
      </c>
      <c r="O35" s="377"/>
    </row>
    <row r="36" spans="1:15" s="1" customFormat="1" ht="12.95" customHeight="1">
      <c r="A36" s="311"/>
      <c r="B36" s="12"/>
      <c r="C36" s="8"/>
      <c r="D36" s="8"/>
      <c r="E36" s="8"/>
      <c r="F36" s="335"/>
      <c r="G36" s="361"/>
      <c r="H36" s="8" t="s">
        <v>110</v>
      </c>
      <c r="I36" s="15">
        <f t="shared" ref="I36:N36" si="11">I8+I13+I16+I28+I31</f>
        <v>1419670</v>
      </c>
      <c r="J36" s="15">
        <f t="shared" si="11"/>
        <v>1419670</v>
      </c>
      <c r="K36" s="575">
        <f t="shared" si="11"/>
        <v>321603</v>
      </c>
      <c r="L36" s="582">
        <f t="shared" si="11"/>
        <v>1398790</v>
      </c>
      <c r="M36" s="318">
        <f t="shared" si="11"/>
        <v>0</v>
      </c>
      <c r="N36" s="726">
        <f t="shared" si="11"/>
        <v>1398790</v>
      </c>
      <c r="O36" s="376">
        <f t="shared" si="2"/>
        <v>98.529235667443842</v>
      </c>
    </row>
    <row r="37" spans="1:15" s="1" customFormat="1" ht="12.95" customHeight="1">
      <c r="A37" s="311"/>
      <c r="B37" s="12"/>
      <c r="C37" s="8"/>
      <c r="D37" s="8"/>
      <c r="E37" s="8"/>
      <c r="F37" s="335"/>
      <c r="G37" s="361"/>
      <c r="H37" s="8" t="s">
        <v>93</v>
      </c>
      <c r="I37" s="15">
        <f>I36</f>
        <v>1419670</v>
      </c>
      <c r="J37" s="15">
        <f>J36</f>
        <v>1419670</v>
      </c>
      <c r="K37" s="575">
        <f t="shared" ref="K37" si="12">K36</f>
        <v>321603</v>
      </c>
      <c r="L37" s="582">
        <f t="shared" ref="L37:N38" si="13">L36</f>
        <v>1398790</v>
      </c>
      <c r="M37" s="318">
        <f t="shared" si="13"/>
        <v>0</v>
      </c>
      <c r="N37" s="726">
        <f t="shared" si="13"/>
        <v>1398790</v>
      </c>
      <c r="O37" s="376">
        <f t="shared" si="2"/>
        <v>98.529235667443842</v>
      </c>
    </row>
    <row r="38" spans="1:15" s="1" customFormat="1" ht="12.95" customHeight="1">
      <c r="A38" s="311"/>
      <c r="B38" s="12"/>
      <c r="C38" s="8"/>
      <c r="D38" s="8"/>
      <c r="E38" s="8"/>
      <c r="F38" s="335"/>
      <c r="G38" s="361"/>
      <c r="H38" s="8" t="s">
        <v>94</v>
      </c>
      <c r="I38" s="15">
        <f>I37</f>
        <v>1419670</v>
      </c>
      <c r="J38" s="15">
        <f>J37</f>
        <v>1419670</v>
      </c>
      <c r="K38" s="575">
        <f t="shared" ref="K38" si="14">K37</f>
        <v>321603</v>
      </c>
      <c r="L38" s="582">
        <f t="shared" si="13"/>
        <v>1398790</v>
      </c>
      <c r="M38" s="318">
        <f t="shared" si="13"/>
        <v>0</v>
      </c>
      <c r="N38" s="726">
        <f t="shared" si="13"/>
        <v>1398790</v>
      </c>
      <c r="O38" s="376">
        <f t="shared" si="2"/>
        <v>98.529235667443842</v>
      </c>
    </row>
    <row r="39" spans="1:15" ht="12.95" customHeight="1" thickBot="1">
      <c r="B39" s="16"/>
      <c r="C39" s="17"/>
      <c r="D39" s="17"/>
      <c r="E39" s="17"/>
      <c r="F39" s="337"/>
      <c r="G39" s="363"/>
      <c r="H39" s="17"/>
      <c r="I39" s="32"/>
      <c r="J39" s="32"/>
      <c r="K39" s="576"/>
      <c r="L39" s="585"/>
      <c r="M39" s="32"/>
      <c r="N39" s="728"/>
      <c r="O39" s="379"/>
    </row>
    <row r="40" spans="1:15" ht="12.95" customHeight="1">
      <c r="F40" s="338"/>
      <c r="G40" s="364"/>
      <c r="I40" s="67"/>
      <c r="J40" s="67"/>
      <c r="K40" s="67"/>
      <c r="L40" s="67"/>
      <c r="M40" s="67"/>
      <c r="N40" s="425"/>
    </row>
    <row r="41" spans="1:15" ht="12.95" customHeight="1">
      <c r="F41" s="338"/>
      <c r="G41" s="364"/>
      <c r="N41" s="425"/>
    </row>
    <row r="42" spans="1:15" ht="12.95" customHeight="1">
      <c r="F42" s="338"/>
      <c r="G42" s="364"/>
      <c r="N42" s="425"/>
    </row>
    <row r="43" spans="1:15" ht="12.95" customHeight="1">
      <c r="F43" s="338"/>
      <c r="G43" s="364"/>
      <c r="N43" s="425"/>
    </row>
    <row r="44" spans="1:15" ht="12.95" customHeight="1">
      <c r="F44" s="338"/>
      <c r="G44" s="364"/>
      <c r="N44" s="425"/>
    </row>
    <row r="45" spans="1:15" ht="12.95" customHeight="1">
      <c r="F45" s="338"/>
      <c r="G45" s="364"/>
      <c r="N45" s="425"/>
    </row>
    <row r="46" spans="1:15" ht="12.95" customHeight="1">
      <c r="F46" s="338"/>
      <c r="G46" s="364"/>
      <c r="N46" s="425"/>
    </row>
    <row r="47" spans="1:15" ht="12.95" customHeight="1">
      <c r="F47" s="338"/>
      <c r="G47" s="364"/>
      <c r="N47" s="425"/>
    </row>
    <row r="48" spans="1:15" ht="12.95" customHeight="1">
      <c r="F48" s="338"/>
      <c r="G48" s="364"/>
      <c r="N48" s="425"/>
    </row>
    <row r="49" spans="6:14" ht="12.95" customHeight="1">
      <c r="F49" s="338"/>
      <c r="G49" s="364"/>
      <c r="N49" s="425"/>
    </row>
    <row r="50" spans="6:14" ht="12.95" customHeight="1">
      <c r="F50" s="338"/>
      <c r="G50" s="364"/>
      <c r="N50" s="425"/>
    </row>
    <row r="51" spans="6:14" ht="12.95" customHeight="1">
      <c r="F51" s="338"/>
      <c r="G51" s="364"/>
      <c r="N51" s="425"/>
    </row>
    <row r="52" spans="6:14" ht="12.95" customHeight="1">
      <c r="F52" s="338"/>
      <c r="G52" s="364"/>
      <c r="N52" s="425"/>
    </row>
    <row r="53" spans="6:14" ht="12.95" customHeight="1">
      <c r="F53" s="338"/>
      <c r="G53" s="364"/>
      <c r="N53" s="425"/>
    </row>
    <row r="54" spans="6:14" ht="12.95" customHeight="1">
      <c r="F54" s="338"/>
      <c r="G54" s="364"/>
      <c r="N54" s="425"/>
    </row>
    <row r="55" spans="6:14" ht="12.95" customHeight="1">
      <c r="F55" s="338"/>
      <c r="G55" s="364"/>
      <c r="N55" s="425"/>
    </row>
    <row r="56" spans="6:14" ht="12.95" customHeight="1">
      <c r="F56" s="338"/>
      <c r="G56" s="364"/>
      <c r="N56" s="425"/>
    </row>
    <row r="57" spans="6:14" ht="12.95" customHeight="1">
      <c r="F57" s="338"/>
      <c r="G57" s="364"/>
      <c r="N57" s="425"/>
    </row>
    <row r="58" spans="6:14" ht="12.95" customHeight="1">
      <c r="F58" s="338"/>
      <c r="G58" s="364"/>
      <c r="N58" s="425"/>
    </row>
    <row r="59" spans="6:14" ht="12.95" customHeight="1">
      <c r="F59" s="338"/>
      <c r="G59" s="364"/>
      <c r="N59" s="425"/>
    </row>
    <row r="60" spans="6:14" ht="17.100000000000001" customHeight="1">
      <c r="F60" s="338"/>
      <c r="G60" s="364"/>
      <c r="N60" s="425"/>
    </row>
    <row r="61" spans="6:14" ht="14.25">
      <c r="F61" s="338"/>
      <c r="G61" s="364"/>
      <c r="N61" s="425"/>
    </row>
    <row r="62" spans="6:14" ht="14.25">
      <c r="F62" s="338"/>
      <c r="G62" s="364"/>
      <c r="N62" s="425"/>
    </row>
    <row r="63" spans="6:14" ht="14.25">
      <c r="F63" s="338"/>
      <c r="G63" s="364"/>
      <c r="N63" s="425"/>
    </row>
    <row r="64" spans="6:14" ht="14.25">
      <c r="F64" s="338"/>
      <c r="G64" s="364"/>
      <c r="N64" s="425"/>
    </row>
    <row r="65" spans="6:14" ht="14.25">
      <c r="F65" s="338"/>
      <c r="G65" s="364"/>
      <c r="N65" s="425"/>
    </row>
    <row r="66" spans="6:14" ht="14.25">
      <c r="F66" s="338"/>
      <c r="G66" s="364"/>
      <c r="N66" s="425"/>
    </row>
    <row r="67" spans="6:14" ht="14.25">
      <c r="F67" s="338"/>
      <c r="G67" s="364"/>
      <c r="N67" s="425"/>
    </row>
    <row r="68" spans="6:14" ht="14.25">
      <c r="F68" s="338"/>
      <c r="G68" s="364"/>
      <c r="N68" s="425"/>
    </row>
    <row r="69" spans="6:14" ht="14.25">
      <c r="F69" s="338"/>
      <c r="G69" s="364"/>
      <c r="N69" s="425"/>
    </row>
    <row r="70" spans="6:14" ht="14.25">
      <c r="F70" s="338"/>
      <c r="G70" s="364"/>
      <c r="N70" s="425"/>
    </row>
    <row r="71" spans="6:14" ht="14.25">
      <c r="F71" s="338"/>
      <c r="G71" s="364"/>
      <c r="N71" s="425"/>
    </row>
    <row r="72" spans="6:14" ht="14.25">
      <c r="F72" s="338"/>
      <c r="G72" s="364"/>
      <c r="N72" s="425"/>
    </row>
    <row r="73" spans="6:14" ht="14.25">
      <c r="F73" s="338"/>
      <c r="G73" s="364"/>
      <c r="N73" s="425"/>
    </row>
    <row r="74" spans="6:14" ht="14.25">
      <c r="F74" s="338"/>
      <c r="G74" s="338"/>
      <c r="N74" s="425"/>
    </row>
    <row r="75" spans="6:14" ht="14.25">
      <c r="F75" s="338"/>
      <c r="G75" s="338"/>
      <c r="N75" s="425"/>
    </row>
    <row r="76" spans="6:14" ht="14.25">
      <c r="F76" s="338"/>
      <c r="G76" s="338"/>
      <c r="N76" s="425"/>
    </row>
    <row r="77" spans="6:14" ht="14.25">
      <c r="F77" s="338"/>
      <c r="G77" s="338"/>
      <c r="N77" s="425"/>
    </row>
    <row r="78" spans="6:14" ht="14.25">
      <c r="F78" s="338"/>
      <c r="G78" s="338"/>
      <c r="N78" s="425"/>
    </row>
    <row r="79" spans="6:14" ht="14.25">
      <c r="F79" s="338"/>
      <c r="G79" s="338"/>
      <c r="N79" s="425"/>
    </row>
    <row r="80" spans="6:14" ht="14.25">
      <c r="F80" s="338"/>
      <c r="G80" s="338"/>
      <c r="N80" s="425"/>
    </row>
    <row r="81" spans="6:14" ht="14.25">
      <c r="F81" s="338"/>
      <c r="G81" s="338"/>
      <c r="N81" s="425"/>
    </row>
    <row r="82" spans="6:14" ht="14.25">
      <c r="F82" s="338"/>
      <c r="G82" s="338"/>
      <c r="N82" s="425"/>
    </row>
    <row r="83" spans="6:14" ht="14.25">
      <c r="F83" s="338"/>
      <c r="G83" s="338"/>
      <c r="N83" s="425"/>
    </row>
    <row r="84" spans="6:14" ht="14.25">
      <c r="F84" s="338"/>
      <c r="G84" s="338"/>
      <c r="N84" s="425"/>
    </row>
    <row r="85" spans="6:14" ht="14.25">
      <c r="F85" s="338"/>
      <c r="G85" s="338"/>
      <c r="N85" s="425"/>
    </row>
    <row r="86" spans="6:14" ht="14.25">
      <c r="F86" s="338"/>
      <c r="G86" s="338"/>
      <c r="N86" s="425"/>
    </row>
    <row r="87" spans="6:14" ht="14.25">
      <c r="F87" s="338"/>
      <c r="G87" s="338"/>
      <c r="N87" s="425"/>
    </row>
    <row r="88" spans="6:14" ht="14.25">
      <c r="F88" s="338"/>
      <c r="G88" s="338"/>
      <c r="N88" s="425"/>
    </row>
    <row r="89" spans="6:14" ht="14.25">
      <c r="F89" s="338"/>
      <c r="G89" s="338"/>
      <c r="N89" s="425"/>
    </row>
    <row r="90" spans="6:14" ht="14.25">
      <c r="F90" s="338"/>
      <c r="G90" s="338"/>
      <c r="N90" s="425"/>
    </row>
    <row r="91" spans="6:14">
      <c r="G91" s="338"/>
    </row>
    <row r="92" spans="6:14">
      <c r="G92" s="338"/>
    </row>
    <row r="93" spans="6:14">
      <c r="G93" s="338"/>
    </row>
    <row r="94" spans="6:14">
      <c r="G94" s="338"/>
    </row>
    <row r="95" spans="6:14">
      <c r="G95" s="338"/>
    </row>
    <row r="96" spans="6:14">
      <c r="G96" s="338"/>
    </row>
  </sheetData>
  <mergeCells count="14">
    <mergeCell ref="O4:O5"/>
    <mergeCell ref="H4:H5"/>
    <mergeCell ref="B2:I2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K4:K5"/>
    <mergeCell ref="E4:E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 codeName="Sheet37"/>
  <dimension ref="A1:Q96"/>
  <sheetViews>
    <sheetView zoomScaleNormal="100" workbookViewId="0">
      <selection activeCell="T34" sqref="T34"/>
    </sheetView>
  </sheetViews>
  <sheetFormatPr defaultRowHeight="12.75"/>
  <cols>
    <col min="1" max="1" width="9.140625" style="314"/>
    <col min="2" max="2" width="4.7109375" style="9" customWidth="1"/>
    <col min="3" max="3" width="5.140625" style="9" customWidth="1"/>
    <col min="4" max="4" width="5" style="9" customWidth="1"/>
    <col min="5" max="5" width="5" style="314" customWidth="1"/>
    <col min="6" max="6" width="8.7109375" style="18" customWidth="1"/>
    <col min="7" max="7" width="8.7109375" style="319" customWidth="1"/>
    <col min="8" max="8" width="50.7109375" style="9" customWidth="1"/>
    <col min="9" max="11" width="14.7109375" style="9" customWidth="1"/>
    <col min="12" max="13" width="14.7109375" style="314" customWidth="1"/>
    <col min="14" max="14" width="15.7109375" style="9" customWidth="1"/>
    <col min="15" max="15" width="7.7109375" style="380" customWidth="1"/>
    <col min="16" max="16384" width="9.140625" style="9"/>
  </cols>
  <sheetData>
    <row r="1" spans="1:17" ht="13.5" thickBot="1"/>
    <row r="2" spans="1:17" s="408" customFormat="1" ht="20.100000000000001" customHeight="1" thickTop="1" thickBot="1">
      <c r="B2" s="887" t="s">
        <v>777</v>
      </c>
      <c r="C2" s="888"/>
      <c r="D2" s="888"/>
      <c r="E2" s="888"/>
      <c r="F2" s="888"/>
      <c r="G2" s="888"/>
      <c r="H2" s="888"/>
      <c r="I2" s="888"/>
      <c r="J2" s="888"/>
      <c r="K2" s="888"/>
      <c r="L2" s="888"/>
      <c r="M2" s="888"/>
      <c r="N2" s="888"/>
      <c r="O2" s="412"/>
    </row>
    <row r="3" spans="1:17" s="1" customFormat="1" ht="8.1" customHeight="1" thickTop="1" thickBot="1">
      <c r="A3" s="311"/>
      <c r="E3" s="311"/>
      <c r="F3" s="2"/>
      <c r="G3" s="312"/>
      <c r="H3" s="890"/>
      <c r="I3" s="890"/>
      <c r="J3" s="282"/>
      <c r="K3" s="282"/>
      <c r="L3" s="107"/>
      <c r="M3" s="107"/>
      <c r="N3" s="107"/>
      <c r="O3" s="374"/>
    </row>
    <row r="4" spans="1:17" s="1" customFormat="1" ht="39" customHeight="1">
      <c r="A4" s="311"/>
      <c r="B4" s="894" t="s">
        <v>77</v>
      </c>
      <c r="C4" s="909" t="s">
        <v>78</v>
      </c>
      <c r="D4" s="910" t="s">
        <v>107</v>
      </c>
      <c r="E4" s="916" t="s">
        <v>828</v>
      </c>
      <c r="F4" s="911" t="s">
        <v>517</v>
      </c>
      <c r="G4" s="899" t="s">
        <v>556</v>
      </c>
      <c r="H4" s="900" t="s">
        <v>79</v>
      </c>
      <c r="I4" s="912" t="s">
        <v>697</v>
      </c>
      <c r="J4" s="913" t="s">
        <v>862</v>
      </c>
      <c r="K4" s="917" t="s">
        <v>863</v>
      </c>
      <c r="L4" s="908" t="s">
        <v>865</v>
      </c>
      <c r="M4" s="892"/>
      <c r="N4" s="893"/>
      <c r="O4" s="906" t="s">
        <v>866</v>
      </c>
      <c r="Q4" s="81"/>
    </row>
    <row r="5" spans="1:17" s="311" customFormat="1" ht="27" customHeight="1">
      <c r="B5" s="895"/>
      <c r="C5" s="897"/>
      <c r="D5" s="897"/>
      <c r="E5" s="897"/>
      <c r="F5" s="901"/>
      <c r="G5" s="897"/>
      <c r="H5" s="901"/>
      <c r="I5" s="901"/>
      <c r="J5" s="901"/>
      <c r="K5" s="905"/>
      <c r="L5" s="587" t="s">
        <v>601</v>
      </c>
      <c r="M5" s="404" t="s">
        <v>602</v>
      </c>
      <c r="N5" s="720" t="s">
        <v>349</v>
      </c>
      <c r="O5" s="907"/>
    </row>
    <row r="6" spans="1:17" s="2" customFormat="1" ht="12.95" customHeight="1">
      <c r="A6" s="312"/>
      <c r="B6" s="525">
        <v>1</v>
      </c>
      <c r="C6" s="361">
        <v>2</v>
      </c>
      <c r="D6" s="361">
        <v>3</v>
      </c>
      <c r="E6" s="361">
        <v>4</v>
      </c>
      <c r="F6" s="361">
        <v>5</v>
      </c>
      <c r="G6" s="361">
        <v>6</v>
      </c>
      <c r="H6" s="361">
        <v>7</v>
      </c>
      <c r="I6" s="361">
        <v>8</v>
      </c>
      <c r="J6" s="361">
        <v>9</v>
      </c>
      <c r="K6" s="526">
        <v>10</v>
      </c>
      <c r="L6" s="525">
        <v>11</v>
      </c>
      <c r="M6" s="361">
        <v>12</v>
      </c>
      <c r="N6" s="721" t="s">
        <v>830</v>
      </c>
      <c r="O6" s="527">
        <v>14</v>
      </c>
    </row>
    <row r="7" spans="1:17" s="2" customFormat="1" ht="12.95" customHeight="1">
      <c r="A7" s="312"/>
      <c r="B7" s="6" t="s">
        <v>137</v>
      </c>
      <c r="C7" s="7" t="s">
        <v>80</v>
      </c>
      <c r="D7" s="7" t="s">
        <v>81</v>
      </c>
      <c r="E7" s="667" t="s">
        <v>835</v>
      </c>
      <c r="F7" s="5"/>
      <c r="G7" s="313"/>
      <c r="H7" s="5"/>
      <c r="I7" s="574"/>
      <c r="J7" s="313"/>
      <c r="K7" s="574"/>
      <c r="L7" s="4"/>
      <c r="M7" s="313"/>
      <c r="N7" s="722"/>
      <c r="O7" s="375"/>
    </row>
    <row r="8" spans="1:17" s="1" customFormat="1" ht="12.95" customHeight="1">
      <c r="A8" s="311"/>
      <c r="B8" s="12"/>
      <c r="C8" s="8"/>
      <c r="D8" s="8"/>
      <c r="E8" s="8"/>
      <c r="F8" s="335">
        <v>611000</v>
      </c>
      <c r="G8" s="361"/>
      <c r="H8" s="8" t="s">
        <v>146</v>
      </c>
      <c r="I8" s="738">
        <f t="shared" ref="I8:N8" si="0">SUM(I9:I11)</f>
        <v>99320</v>
      </c>
      <c r="J8" s="236">
        <f t="shared" si="0"/>
        <v>99320</v>
      </c>
      <c r="K8" s="744">
        <f t="shared" si="0"/>
        <v>26318</v>
      </c>
      <c r="L8" s="578">
        <f t="shared" si="0"/>
        <v>104840</v>
      </c>
      <c r="M8" s="236">
        <f t="shared" si="0"/>
        <v>0</v>
      </c>
      <c r="N8" s="723">
        <f t="shared" si="0"/>
        <v>104840</v>
      </c>
      <c r="O8" s="376">
        <f>IF(J8=0,"",N8/J8*100)</f>
        <v>105.55779299234797</v>
      </c>
    </row>
    <row r="9" spans="1:17" ht="12.95" customHeight="1">
      <c r="B9" s="10"/>
      <c r="C9" s="11"/>
      <c r="D9" s="11"/>
      <c r="E9" s="316"/>
      <c r="F9" s="336">
        <v>611100</v>
      </c>
      <c r="G9" s="362"/>
      <c r="H9" s="20" t="s">
        <v>174</v>
      </c>
      <c r="I9" s="739">
        <f>83750-8720+1740+500+2100</f>
        <v>79370</v>
      </c>
      <c r="J9" s="235">
        <f>83750-8720+1740+500+2100</f>
        <v>79370</v>
      </c>
      <c r="K9" s="741">
        <v>21265</v>
      </c>
      <c r="L9" s="579">
        <f>84130+3*1980-8720+1740</f>
        <v>83090</v>
      </c>
      <c r="M9" s="235">
        <v>0</v>
      </c>
      <c r="N9" s="724">
        <f>SUM(L9:M9)</f>
        <v>83090</v>
      </c>
      <c r="O9" s="377">
        <f>IF(J9=0,"",N9/J9*100)</f>
        <v>104.68690941161647</v>
      </c>
    </row>
    <row r="10" spans="1:17" ht="12.95" customHeight="1">
      <c r="B10" s="10"/>
      <c r="C10" s="11"/>
      <c r="D10" s="11"/>
      <c r="E10" s="316"/>
      <c r="F10" s="336">
        <v>611200</v>
      </c>
      <c r="G10" s="362"/>
      <c r="H10" s="11" t="s">
        <v>175</v>
      </c>
      <c r="I10" s="739">
        <f>17630-1680+4000</f>
        <v>19950</v>
      </c>
      <c r="J10" s="235">
        <f>17630-1680+4000</f>
        <v>19950</v>
      </c>
      <c r="K10" s="741">
        <v>5053</v>
      </c>
      <c r="L10" s="579">
        <f>18170+300+3*320-1680+4000</f>
        <v>21750</v>
      </c>
      <c r="M10" s="235">
        <v>0</v>
      </c>
      <c r="N10" s="724">
        <f t="shared" ref="N10:N11" si="1">SUM(L10:M10)</f>
        <v>21750</v>
      </c>
      <c r="O10" s="377">
        <f t="shared" ref="O10:O35" si="2">IF(J10=0,"",N10/J10*100)</f>
        <v>109.02255639097744</v>
      </c>
    </row>
    <row r="11" spans="1:17" ht="12.95" customHeight="1">
      <c r="B11" s="10"/>
      <c r="C11" s="11"/>
      <c r="D11" s="11"/>
      <c r="E11" s="316"/>
      <c r="F11" s="336">
        <v>611200</v>
      </c>
      <c r="G11" s="362"/>
      <c r="H11" s="210" t="s">
        <v>464</v>
      </c>
      <c r="I11" s="739">
        <v>0</v>
      </c>
      <c r="J11" s="235">
        <v>0</v>
      </c>
      <c r="K11" s="741">
        <v>0</v>
      </c>
      <c r="L11" s="579">
        <v>0</v>
      </c>
      <c r="M11" s="235">
        <v>0</v>
      </c>
      <c r="N11" s="724">
        <f t="shared" si="1"/>
        <v>0</v>
      </c>
      <c r="O11" s="377" t="str">
        <f t="shared" si="2"/>
        <v/>
      </c>
      <c r="Q11" s="62"/>
    </row>
    <row r="12" spans="1:17" ht="12.95" customHeight="1">
      <c r="B12" s="10"/>
      <c r="C12" s="11"/>
      <c r="D12" s="11"/>
      <c r="E12" s="316"/>
      <c r="F12" s="336"/>
      <c r="G12" s="362"/>
      <c r="H12" s="11"/>
      <c r="I12" s="739"/>
      <c r="J12" s="235"/>
      <c r="K12" s="741"/>
      <c r="L12" s="579"/>
      <c r="M12" s="235"/>
      <c r="N12" s="724"/>
      <c r="O12" s="377" t="str">
        <f t="shared" si="2"/>
        <v/>
      </c>
    </row>
    <row r="13" spans="1:17" ht="12.95" customHeight="1">
      <c r="B13" s="12"/>
      <c r="C13" s="8"/>
      <c r="D13" s="8"/>
      <c r="E13" s="8"/>
      <c r="F13" s="335">
        <v>612000</v>
      </c>
      <c r="G13" s="361"/>
      <c r="H13" s="8" t="s">
        <v>145</v>
      </c>
      <c r="I13" s="738">
        <f t="shared" ref="I13:N13" si="3">I14</f>
        <v>8380</v>
      </c>
      <c r="J13" s="236">
        <f t="shared" si="3"/>
        <v>8380</v>
      </c>
      <c r="K13" s="744">
        <f t="shared" si="3"/>
        <v>2207</v>
      </c>
      <c r="L13" s="578">
        <f t="shared" si="3"/>
        <v>8580</v>
      </c>
      <c r="M13" s="236">
        <f t="shared" si="3"/>
        <v>0</v>
      </c>
      <c r="N13" s="723">
        <f t="shared" si="3"/>
        <v>8580</v>
      </c>
      <c r="O13" s="376">
        <f t="shared" si="2"/>
        <v>102.38663484486874</v>
      </c>
    </row>
    <row r="14" spans="1:17" s="1" customFormat="1" ht="12.95" customHeight="1">
      <c r="A14" s="311"/>
      <c r="B14" s="10"/>
      <c r="C14" s="11"/>
      <c r="D14" s="11"/>
      <c r="E14" s="316"/>
      <c r="F14" s="336">
        <v>612100</v>
      </c>
      <c r="G14" s="362"/>
      <c r="H14" s="13" t="s">
        <v>82</v>
      </c>
      <c r="I14" s="739">
        <f>8870-920+200+230</f>
        <v>8380</v>
      </c>
      <c r="J14" s="235">
        <f>8870-920+200+230</f>
        <v>8380</v>
      </c>
      <c r="K14" s="741">
        <v>2207</v>
      </c>
      <c r="L14" s="579">
        <f>8840+3*220-920</f>
        <v>8580</v>
      </c>
      <c r="M14" s="235">
        <v>0</v>
      </c>
      <c r="N14" s="724">
        <f>SUM(L14:M14)</f>
        <v>8580</v>
      </c>
      <c r="O14" s="377">
        <f t="shared" si="2"/>
        <v>102.38663484486874</v>
      </c>
    </row>
    <row r="15" spans="1:17" ht="12.95" customHeight="1">
      <c r="B15" s="10"/>
      <c r="C15" s="11"/>
      <c r="D15" s="11"/>
      <c r="E15" s="316"/>
      <c r="F15" s="336"/>
      <c r="G15" s="362"/>
      <c r="H15" s="11"/>
      <c r="I15" s="586"/>
      <c r="J15" s="309"/>
      <c r="K15" s="791"/>
      <c r="L15" s="580"/>
      <c r="M15" s="309"/>
      <c r="N15" s="725"/>
      <c r="O15" s="377" t="str">
        <f t="shared" si="2"/>
        <v/>
      </c>
    </row>
    <row r="16" spans="1:17" ht="12.95" customHeight="1">
      <c r="B16" s="12"/>
      <c r="C16" s="8"/>
      <c r="D16" s="8"/>
      <c r="E16" s="8"/>
      <c r="F16" s="335">
        <v>613000</v>
      </c>
      <c r="G16" s="361"/>
      <c r="H16" s="8" t="s">
        <v>147</v>
      </c>
      <c r="I16" s="778">
        <f t="shared" ref="I16:N16" si="4">SUM(I17:I26)</f>
        <v>24300</v>
      </c>
      <c r="J16" s="323">
        <f t="shared" si="4"/>
        <v>24300</v>
      </c>
      <c r="K16" s="783">
        <f t="shared" si="4"/>
        <v>5302</v>
      </c>
      <c r="L16" s="581">
        <f t="shared" si="4"/>
        <v>24120</v>
      </c>
      <c r="M16" s="323">
        <f t="shared" si="4"/>
        <v>0</v>
      </c>
      <c r="N16" s="726">
        <f t="shared" si="4"/>
        <v>24120</v>
      </c>
      <c r="O16" s="376">
        <f t="shared" si="2"/>
        <v>99.259259259259252</v>
      </c>
    </row>
    <row r="17" spans="1:15" s="1" customFormat="1" ht="12.95" customHeight="1">
      <c r="A17" s="311"/>
      <c r="B17" s="10"/>
      <c r="C17" s="11"/>
      <c r="D17" s="11"/>
      <c r="E17" s="316"/>
      <c r="F17" s="336">
        <v>613100</v>
      </c>
      <c r="G17" s="362"/>
      <c r="H17" s="11" t="s">
        <v>83</v>
      </c>
      <c r="I17" s="741">
        <v>400</v>
      </c>
      <c r="J17" s="396">
        <v>400</v>
      </c>
      <c r="K17" s="741">
        <v>0</v>
      </c>
      <c r="L17" s="568">
        <f>400*80%</f>
        <v>320</v>
      </c>
      <c r="M17" s="396">
        <v>0</v>
      </c>
      <c r="N17" s="724">
        <f t="shared" ref="N17:N26" si="5">SUM(L17:M17)</f>
        <v>320</v>
      </c>
      <c r="O17" s="377">
        <f t="shared" si="2"/>
        <v>80</v>
      </c>
    </row>
    <row r="18" spans="1:15" ht="12.95" customHeight="1">
      <c r="B18" s="10"/>
      <c r="C18" s="11"/>
      <c r="D18" s="11"/>
      <c r="E18" s="316"/>
      <c r="F18" s="336">
        <v>613200</v>
      </c>
      <c r="G18" s="362"/>
      <c r="H18" s="11" t="s">
        <v>84</v>
      </c>
      <c r="I18" s="741">
        <v>5500</v>
      </c>
      <c r="J18" s="396">
        <v>5500</v>
      </c>
      <c r="K18" s="741">
        <v>304</v>
      </c>
      <c r="L18" s="568">
        <v>5500</v>
      </c>
      <c r="M18" s="396">
        <v>0</v>
      </c>
      <c r="N18" s="724">
        <f t="shared" si="5"/>
        <v>5500</v>
      </c>
      <c r="O18" s="377">
        <f t="shared" si="2"/>
        <v>100</v>
      </c>
    </row>
    <row r="19" spans="1:15" ht="12.95" customHeight="1">
      <c r="B19" s="10"/>
      <c r="C19" s="11"/>
      <c r="D19" s="11"/>
      <c r="E19" s="316"/>
      <c r="F19" s="336">
        <v>613300</v>
      </c>
      <c r="G19" s="362"/>
      <c r="H19" s="20" t="s">
        <v>176</v>
      </c>
      <c r="I19" s="741">
        <v>3300</v>
      </c>
      <c r="J19" s="396">
        <v>3300</v>
      </c>
      <c r="K19" s="741">
        <v>684</v>
      </c>
      <c r="L19" s="568">
        <v>3300</v>
      </c>
      <c r="M19" s="396">
        <v>0</v>
      </c>
      <c r="N19" s="724">
        <f t="shared" si="5"/>
        <v>3300</v>
      </c>
      <c r="O19" s="377">
        <f t="shared" si="2"/>
        <v>100</v>
      </c>
    </row>
    <row r="20" spans="1:15" ht="12.95" customHeight="1">
      <c r="B20" s="10"/>
      <c r="C20" s="11"/>
      <c r="D20" s="11"/>
      <c r="E20" s="316"/>
      <c r="F20" s="336">
        <v>613400</v>
      </c>
      <c r="G20" s="362"/>
      <c r="H20" s="11" t="s">
        <v>148</v>
      </c>
      <c r="I20" s="741">
        <v>1000</v>
      </c>
      <c r="J20" s="396">
        <v>1000</v>
      </c>
      <c r="K20" s="741">
        <v>237</v>
      </c>
      <c r="L20" s="568">
        <v>1000</v>
      </c>
      <c r="M20" s="396">
        <v>0</v>
      </c>
      <c r="N20" s="724">
        <f t="shared" si="5"/>
        <v>1000</v>
      </c>
      <c r="O20" s="377">
        <f t="shared" si="2"/>
        <v>100</v>
      </c>
    </row>
    <row r="21" spans="1:15" ht="12.95" customHeight="1">
      <c r="B21" s="10"/>
      <c r="C21" s="11"/>
      <c r="D21" s="11"/>
      <c r="E21" s="316"/>
      <c r="F21" s="336">
        <v>613500</v>
      </c>
      <c r="G21" s="362"/>
      <c r="H21" s="11" t="s">
        <v>85</v>
      </c>
      <c r="I21" s="741">
        <v>0</v>
      </c>
      <c r="J21" s="396">
        <v>0</v>
      </c>
      <c r="K21" s="741">
        <v>0</v>
      </c>
      <c r="L21" s="568">
        <v>0</v>
      </c>
      <c r="M21" s="396">
        <v>0</v>
      </c>
      <c r="N21" s="724">
        <f t="shared" si="5"/>
        <v>0</v>
      </c>
      <c r="O21" s="377" t="str">
        <f t="shared" si="2"/>
        <v/>
      </c>
    </row>
    <row r="22" spans="1:15" ht="12.95" customHeight="1">
      <c r="B22" s="10"/>
      <c r="C22" s="11"/>
      <c r="D22" s="11"/>
      <c r="E22" s="316"/>
      <c r="F22" s="336">
        <v>613600</v>
      </c>
      <c r="G22" s="362"/>
      <c r="H22" s="20" t="s">
        <v>177</v>
      </c>
      <c r="I22" s="741">
        <v>0</v>
      </c>
      <c r="J22" s="396">
        <v>0</v>
      </c>
      <c r="K22" s="741">
        <v>0</v>
      </c>
      <c r="L22" s="568">
        <v>0</v>
      </c>
      <c r="M22" s="396">
        <v>0</v>
      </c>
      <c r="N22" s="724">
        <f t="shared" si="5"/>
        <v>0</v>
      </c>
      <c r="O22" s="377" t="str">
        <f t="shared" si="2"/>
        <v/>
      </c>
    </row>
    <row r="23" spans="1:15" ht="12.95" customHeight="1">
      <c r="B23" s="10"/>
      <c r="C23" s="11"/>
      <c r="D23" s="11"/>
      <c r="E23" s="316"/>
      <c r="F23" s="336">
        <v>613700</v>
      </c>
      <c r="G23" s="362"/>
      <c r="H23" s="11" t="s">
        <v>86</v>
      </c>
      <c r="I23" s="741">
        <v>1000</v>
      </c>
      <c r="J23" s="396">
        <v>1000</v>
      </c>
      <c r="K23" s="741">
        <v>11</v>
      </c>
      <c r="L23" s="568">
        <v>1000</v>
      </c>
      <c r="M23" s="396">
        <v>0</v>
      </c>
      <c r="N23" s="724">
        <f t="shared" si="5"/>
        <v>1000</v>
      </c>
      <c r="O23" s="377">
        <f t="shared" si="2"/>
        <v>100</v>
      </c>
    </row>
    <row r="24" spans="1:15" ht="12.95" customHeight="1">
      <c r="B24" s="10"/>
      <c r="C24" s="11"/>
      <c r="D24" s="11"/>
      <c r="E24" s="316"/>
      <c r="F24" s="336">
        <v>613800</v>
      </c>
      <c r="G24" s="362"/>
      <c r="H24" s="11" t="s">
        <v>149</v>
      </c>
      <c r="I24" s="741">
        <v>0</v>
      </c>
      <c r="J24" s="396">
        <v>0</v>
      </c>
      <c r="K24" s="741">
        <v>0</v>
      </c>
      <c r="L24" s="568">
        <v>0</v>
      </c>
      <c r="M24" s="396">
        <v>0</v>
      </c>
      <c r="N24" s="724">
        <f t="shared" si="5"/>
        <v>0</v>
      </c>
      <c r="O24" s="377" t="str">
        <f t="shared" si="2"/>
        <v/>
      </c>
    </row>
    <row r="25" spans="1:15" ht="12.95" customHeight="1">
      <c r="B25" s="10"/>
      <c r="C25" s="11"/>
      <c r="D25" s="11"/>
      <c r="E25" s="316"/>
      <c r="F25" s="336">
        <v>613900</v>
      </c>
      <c r="G25" s="362"/>
      <c r="H25" s="11" t="s">
        <v>150</v>
      </c>
      <c r="I25" s="741">
        <f>5300+12*650</f>
        <v>13100</v>
      </c>
      <c r="J25" s="396">
        <f>5300+12*650</f>
        <v>13100</v>
      </c>
      <c r="K25" s="741">
        <v>4066</v>
      </c>
      <c r="L25" s="568">
        <f>5300+12*650-100</f>
        <v>13000</v>
      </c>
      <c r="M25" s="396">
        <v>0</v>
      </c>
      <c r="N25" s="724">
        <f t="shared" si="5"/>
        <v>13000</v>
      </c>
      <c r="O25" s="377">
        <f t="shared" si="2"/>
        <v>99.236641221374043</v>
      </c>
    </row>
    <row r="26" spans="1:15" ht="12.95" customHeight="1">
      <c r="B26" s="10"/>
      <c r="C26" s="11"/>
      <c r="D26" s="11"/>
      <c r="E26" s="316"/>
      <c r="F26" s="336">
        <v>613900</v>
      </c>
      <c r="G26" s="362"/>
      <c r="H26" s="210" t="s">
        <v>465</v>
      </c>
      <c r="I26" s="741">
        <v>0</v>
      </c>
      <c r="J26" s="396">
        <v>0</v>
      </c>
      <c r="K26" s="741">
        <v>0</v>
      </c>
      <c r="L26" s="568">
        <v>0</v>
      </c>
      <c r="M26" s="396">
        <v>0</v>
      </c>
      <c r="N26" s="724">
        <f t="shared" si="5"/>
        <v>0</v>
      </c>
      <c r="O26" s="377" t="str">
        <f t="shared" si="2"/>
        <v/>
      </c>
    </row>
    <row r="27" spans="1:15" ht="12.95" customHeight="1">
      <c r="B27" s="12"/>
      <c r="C27" s="8"/>
      <c r="D27" s="8"/>
      <c r="E27" s="8"/>
      <c r="F27" s="335"/>
      <c r="G27" s="361"/>
      <c r="H27" s="8"/>
      <c r="I27" s="632"/>
      <c r="J27" s="325"/>
      <c r="K27" s="744"/>
      <c r="L27" s="588"/>
      <c r="M27" s="325"/>
      <c r="N27" s="726"/>
      <c r="O27" s="377" t="str">
        <f t="shared" si="2"/>
        <v/>
      </c>
    </row>
    <row r="28" spans="1:15" ht="12.95" customHeight="1">
      <c r="B28" s="12"/>
      <c r="C28" s="8"/>
      <c r="D28" s="8"/>
      <c r="E28" s="8"/>
      <c r="F28" s="335">
        <v>821000</v>
      </c>
      <c r="G28" s="361"/>
      <c r="H28" s="8" t="s">
        <v>89</v>
      </c>
      <c r="I28" s="632">
        <f t="shared" ref="I28:N28" si="6">SUM(I29:I30)</f>
        <v>2500</v>
      </c>
      <c r="J28" s="325">
        <f t="shared" si="6"/>
        <v>2500</v>
      </c>
      <c r="K28" s="744">
        <f t="shared" si="6"/>
        <v>0</v>
      </c>
      <c r="L28" s="588">
        <f t="shared" si="6"/>
        <v>2500</v>
      </c>
      <c r="M28" s="325">
        <f t="shared" si="6"/>
        <v>0</v>
      </c>
      <c r="N28" s="726">
        <f t="shared" si="6"/>
        <v>2500</v>
      </c>
      <c r="O28" s="376">
        <f t="shared" si="2"/>
        <v>100</v>
      </c>
    </row>
    <row r="29" spans="1:15" s="1" customFormat="1" ht="12.95" customHeight="1">
      <c r="A29" s="311"/>
      <c r="B29" s="10"/>
      <c r="C29" s="11"/>
      <c r="D29" s="11"/>
      <c r="E29" s="316"/>
      <c r="F29" s="336">
        <v>821200</v>
      </c>
      <c r="G29" s="362"/>
      <c r="H29" s="11" t="s">
        <v>90</v>
      </c>
      <c r="I29" s="740">
        <v>0</v>
      </c>
      <c r="J29" s="310">
        <v>0</v>
      </c>
      <c r="K29" s="741">
        <v>0</v>
      </c>
      <c r="L29" s="583">
        <v>0</v>
      </c>
      <c r="M29" s="310">
        <v>0</v>
      </c>
      <c r="N29" s="724">
        <f t="shared" ref="N29:N30" si="7">SUM(L29:M29)</f>
        <v>0</v>
      </c>
      <c r="O29" s="377" t="str">
        <f t="shared" si="2"/>
        <v/>
      </c>
    </row>
    <row r="30" spans="1:15" ht="12.95" customHeight="1">
      <c r="B30" s="10"/>
      <c r="C30" s="11"/>
      <c r="D30" s="11"/>
      <c r="E30" s="316"/>
      <c r="F30" s="336">
        <v>821300</v>
      </c>
      <c r="G30" s="362"/>
      <c r="H30" s="11" t="s">
        <v>91</v>
      </c>
      <c r="I30" s="740">
        <v>2500</v>
      </c>
      <c r="J30" s="310">
        <v>2500</v>
      </c>
      <c r="K30" s="741">
        <v>0</v>
      </c>
      <c r="L30" s="583">
        <v>2500</v>
      </c>
      <c r="M30" s="310">
        <v>0</v>
      </c>
      <c r="N30" s="724">
        <f t="shared" si="7"/>
        <v>2500</v>
      </c>
      <c r="O30" s="377">
        <f t="shared" si="2"/>
        <v>100</v>
      </c>
    </row>
    <row r="31" spans="1:15" ht="12.95" customHeight="1">
      <c r="B31" s="10"/>
      <c r="C31" s="11"/>
      <c r="D31" s="11"/>
      <c r="E31" s="316"/>
      <c r="F31" s="336"/>
      <c r="G31" s="362"/>
      <c r="H31" s="11"/>
      <c r="I31" s="740"/>
      <c r="J31" s="310"/>
      <c r="K31" s="741"/>
      <c r="L31" s="583"/>
      <c r="M31" s="310"/>
      <c r="N31" s="725"/>
      <c r="O31" s="377" t="str">
        <f t="shared" si="2"/>
        <v/>
      </c>
    </row>
    <row r="32" spans="1:15" ht="12.95" customHeight="1">
      <c r="B32" s="12"/>
      <c r="C32" s="8"/>
      <c r="D32" s="8"/>
      <c r="E32" s="8"/>
      <c r="F32" s="335"/>
      <c r="G32" s="361"/>
      <c r="H32" s="8" t="s">
        <v>92</v>
      </c>
      <c r="I32" s="632">
        <v>5</v>
      </c>
      <c r="J32" s="325">
        <v>5</v>
      </c>
      <c r="K32" s="744">
        <v>4</v>
      </c>
      <c r="L32" s="588">
        <v>5</v>
      </c>
      <c r="M32" s="325"/>
      <c r="N32" s="726">
        <v>5</v>
      </c>
      <c r="O32" s="377"/>
    </row>
    <row r="33" spans="1:15" s="1" customFormat="1" ht="12.95" customHeight="1">
      <c r="A33" s="311"/>
      <c r="B33" s="12"/>
      <c r="C33" s="8"/>
      <c r="D33" s="8"/>
      <c r="E33" s="8"/>
      <c r="F33" s="335"/>
      <c r="G33" s="361"/>
      <c r="H33" s="8" t="s">
        <v>110</v>
      </c>
      <c r="I33" s="575">
        <f>I8+I13+I16+I28</f>
        <v>134500</v>
      </c>
      <c r="J33" s="318">
        <f>J8+J13+J16+J28</f>
        <v>134500</v>
      </c>
      <c r="K33" s="575">
        <f t="shared" ref="K33" si="8">K8+K13+K16+K28</f>
        <v>33827</v>
      </c>
      <c r="L33" s="582">
        <f>L8+L13+L16+L28</f>
        <v>140040</v>
      </c>
      <c r="M33" s="318">
        <f>M8+M13+M16+M28</f>
        <v>0</v>
      </c>
      <c r="N33" s="726">
        <f>N8+N13+N16+N28</f>
        <v>140040</v>
      </c>
      <c r="O33" s="376">
        <f t="shared" si="2"/>
        <v>104.11895910780669</v>
      </c>
    </row>
    <row r="34" spans="1:15" s="1" customFormat="1" ht="12.95" customHeight="1">
      <c r="A34" s="311"/>
      <c r="B34" s="12"/>
      <c r="C34" s="8"/>
      <c r="D34" s="8"/>
      <c r="E34" s="8"/>
      <c r="F34" s="335"/>
      <c r="G34" s="361"/>
      <c r="H34" s="8" t="s">
        <v>93</v>
      </c>
      <c r="I34" s="15">
        <f>I33</f>
        <v>134500</v>
      </c>
      <c r="J34" s="15">
        <f>J33</f>
        <v>134500</v>
      </c>
      <c r="K34" s="575">
        <f t="shared" ref="K34" si="9">K33</f>
        <v>33827</v>
      </c>
      <c r="L34" s="582">
        <f t="shared" ref="L34:N35" si="10">L33</f>
        <v>140040</v>
      </c>
      <c r="M34" s="318">
        <f t="shared" si="10"/>
        <v>0</v>
      </c>
      <c r="N34" s="726">
        <f t="shared" si="10"/>
        <v>140040</v>
      </c>
      <c r="O34" s="376">
        <f>IF(J34=0,"",N34/J34*100)</f>
        <v>104.11895910780669</v>
      </c>
    </row>
    <row r="35" spans="1:15" s="1" customFormat="1" ht="12.95" customHeight="1">
      <c r="A35" s="311"/>
      <c r="B35" s="12"/>
      <c r="C35" s="8"/>
      <c r="D35" s="8"/>
      <c r="E35" s="8"/>
      <c r="F35" s="335"/>
      <c r="G35" s="361"/>
      <c r="H35" s="8" t="s">
        <v>94</v>
      </c>
      <c r="I35" s="15">
        <f>I34</f>
        <v>134500</v>
      </c>
      <c r="J35" s="15">
        <f>J34</f>
        <v>134500</v>
      </c>
      <c r="K35" s="575">
        <f t="shared" ref="K35" si="11">K34</f>
        <v>33827</v>
      </c>
      <c r="L35" s="582">
        <f t="shared" si="10"/>
        <v>140040</v>
      </c>
      <c r="M35" s="318">
        <f t="shared" si="10"/>
        <v>0</v>
      </c>
      <c r="N35" s="726">
        <f t="shared" si="10"/>
        <v>140040</v>
      </c>
      <c r="O35" s="376">
        <f t="shared" si="2"/>
        <v>104.11895910780669</v>
      </c>
    </row>
    <row r="36" spans="1:15" s="1" customFormat="1" ht="12.95" customHeight="1" thickBot="1">
      <c r="A36" s="311"/>
      <c r="B36" s="16"/>
      <c r="C36" s="17"/>
      <c r="D36" s="17"/>
      <c r="E36" s="17"/>
      <c r="F36" s="337"/>
      <c r="G36" s="363"/>
      <c r="H36" s="17"/>
      <c r="I36" s="32"/>
      <c r="J36" s="32"/>
      <c r="K36" s="576"/>
      <c r="L36" s="585"/>
      <c r="M36" s="32"/>
      <c r="N36" s="728"/>
      <c r="O36" s="379"/>
    </row>
    <row r="37" spans="1:15" ht="12.95" customHeight="1">
      <c r="F37" s="338"/>
      <c r="G37" s="364"/>
      <c r="L37" s="638"/>
      <c r="N37" s="423"/>
    </row>
    <row r="38" spans="1:15" ht="12.95" customHeight="1">
      <c r="B38" s="55"/>
      <c r="F38" s="338"/>
      <c r="G38" s="364"/>
      <c r="N38" s="423"/>
    </row>
    <row r="39" spans="1:15" ht="12.95" customHeight="1">
      <c r="B39" s="55"/>
      <c r="F39" s="338"/>
      <c r="G39" s="364"/>
      <c r="N39" s="423"/>
    </row>
    <row r="40" spans="1:15" ht="12.95" customHeight="1">
      <c r="B40" s="55"/>
      <c r="F40" s="338"/>
      <c r="G40" s="364"/>
      <c r="N40" s="423"/>
    </row>
    <row r="41" spans="1:15" ht="12.95" customHeight="1">
      <c r="B41" s="55"/>
      <c r="F41" s="338"/>
      <c r="G41" s="364"/>
      <c r="N41" s="423"/>
    </row>
    <row r="42" spans="1:15" ht="12.95" customHeight="1">
      <c r="F42" s="338"/>
      <c r="G42" s="364"/>
      <c r="N42" s="423"/>
    </row>
    <row r="43" spans="1:15" ht="12.95" customHeight="1">
      <c r="F43" s="338"/>
      <c r="G43" s="364"/>
      <c r="N43" s="423"/>
    </row>
    <row r="44" spans="1:15" ht="12.95" customHeight="1">
      <c r="F44" s="338"/>
      <c r="G44" s="364"/>
      <c r="N44" s="423"/>
    </row>
    <row r="45" spans="1:15" ht="12.95" customHeight="1">
      <c r="F45" s="338"/>
      <c r="G45" s="364"/>
      <c r="N45" s="423"/>
    </row>
    <row r="46" spans="1:15" ht="12.95" customHeight="1">
      <c r="F46" s="338"/>
      <c r="G46" s="364"/>
      <c r="N46" s="423"/>
    </row>
    <row r="47" spans="1:15" ht="12.95" customHeight="1">
      <c r="F47" s="338"/>
      <c r="G47" s="364"/>
      <c r="N47" s="423"/>
    </row>
    <row r="48" spans="1:15" ht="12.95" customHeight="1">
      <c r="F48" s="338"/>
      <c r="G48" s="364"/>
      <c r="N48" s="423"/>
    </row>
    <row r="49" spans="6:14" ht="12.95" customHeight="1">
      <c r="F49" s="338"/>
      <c r="G49" s="364"/>
      <c r="N49" s="423"/>
    </row>
    <row r="50" spans="6:14" ht="12.95" customHeight="1">
      <c r="F50" s="338"/>
      <c r="G50" s="364"/>
      <c r="N50" s="423"/>
    </row>
    <row r="51" spans="6:14" ht="12.95" customHeight="1">
      <c r="F51" s="338"/>
      <c r="G51" s="364"/>
      <c r="N51" s="423"/>
    </row>
    <row r="52" spans="6:14" ht="12.95" customHeight="1">
      <c r="F52" s="338"/>
      <c r="G52" s="364"/>
      <c r="N52" s="423"/>
    </row>
    <row r="53" spans="6:14" ht="12.95" customHeight="1">
      <c r="F53" s="338"/>
      <c r="G53" s="364"/>
      <c r="N53" s="423"/>
    </row>
    <row r="54" spans="6:14" ht="12.95" customHeight="1">
      <c r="F54" s="338"/>
      <c r="G54" s="364"/>
      <c r="N54" s="423"/>
    </row>
    <row r="55" spans="6:14" ht="12.95" customHeight="1">
      <c r="F55" s="338"/>
      <c r="G55" s="364"/>
      <c r="N55" s="423"/>
    </row>
    <row r="56" spans="6:14" ht="12.95" customHeight="1">
      <c r="F56" s="338"/>
      <c r="G56" s="364"/>
      <c r="N56" s="423"/>
    </row>
    <row r="57" spans="6:14" ht="12.95" customHeight="1">
      <c r="F57" s="338"/>
      <c r="G57" s="364"/>
      <c r="N57" s="423"/>
    </row>
    <row r="58" spans="6:14" ht="12.95" customHeight="1">
      <c r="F58" s="338"/>
      <c r="G58" s="364"/>
      <c r="N58" s="423"/>
    </row>
    <row r="59" spans="6:14" ht="12.95" customHeight="1">
      <c r="F59" s="338"/>
      <c r="G59" s="364"/>
      <c r="N59" s="423"/>
    </row>
    <row r="60" spans="6:14" ht="17.100000000000001" customHeight="1">
      <c r="F60" s="338"/>
      <c r="G60" s="364"/>
      <c r="N60" s="423"/>
    </row>
    <row r="61" spans="6:14" ht="14.25">
      <c r="F61" s="338"/>
      <c r="G61" s="364"/>
      <c r="N61" s="423"/>
    </row>
    <row r="62" spans="6:14" ht="14.25">
      <c r="F62" s="338"/>
      <c r="G62" s="364"/>
      <c r="N62" s="423"/>
    </row>
    <row r="63" spans="6:14" ht="14.25">
      <c r="F63" s="338"/>
      <c r="G63" s="364"/>
      <c r="N63" s="423"/>
    </row>
    <row r="64" spans="6:14" ht="14.25">
      <c r="F64" s="338"/>
      <c r="G64" s="364"/>
      <c r="N64" s="423"/>
    </row>
    <row r="65" spans="6:14" ht="14.25">
      <c r="F65" s="338"/>
      <c r="G65" s="364"/>
      <c r="N65" s="423"/>
    </row>
    <row r="66" spans="6:14" ht="14.25">
      <c r="F66" s="338"/>
      <c r="G66" s="364"/>
      <c r="N66" s="423"/>
    </row>
    <row r="67" spans="6:14" ht="14.25">
      <c r="F67" s="338"/>
      <c r="G67" s="364"/>
      <c r="N67" s="423"/>
    </row>
    <row r="68" spans="6:14" ht="14.25">
      <c r="F68" s="338"/>
      <c r="G68" s="364"/>
      <c r="N68" s="423"/>
    </row>
    <row r="69" spans="6:14" ht="14.25">
      <c r="F69" s="338"/>
      <c r="G69" s="364"/>
      <c r="N69" s="423"/>
    </row>
    <row r="70" spans="6:14" ht="14.25">
      <c r="F70" s="338"/>
      <c r="G70" s="364"/>
      <c r="N70" s="423"/>
    </row>
    <row r="71" spans="6:14" ht="14.25">
      <c r="F71" s="338"/>
      <c r="G71" s="364"/>
      <c r="N71" s="423"/>
    </row>
    <row r="72" spans="6:14" ht="14.25">
      <c r="F72" s="338"/>
      <c r="G72" s="364"/>
      <c r="N72" s="423"/>
    </row>
    <row r="73" spans="6:14" ht="14.25">
      <c r="F73" s="338"/>
      <c r="G73" s="364"/>
      <c r="N73" s="423"/>
    </row>
    <row r="74" spans="6:14" ht="14.25">
      <c r="F74" s="338"/>
      <c r="G74" s="338"/>
      <c r="N74" s="423"/>
    </row>
    <row r="75" spans="6:14" ht="14.25">
      <c r="F75" s="338"/>
      <c r="G75" s="338"/>
      <c r="N75" s="423"/>
    </row>
    <row r="76" spans="6:14" ht="14.25">
      <c r="F76" s="338"/>
      <c r="G76" s="338"/>
      <c r="N76" s="423"/>
    </row>
    <row r="77" spans="6:14" ht="14.25">
      <c r="F77" s="338"/>
      <c r="G77" s="338"/>
      <c r="N77" s="423"/>
    </row>
    <row r="78" spans="6:14" ht="14.25">
      <c r="F78" s="338"/>
      <c r="G78" s="338"/>
      <c r="N78" s="423"/>
    </row>
    <row r="79" spans="6:14" ht="14.25">
      <c r="F79" s="338"/>
      <c r="G79" s="338"/>
      <c r="N79" s="423"/>
    </row>
    <row r="80" spans="6:14" ht="14.25">
      <c r="F80" s="338"/>
      <c r="G80" s="338"/>
      <c r="N80" s="423"/>
    </row>
    <row r="81" spans="6:14" ht="14.25">
      <c r="F81" s="338"/>
      <c r="G81" s="338"/>
      <c r="N81" s="423"/>
    </row>
    <row r="82" spans="6:14" ht="14.25">
      <c r="F82" s="338"/>
      <c r="G82" s="338"/>
      <c r="N82" s="423"/>
    </row>
    <row r="83" spans="6:14" ht="14.25">
      <c r="F83" s="338"/>
      <c r="G83" s="338"/>
      <c r="N83" s="423"/>
    </row>
    <row r="84" spans="6:14" ht="14.25">
      <c r="F84" s="338"/>
      <c r="G84" s="338"/>
      <c r="N84" s="423"/>
    </row>
    <row r="85" spans="6:14" ht="14.25">
      <c r="F85" s="338"/>
      <c r="G85" s="338"/>
      <c r="N85" s="423"/>
    </row>
    <row r="86" spans="6:14" ht="14.25">
      <c r="F86" s="338"/>
      <c r="G86" s="338"/>
      <c r="N86" s="423"/>
    </row>
    <row r="87" spans="6:14" ht="14.25">
      <c r="F87" s="338"/>
      <c r="G87" s="338"/>
      <c r="N87" s="423"/>
    </row>
    <row r="88" spans="6:14" ht="14.25">
      <c r="F88" s="338"/>
      <c r="G88" s="338"/>
      <c r="N88" s="423"/>
    </row>
    <row r="89" spans="6:14" ht="14.25">
      <c r="F89" s="338"/>
      <c r="G89" s="338"/>
      <c r="N89" s="423"/>
    </row>
    <row r="90" spans="6:14" ht="14.25">
      <c r="F90" s="338"/>
      <c r="G90" s="338"/>
      <c r="N90" s="423"/>
    </row>
    <row r="91" spans="6:14">
      <c r="G91" s="338"/>
    </row>
    <row r="92" spans="6:14">
      <c r="G92" s="338"/>
    </row>
    <row r="93" spans="6:14">
      <c r="G93" s="338"/>
    </row>
    <row r="94" spans="6:14">
      <c r="G94" s="338"/>
    </row>
    <row r="95" spans="6:14">
      <c r="G95" s="338"/>
    </row>
    <row r="96" spans="6:14">
      <c r="G96" s="338"/>
    </row>
  </sheetData>
  <mergeCells count="14">
    <mergeCell ref="O4:O5"/>
    <mergeCell ref="H4:H5"/>
    <mergeCell ref="B2:N2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K4:K5"/>
    <mergeCell ref="E4:E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 codeName="Sheet38"/>
  <dimension ref="A1:Q96"/>
  <sheetViews>
    <sheetView zoomScaleNormal="100" workbookViewId="0">
      <selection activeCell="Q45" sqref="Q45"/>
    </sheetView>
  </sheetViews>
  <sheetFormatPr defaultRowHeight="12.75"/>
  <cols>
    <col min="1" max="1" width="9.140625" style="314"/>
    <col min="2" max="2" width="4.7109375" style="9" customWidth="1"/>
    <col min="3" max="3" width="5.140625" style="9" customWidth="1"/>
    <col min="4" max="4" width="5" style="9" customWidth="1"/>
    <col min="5" max="5" width="5" style="314" customWidth="1"/>
    <col min="6" max="6" width="8.7109375" style="18" customWidth="1"/>
    <col min="7" max="7" width="8.7109375" style="319" customWidth="1"/>
    <col min="8" max="8" width="50.7109375" style="9" customWidth="1"/>
    <col min="9" max="11" width="14.7109375" style="9" customWidth="1"/>
    <col min="12" max="13" width="14.7109375" style="314" customWidth="1"/>
    <col min="14" max="14" width="15.7109375" style="9" customWidth="1"/>
    <col min="15" max="15" width="7.7109375" style="380" customWidth="1"/>
    <col min="16" max="16384" width="9.140625" style="9"/>
  </cols>
  <sheetData>
    <row r="1" spans="1:17" ht="13.5" thickBot="1"/>
    <row r="2" spans="1:17" s="408" customFormat="1" ht="20.100000000000001" customHeight="1" thickTop="1" thickBot="1">
      <c r="B2" s="887" t="s">
        <v>763</v>
      </c>
      <c r="C2" s="888"/>
      <c r="D2" s="888"/>
      <c r="E2" s="888"/>
      <c r="F2" s="888"/>
      <c r="G2" s="888"/>
      <c r="H2" s="888"/>
      <c r="I2" s="888"/>
      <c r="J2" s="888"/>
      <c r="K2" s="888"/>
      <c r="L2" s="888"/>
      <c r="M2" s="888"/>
      <c r="N2" s="888"/>
      <c r="O2" s="412"/>
    </row>
    <row r="3" spans="1:17" s="1" customFormat="1" ht="8.1" customHeight="1" thickTop="1" thickBot="1">
      <c r="A3" s="311"/>
      <c r="E3" s="311"/>
      <c r="F3" s="2"/>
      <c r="G3" s="312"/>
      <c r="H3" s="890"/>
      <c r="I3" s="890"/>
      <c r="J3" s="282"/>
      <c r="K3" s="282"/>
      <c r="L3" s="107"/>
      <c r="M3" s="107"/>
      <c r="N3" s="107"/>
      <c r="O3" s="374"/>
    </row>
    <row r="4" spans="1:17" s="1" customFormat="1" ht="39" customHeight="1">
      <c r="A4" s="311"/>
      <c r="B4" s="894" t="s">
        <v>77</v>
      </c>
      <c r="C4" s="909" t="s">
        <v>78</v>
      </c>
      <c r="D4" s="910" t="s">
        <v>107</v>
      </c>
      <c r="E4" s="916" t="s">
        <v>828</v>
      </c>
      <c r="F4" s="911" t="s">
        <v>517</v>
      </c>
      <c r="G4" s="899" t="s">
        <v>556</v>
      </c>
      <c r="H4" s="900" t="s">
        <v>79</v>
      </c>
      <c r="I4" s="912" t="s">
        <v>697</v>
      </c>
      <c r="J4" s="913" t="s">
        <v>862</v>
      </c>
      <c r="K4" s="917" t="s">
        <v>863</v>
      </c>
      <c r="L4" s="908" t="s">
        <v>865</v>
      </c>
      <c r="M4" s="892"/>
      <c r="N4" s="893"/>
      <c r="O4" s="906" t="s">
        <v>866</v>
      </c>
      <c r="Q4" s="81"/>
    </row>
    <row r="5" spans="1:17" s="311" customFormat="1" ht="27" customHeight="1">
      <c r="B5" s="895"/>
      <c r="C5" s="897"/>
      <c r="D5" s="897"/>
      <c r="E5" s="897"/>
      <c r="F5" s="901"/>
      <c r="G5" s="897"/>
      <c r="H5" s="901"/>
      <c r="I5" s="901"/>
      <c r="J5" s="901"/>
      <c r="K5" s="905"/>
      <c r="L5" s="587" t="s">
        <v>601</v>
      </c>
      <c r="M5" s="404" t="s">
        <v>602</v>
      </c>
      <c r="N5" s="720" t="s">
        <v>349</v>
      </c>
      <c r="O5" s="907"/>
    </row>
    <row r="6" spans="1:17" s="2" customFormat="1" ht="12.95" customHeight="1">
      <c r="A6" s="312"/>
      <c r="B6" s="525">
        <v>1</v>
      </c>
      <c r="C6" s="361">
        <v>2</v>
      </c>
      <c r="D6" s="361">
        <v>3</v>
      </c>
      <c r="E6" s="361">
        <v>4</v>
      </c>
      <c r="F6" s="361">
        <v>5</v>
      </c>
      <c r="G6" s="361">
        <v>6</v>
      </c>
      <c r="H6" s="361">
        <v>7</v>
      </c>
      <c r="I6" s="361">
        <v>8</v>
      </c>
      <c r="J6" s="361">
        <v>9</v>
      </c>
      <c r="K6" s="526">
        <v>10</v>
      </c>
      <c r="L6" s="525">
        <v>11</v>
      </c>
      <c r="M6" s="361">
        <v>12</v>
      </c>
      <c r="N6" s="721" t="s">
        <v>830</v>
      </c>
      <c r="O6" s="527">
        <v>14</v>
      </c>
    </row>
    <row r="7" spans="1:17" s="2" customFormat="1" ht="12.95" customHeight="1">
      <c r="A7" s="312"/>
      <c r="B7" s="6" t="s">
        <v>138</v>
      </c>
      <c r="C7" s="7" t="s">
        <v>80</v>
      </c>
      <c r="D7" s="7" t="s">
        <v>81</v>
      </c>
      <c r="E7" s="667" t="s">
        <v>848</v>
      </c>
      <c r="F7" s="5"/>
      <c r="G7" s="313"/>
      <c r="H7" s="5"/>
      <c r="I7" s="574"/>
      <c r="J7" s="313"/>
      <c r="K7" s="574"/>
      <c r="L7" s="4"/>
      <c r="M7" s="313"/>
      <c r="N7" s="722"/>
      <c r="O7" s="375"/>
    </row>
    <row r="8" spans="1:17" s="1" customFormat="1" ht="12.95" customHeight="1">
      <c r="A8" s="311"/>
      <c r="B8" s="12"/>
      <c r="C8" s="8"/>
      <c r="D8" s="8"/>
      <c r="E8" s="8"/>
      <c r="F8" s="335">
        <v>611000</v>
      </c>
      <c r="G8" s="361"/>
      <c r="H8" s="8" t="s">
        <v>146</v>
      </c>
      <c r="I8" s="738">
        <f t="shared" ref="I8:N8" si="0">SUM(I9:I12)</f>
        <v>254280</v>
      </c>
      <c r="J8" s="236">
        <f t="shared" si="0"/>
        <v>254280</v>
      </c>
      <c r="K8" s="744">
        <f t="shared" si="0"/>
        <v>56583</v>
      </c>
      <c r="L8" s="578">
        <f t="shared" si="0"/>
        <v>253450</v>
      </c>
      <c r="M8" s="236">
        <f t="shared" si="0"/>
        <v>0</v>
      </c>
      <c r="N8" s="723">
        <f t="shared" si="0"/>
        <v>253450</v>
      </c>
      <c r="O8" s="376">
        <f>IF(J8=0,"",N8/J8*100)</f>
        <v>99.673588170520688</v>
      </c>
    </row>
    <row r="9" spans="1:17" ht="12.95" customHeight="1">
      <c r="B9" s="10"/>
      <c r="C9" s="11"/>
      <c r="D9" s="11"/>
      <c r="E9" s="316"/>
      <c r="F9" s="336">
        <v>611100</v>
      </c>
      <c r="G9" s="362"/>
      <c r="H9" s="20" t="s">
        <v>174</v>
      </c>
      <c r="I9" s="739">
        <f>187780+10*1430+1500+4700</f>
        <v>208280</v>
      </c>
      <c r="J9" s="235">
        <f>187780+10*1430+1500+4700</f>
        <v>208280</v>
      </c>
      <c r="K9" s="741">
        <v>47563</v>
      </c>
      <c r="L9" s="579">
        <f>207150+500</f>
        <v>207650</v>
      </c>
      <c r="M9" s="235">
        <v>0</v>
      </c>
      <c r="N9" s="724">
        <f>SUM(L9:M9)</f>
        <v>207650</v>
      </c>
      <c r="O9" s="377">
        <f>IF(J9=0,"",N9/J9*100)</f>
        <v>99.697522565776836</v>
      </c>
    </row>
    <row r="10" spans="1:17" ht="12.95" customHeight="1">
      <c r="B10" s="10"/>
      <c r="C10" s="11"/>
      <c r="D10" s="11"/>
      <c r="E10" s="316"/>
      <c r="F10" s="336">
        <v>611200</v>
      </c>
      <c r="G10" s="362"/>
      <c r="H10" s="11" t="s">
        <v>175</v>
      </c>
      <c r="I10" s="739">
        <f>41760+9*21*15+400+1005</f>
        <v>46000</v>
      </c>
      <c r="J10" s="235">
        <f>41760+9*21*15+400+1005</f>
        <v>46000</v>
      </c>
      <c r="K10" s="741">
        <v>9020</v>
      </c>
      <c r="L10" s="579">
        <f>45500+300</f>
        <v>45800</v>
      </c>
      <c r="M10" s="235">
        <v>0</v>
      </c>
      <c r="N10" s="724">
        <f t="shared" ref="N10:N11" si="1">SUM(L10:M10)</f>
        <v>45800</v>
      </c>
      <c r="O10" s="377">
        <f t="shared" ref="O10:O39" si="2">IF(J10=0,"",N10/J10*100)</f>
        <v>99.565217391304344</v>
      </c>
    </row>
    <row r="11" spans="1:17" ht="12.95" customHeight="1">
      <c r="B11" s="10"/>
      <c r="C11" s="11"/>
      <c r="D11" s="11"/>
      <c r="E11" s="316"/>
      <c r="F11" s="336">
        <v>611200</v>
      </c>
      <c r="G11" s="362"/>
      <c r="H11" s="210" t="s">
        <v>464</v>
      </c>
      <c r="I11" s="739">
        <v>0</v>
      </c>
      <c r="J11" s="235">
        <v>0</v>
      </c>
      <c r="K11" s="741">
        <v>0</v>
      </c>
      <c r="L11" s="579">
        <v>0</v>
      </c>
      <c r="M11" s="235">
        <v>0</v>
      </c>
      <c r="N11" s="724">
        <f t="shared" si="1"/>
        <v>0</v>
      </c>
      <c r="O11" s="377" t="str">
        <f t="shared" si="2"/>
        <v/>
      </c>
      <c r="Q11" s="62"/>
    </row>
    <row r="12" spans="1:17" ht="12.95" customHeight="1">
      <c r="B12" s="10"/>
      <c r="C12" s="11"/>
      <c r="D12" s="11"/>
      <c r="E12" s="316"/>
      <c r="F12" s="336"/>
      <c r="G12" s="362"/>
      <c r="H12" s="20"/>
      <c r="I12" s="739"/>
      <c r="J12" s="235"/>
      <c r="K12" s="741"/>
      <c r="L12" s="579"/>
      <c r="M12" s="235"/>
      <c r="N12" s="724"/>
      <c r="O12" s="377" t="str">
        <f t="shared" si="2"/>
        <v/>
      </c>
    </row>
    <row r="13" spans="1:17" s="1" customFormat="1" ht="12.95" customHeight="1">
      <c r="A13" s="311"/>
      <c r="B13" s="12"/>
      <c r="C13" s="8"/>
      <c r="D13" s="8"/>
      <c r="E13" s="8"/>
      <c r="F13" s="335">
        <v>612000</v>
      </c>
      <c r="G13" s="361"/>
      <c r="H13" s="8" t="s">
        <v>145</v>
      </c>
      <c r="I13" s="738">
        <f t="shared" ref="I13:N13" si="3">I14</f>
        <v>22320</v>
      </c>
      <c r="J13" s="236">
        <f t="shared" si="3"/>
        <v>22320</v>
      </c>
      <c r="K13" s="744">
        <f t="shared" si="3"/>
        <v>5030</v>
      </c>
      <c r="L13" s="578">
        <f t="shared" si="3"/>
        <v>22040</v>
      </c>
      <c r="M13" s="236">
        <f t="shared" si="3"/>
        <v>0</v>
      </c>
      <c r="N13" s="723">
        <f t="shared" si="3"/>
        <v>22040</v>
      </c>
      <c r="O13" s="376">
        <f t="shared" si="2"/>
        <v>98.745519713261658</v>
      </c>
    </row>
    <row r="14" spans="1:17" ht="12.95" customHeight="1">
      <c r="B14" s="10"/>
      <c r="C14" s="11"/>
      <c r="D14" s="11"/>
      <c r="E14" s="316"/>
      <c r="F14" s="336">
        <v>612100</v>
      </c>
      <c r="G14" s="362"/>
      <c r="H14" s="13" t="s">
        <v>82</v>
      </c>
      <c r="I14" s="739">
        <f>19920+10*160+300+500</f>
        <v>22320</v>
      </c>
      <c r="J14" s="235">
        <f>19920+10*160+300+500</f>
        <v>22320</v>
      </c>
      <c r="K14" s="741">
        <v>5030</v>
      </c>
      <c r="L14" s="579">
        <f>21940+100</f>
        <v>22040</v>
      </c>
      <c r="M14" s="235">
        <v>0</v>
      </c>
      <c r="N14" s="724">
        <f>SUM(L14:M14)</f>
        <v>22040</v>
      </c>
      <c r="O14" s="377">
        <f t="shared" si="2"/>
        <v>98.745519713261658</v>
      </c>
    </row>
    <row r="15" spans="1:17" ht="12.95" customHeight="1">
      <c r="B15" s="10"/>
      <c r="C15" s="11"/>
      <c r="D15" s="11"/>
      <c r="E15" s="316"/>
      <c r="F15" s="336"/>
      <c r="G15" s="362"/>
      <c r="H15" s="11"/>
      <c r="I15" s="778"/>
      <c r="J15" s="323"/>
      <c r="K15" s="783"/>
      <c r="L15" s="581"/>
      <c r="M15" s="323"/>
      <c r="N15" s="726"/>
      <c r="O15" s="377" t="str">
        <f t="shared" si="2"/>
        <v/>
      </c>
    </row>
    <row r="16" spans="1:17" s="1" customFormat="1" ht="12.95" customHeight="1">
      <c r="A16" s="311"/>
      <c r="B16" s="12"/>
      <c r="C16" s="8"/>
      <c r="D16" s="8"/>
      <c r="E16" s="8"/>
      <c r="F16" s="335">
        <v>613000</v>
      </c>
      <c r="G16" s="361"/>
      <c r="H16" s="8" t="s">
        <v>147</v>
      </c>
      <c r="I16" s="778">
        <f t="shared" ref="I16:N16" si="4">SUM(I17:I26)</f>
        <v>46000</v>
      </c>
      <c r="J16" s="323">
        <f t="shared" si="4"/>
        <v>46000</v>
      </c>
      <c r="K16" s="783">
        <f t="shared" si="4"/>
        <v>14026</v>
      </c>
      <c r="L16" s="581">
        <f t="shared" si="4"/>
        <v>45300</v>
      </c>
      <c r="M16" s="323">
        <f t="shared" si="4"/>
        <v>0</v>
      </c>
      <c r="N16" s="726">
        <f t="shared" si="4"/>
        <v>45300</v>
      </c>
      <c r="O16" s="376">
        <f t="shared" si="2"/>
        <v>98.478260869565219</v>
      </c>
    </row>
    <row r="17" spans="1:17" ht="12.95" customHeight="1">
      <c r="B17" s="10"/>
      <c r="C17" s="11"/>
      <c r="D17" s="11"/>
      <c r="E17" s="316"/>
      <c r="F17" s="336">
        <v>613100</v>
      </c>
      <c r="G17" s="362"/>
      <c r="H17" s="11" t="s">
        <v>83</v>
      </c>
      <c r="I17" s="791">
        <v>1500</v>
      </c>
      <c r="J17" s="393">
        <v>1500</v>
      </c>
      <c r="K17" s="791">
        <v>887</v>
      </c>
      <c r="L17" s="568">
        <f>1500*80%</f>
        <v>1200</v>
      </c>
      <c r="M17" s="393">
        <v>0</v>
      </c>
      <c r="N17" s="724">
        <f t="shared" ref="N17:N26" si="5">SUM(L17:M17)</f>
        <v>1200</v>
      </c>
      <c r="O17" s="377">
        <f t="shared" si="2"/>
        <v>80</v>
      </c>
    </row>
    <row r="18" spans="1:17" ht="12.95" customHeight="1">
      <c r="B18" s="10"/>
      <c r="C18" s="11"/>
      <c r="D18" s="11"/>
      <c r="E18" s="316"/>
      <c r="F18" s="336">
        <v>613200</v>
      </c>
      <c r="G18" s="362"/>
      <c r="H18" s="11" t="s">
        <v>84</v>
      </c>
      <c r="I18" s="791">
        <v>8500</v>
      </c>
      <c r="J18" s="393">
        <v>8500</v>
      </c>
      <c r="K18" s="791">
        <v>6953</v>
      </c>
      <c r="L18" s="568">
        <v>8500</v>
      </c>
      <c r="M18" s="393">
        <v>0</v>
      </c>
      <c r="N18" s="724">
        <f t="shared" si="5"/>
        <v>8500</v>
      </c>
      <c r="O18" s="377">
        <f t="shared" si="2"/>
        <v>100</v>
      </c>
    </row>
    <row r="19" spans="1:17" ht="12.95" customHeight="1">
      <c r="B19" s="10"/>
      <c r="C19" s="11"/>
      <c r="D19" s="11"/>
      <c r="E19" s="316"/>
      <c r="F19" s="336">
        <v>613300</v>
      </c>
      <c r="G19" s="362"/>
      <c r="H19" s="20" t="s">
        <v>176</v>
      </c>
      <c r="I19" s="741">
        <v>4500</v>
      </c>
      <c r="J19" s="396">
        <v>4500</v>
      </c>
      <c r="K19" s="741">
        <v>963</v>
      </c>
      <c r="L19" s="568">
        <v>4500</v>
      </c>
      <c r="M19" s="396">
        <v>0</v>
      </c>
      <c r="N19" s="724">
        <f t="shared" si="5"/>
        <v>4500</v>
      </c>
      <c r="O19" s="377">
        <f t="shared" si="2"/>
        <v>100</v>
      </c>
    </row>
    <row r="20" spans="1:17" ht="12.95" customHeight="1">
      <c r="B20" s="10"/>
      <c r="C20" s="11"/>
      <c r="D20" s="11"/>
      <c r="E20" s="316"/>
      <c r="F20" s="336">
        <v>613400</v>
      </c>
      <c r="G20" s="362"/>
      <c r="H20" s="11" t="s">
        <v>148</v>
      </c>
      <c r="I20" s="741">
        <v>1000</v>
      </c>
      <c r="J20" s="396">
        <v>1000</v>
      </c>
      <c r="K20" s="741">
        <v>58</v>
      </c>
      <c r="L20" s="568">
        <v>1000</v>
      </c>
      <c r="M20" s="396">
        <v>0</v>
      </c>
      <c r="N20" s="724">
        <f t="shared" si="5"/>
        <v>1000</v>
      </c>
      <c r="O20" s="377">
        <f t="shared" si="2"/>
        <v>100</v>
      </c>
    </row>
    <row r="21" spans="1:17" ht="12.95" customHeight="1">
      <c r="B21" s="10"/>
      <c r="C21" s="11"/>
      <c r="D21" s="11"/>
      <c r="E21" s="316"/>
      <c r="F21" s="336">
        <v>613500</v>
      </c>
      <c r="G21" s="362"/>
      <c r="H21" s="11" t="s">
        <v>85</v>
      </c>
      <c r="I21" s="741">
        <v>1100</v>
      </c>
      <c r="J21" s="396">
        <v>1100</v>
      </c>
      <c r="K21" s="741">
        <v>0</v>
      </c>
      <c r="L21" s="568">
        <v>1100</v>
      </c>
      <c r="M21" s="396">
        <v>0</v>
      </c>
      <c r="N21" s="724">
        <f t="shared" si="5"/>
        <v>1100</v>
      </c>
      <c r="O21" s="377">
        <f t="shared" si="2"/>
        <v>100</v>
      </c>
    </row>
    <row r="22" spans="1:17" ht="12.95" customHeight="1">
      <c r="B22" s="10"/>
      <c r="C22" s="11"/>
      <c r="D22" s="11"/>
      <c r="E22" s="316"/>
      <c r="F22" s="336">
        <v>613600</v>
      </c>
      <c r="G22" s="362"/>
      <c r="H22" s="20" t="s">
        <v>177</v>
      </c>
      <c r="I22" s="741">
        <v>0</v>
      </c>
      <c r="J22" s="396">
        <v>0</v>
      </c>
      <c r="K22" s="741">
        <v>0</v>
      </c>
      <c r="L22" s="568">
        <v>0</v>
      </c>
      <c r="M22" s="396">
        <v>0</v>
      </c>
      <c r="N22" s="724">
        <f t="shared" si="5"/>
        <v>0</v>
      </c>
      <c r="O22" s="377" t="str">
        <f t="shared" si="2"/>
        <v/>
      </c>
    </row>
    <row r="23" spans="1:17" ht="12.95" customHeight="1">
      <c r="B23" s="10"/>
      <c r="C23" s="11"/>
      <c r="D23" s="11"/>
      <c r="E23" s="316"/>
      <c r="F23" s="336">
        <v>613700</v>
      </c>
      <c r="G23" s="362"/>
      <c r="H23" s="11" t="s">
        <v>86</v>
      </c>
      <c r="I23" s="741">
        <v>4000</v>
      </c>
      <c r="J23" s="396">
        <v>4000</v>
      </c>
      <c r="K23" s="741">
        <v>537</v>
      </c>
      <c r="L23" s="568">
        <v>4000</v>
      </c>
      <c r="M23" s="396">
        <v>0</v>
      </c>
      <c r="N23" s="724">
        <f t="shared" si="5"/>
        <v>4000</v>
      </c>
      <c r="O23" s="377">
        <f t="shared" si="2"/>
        <v>100</v>
      </c>
    </row>
    <row r="24" spans="1:17" ht="12.95" customHeight="1">
      <c r="B24" s="10"/>
      <c r="C24" s="11"/>
      <c r="D24" s="11"/>
      <c r="E24" s="316"/>
      <c r="F24" s="336">
        <v>613800</v>
      </c>
      <c r="G24" s="362"/>
      <c r="H24" s="11" t="s">
        <v>149</v>
      </c>
      <c r="I24" s="741">
        <v>400</v>
      </c>
      <c r="J24" s="396">
        <v>400</v>
      </c>
      <c r="K24" s="741">
        <v>0</v>
      </c>
      <c r="L24" s="568">
        <v>400</v>
      </c>
      <c r="M24" s="396">
        <v>0</v>
      </c>
      <c r="N24" s="724">
        <f t="shared" si="5"/>
        <v>400</v>
      </c>
      <c r="O24" s="377">
        <f t="shared" si="2"/>
        <v>100</v>
      </c>
    </row>
    <row r="25" spans="1:17" ht="12.95" customHeight="1">
      <c r="B25" s="10"/>
      <c r="C25" s="11"/>
      <c r="D25" s="11"/>
      <c r="E25" s="316"/>
      <c r="F25" s="336">
        <v>613900</v>
      </c>
      <c r="G25" s="362"/>
      <c r="H25" s="11" t="s">
        <v>150</v>
      </c>
      <c r="I25" s="741">
        <v>25000</v>
      </c>
      <c r="J25" s="396">
        <v>25000</v>
      </c>
      <c r="K25" s="741">
        <v>4628</v>
      </c>
      <c r="L25" s="568">
        <f>25000-400</f>
        <v>24600</v>
      </c>
      <c r="M25" s="396">
        <v>0</v>
      </c>
      <c r="N25" s="724">
        <f t="shared" si="5"/>
        <v>24600</v>
      </c>
      <c r="O25" s="377">
        <f t="shared" si="2"/>
        <v>98.4</v>
      </c>
      <c r="P25" s="640"/>
    </row>
    <row r="26" spans="1:17" ht="12.95" customHeight="1">
      <c r="B26" s="10"/>
      <c r="C26" s="11"/>
      <c r="D26" s="11"/>
      <c r="E26" s="316"/>
      <c r="F26" s="336">
        <v>613900</v>
      </c>
      <c r="G26" s="362"/>
      <c r="H26" s="210" t="s">
        <v>465</v>
      </c>
      <c r="I26" s="741">
        <v>0</v>
      </c>
      <c r="J26" s="396">
        <v>0</v>
      </c>
      <c r="K26" s="741">
        <v>0</v>
      </c>
      <c r="L26" s="568">
        <v>0</v>
      </c>
      <c r="M26" s="396">
        <v>0</v>
      </c>
      <c r="N26" s="724">
        <f t="shared" si="5"/>
        <v>0</v>
      </c>
      <c r="O26" s="377" t="str">
        <f t="shared" si="2"/>
        <v/>
      </c>
    </row>
    <row r="27" spans="1:17" ht="12.95" customHeight="1">
      <c r="B27" s="10"/>
      <c r="C27" s="11"/>
      <c r="D27" s="11"/>
      <c r="E27" s="316"/>
      <c r="F27" s="336"/>
      <c r="G27" s="362"/>
      <c r="H27" s="11"/>
      <c r="I27" s="632"/>
      <c r="J27" s="325"/>
      <c r="K27" s="744"/>
      <c r="L27" s="588"/>
      <c r="M27" s="325"/>
      <c r="N27" s="726"/>
      <c r="O27" s="377" t="str">
        <f t="shared" si="2"/>
        <v/>
      </c>
    </row>
    <row r="28" spans="1:17" s="1" customFormat="1" ht="12.95" customHeight="1">
      <c r="A28" s="311"/>
      <c r="B28" s="12"/>
      <c r="C28" s="8"/>
      <c r="D28" s="8"/>
      <c r="E28" s="8"/>
      <c r="F28" s="335">
        <v>614000</v>
      </c>
      <c r="G28" s="361"/>
      <c r="H28" s="8" t="s">
        <v>178</v>
      </c>
      <c r="I28" s="632">
        <f t="shared" ref="I28" si="6">I29+I30</f>
        <v>190000</v>
      </c>
      <c r="J28" s="325">
        <f t="shared" ref="J28:K28" si="7">J29+J30</f>
        <v>250000</v>
      </c>
      <c r="K28" s="744">
        <f t="shared" si="7"/>
        <v>1130</v>
      </c>
      <c r="L28" s="588">
        <f t="shared" ref="L28" si="8">L29+L30</f>
        <v>50000</v>
      </c>
      <c r="M28" s="325">
        <f t="shared" ref="M28:N28" si="9">M29+M30</f>
        <v>100000</v>
      </c>
      <c r="N28" s="726">
        <f t="shared" si="9"/>
        <v>150000</v>
      </c>
      <c r="O28" s="376">
        <f t="shared" si="2"/>
        <v>60</v>
      </c>
    </row>
    <row r="29" spans="1:17" ht="12.95" customHeight="1">
      <c r="B29" s="10"/>
      <c r="C29" s="11"/>
      <c r="D29" s="11"/>
      <c r="E29" s="316"/>
      <c r="F29" s="336">
        <v>614200</v>
      </c>
      <c r="G29" s="362" t="s">
        <v>594</v>
      </c>
      <c r="H29" s="20" t="s">
        <v>111</v>
      </c>
      <c r="I29" s="740">
        <v>40000</v>
      </c>
      <c r="J29" s="310">
        <v>100000</v>
      </c>
      <c r="K29" s="741">
        <v>1130</v>
      </c>
      <c r="L29" s="583">
        <v>0</v>
      </c>
      <c r="M29" s="310">
        <v>100000</v>
      </c>
      <c r="N29" s="724">
        <f t="shared" ref="N29:N30" si="10">SUM(L29:M29)</f>
        <v>100000</v>
      </c>
      <c r="O29" s="377">
        <f t="shared" si="2"/>
        <v>100</v>
      </c>
    </row>
    <row r="30" spans="1:17" ht="12.75" customHeight="1">
      <c r="B30" s="10"/>
      <c r="C30" s="11"/>
      <c r="D30" s="11"/>
      <c r="E30" s="316"/>
      <c r="F30" s="336">
        <v>614300</v>
      </c>
      <c r="G30" s="362" t="s">
        <v>595</v>
      </c>
      <c r="H30" s="544" t="s">
        <v>677</v>
      </c>
      <c r="I30" s="740">
        <v>150000</v>
      </c>
      <c r="J30" s="310">
        <v>150000</v>
      </c>
      <c r="K30" s="741">
        <v>0</v>
      </c>
      <c r="L30" s="583">
        <v>50000</v>
      </c>
      <c r="M30" s="310"/>
      <c r="N30" s="724">
        <f t="shared" si="10"/>
        <v>50000</v>
      </c>
      <c r="O30" s="377">
        <f t="shared" si="2"/>
        <v>33.333333333333329</v>
      </c>
      <c r="Q30" s="63"/>
    </row>
    <row r="31" spans="1:17" ht="12.95" customHeight="1">
      <c r="B31" s="10"/>
      <c r="C31" s="11"/>
      <c r="D31" s="11"/>
      <c r="E31" s="316"/>
      <c r="F31" s="335"/>
      <c r="G31" s="361"/>
      <c r="H31" s="8"/>
      <c r="I31" s="740"/>
      <c r="J31" s="310"/>
      <c r="K31" s="741"/>
      <c r="L31" s="583"/>
      <c r="M31" s="310"/>
      <c r="N31" s="725"/>
      <c r="O31" s="377" t="str">
        <f t="shared" si="2"/>
        <v/>
      </c>
    </row>
    <row r="32" spans="1:17" ht="12.95" customHeight="1">
      <c r="B32" s="12"/>
      <c r="C32" s="8"/>
      <c r="D32" s="8"/>
      <c r="E32" s="8"/>
      <c r="F32" s="335">
        <v>821000</v>
      </c>
      <c r="G32" s="361"/>
      <c r="H32" s="8" t="s">
        <v>89</v>
      </c>
      <c r="I32" s="632">
        <f t="shared" ref="I32:N32" si="11">SUM(I33:I35)</f>
        <v>5000</v>
      </c>
      <c r="J32" s="325">
        <f t="shared" si="11"/>
        <v>5000</v>
      </c>
      <c r="K32" s="744">
        <f t="shared" si="11"/>
        <v>0</v>
      </c>
      <c r="L32" s="588">
        <f t="shared" si="11"/>
        <v>0</v>
      </c>
      <c r="M32" s="325">
        <f t="shared" si="11"/>
        <v>5000</v>
      </c>
      <c r="N32" s="726">
        <f t="shared" si="11"/>
        <v>5000</v>
      </c>
      <c r="O32" s="376">
        <f t="shared" si="2"/>
        <v>100</v>
      </c>
    </row>
    <row r="33" spans="1:15" ht="12.95" customHeight="1">
      <c r="B33" s="10"/>
      <c r="C33" s="11"/>
      <c r="D33" s="11"/>
      <c r="E33" s="316"/>
      <c r="F33" s="336">
        <v>821200</v>
      </c>
      <c r="G33" s="362"/>
      <c r="H33" s="11" t="s">
        <v>90</v>
      </c>
      <c r="I33" s="631">
        <v>0</v>
      </c>
      <c r="J33" s="326">
        <v>0</v>
      </c>
      <c r="K33" s="742">
        <v>0</v>
      </c>
      <c r="L33" s="622">
        <v>0</v>
      </c>
      <c r="M33" s="326">
        <v>0</v>
      </c>
      <c r="N33" s="724">
        <f t="shared" ref="N33:N34" si="12">SUM(L33:M33)</f>
        <v>0</v>
      </c>
      <c r="O33" s="377" t="str">
        <f t="shared" si="2"/>
        <v/>
      </c>
    </row>
    <row r="34" spans="1:15" s="1" customFormat="1" ht="12.95" customHeight="1">
      <c r="A34" s="311"/>
      <c r="B34" s="10"/>
      <c r="C34" s="11"/>
      <c r="D34" s="11"/>
      <c r="E34" s="316"/>
      <c r="F34" s="336">
        <v>821300</v>
      </c>
      <c r="G34" s="362"/>
      <c r="H34" s="11" t="s">
        <v>91</v>
      </c>
      <c r="I34" s="740">
        <v>5000</v>
      </c>
      <c r="J34" s="310">
        <v>5000</v>
      </c>
      <c r="K34" s="741">
        <v>0</v>
      </c>
      <c r="L34" s="583">
        <v>0</v>
      </c>
      <c r="M34" s="310">
        <v>5000</v>
      </c>
      <c r="N34" s="724">
        <f t="shared" si="12"/>
        <v>5000</v>
      </c>
      <c r="O34" s="377">
        <f t="shared" si="2"/>
        <v>100</v>
      </c>
    </row>
    <row r="35" spans="1:15" ht="12.95" customHeight="1">
      <c r="B35" s="10"/>
      <c r="C35" s="11"/>
      <c r="D35" s="11"/>
      <c r="E35" s="316"/>
      <c r="F35" s="336"/>
      <c r="G35" s="362"/>
      <c r="H35" s="20"/>
      <c r="I35" s="740"/>
      <c r="J35" s="310"/>
      <c r="K35" s="741"/>
      <c r="L35" s="583"/>
      <c r="M35" s="310"/>
      <c r="N35" s="725"/>
      <c r="O35" s="377" t="str">
        <f t="shared" si="2"/>
        <v/>
      </c>
    </row>
    <row r="36" spans="1:15" ht="12.95" customHeight="1">
      <c r="B36" s="12"/>
      <c r="C36" s="8"/>
      <c r="D36" s="8"/>
      <c r="E36" s="8"/>
      <c r="F36" s="335"/>
      <c r="G36" s="361"/>
      <c r="H36" s="8" t="s">
        <v>92</v>
      </c>
      <c r="I36" s="575">
        <v>13</v>
      </c>
      <c r="J36" s="318">
        <v>13</v>
      </c>
      <c r="K36" s="745">
        <v>13</v>
      </c>
      <c r="L36" s="582">
        <v>13</v>
      </c>
      <c r="M36" s="318"/>
      <c r="N36" s="726">
        <v>13</v>
      </c>
      <c r="O36" s="377"/>
    </row>
    <row r="37" spans="1:15" ht="12.95" customHeight="1">
      <c r="B37" s="12"/>
      <c r="C37" s="8"/>
      <c r="D37" s="8"/>
      <c r="E37" s="8"/>
      <c r="F37" s="335"/>
      <c r="G37" s="361"/>
      <c r="H37" s="8" t="s">
        <v>110</v>
      </c>
      <c r="I37" s="575">
        <f>I8+I13+I16+I28+I32</f>
        <v>517600</v>
      </c>
      <c r="J37" s="318">
        <f>J8+J13+J16+J28+J32</f>
        <v>577600</v>
      </c>
      <c r="K37" s="575">
        <f t="shared" ref="K37" si="13">K8+K13+K16+K28+K32</f>
        <v>76769</v>
      </c>
      <c r="L37" s="582">
        <f>L8+L13+L16+L28+L32</f>
        <v>370790</v>
      </c>
      <c r="M37" s="318">
        <f>M8+M13+M16+M28+M32</f>
        <v>105000</v>
      </c>
      <c r="N37" s="726">
        <f>N8+N13+N16+N28+N32</f>
        <v>475790</v>
      </c>
      <c r="O37" s="376">
        <f t="shared" si="2"/>
        <v>82.373614958448755</v>
      </c>
    </row>
    <row r="38" spans="1:15" s="1" customFormat="1" ht="12.95" customHeight="1">
      <c r="A38" s="311"/>
      <c r="B38" s="12"/>
      <c r="C38" s="8"/>
      <c r="D38" s="8"/>
      <c r="E38" s="8"/>
      <c r="F38" s="335"/>
      <c r="G38" s="361"/>
      <c r="H38" s="8" t="s">
        <v>93</v>
      </c>
      <c r="I38" s="575">
        <f>I37</f>
        <v>517600</v>
      </c>
      <c r="J38" s="318">
        <f>J37</f>
        <v>577600</v>
      </c>
      <c r="K38" s="575">
        <f t="shared" ref="K38" si="14">K37</f>
        <v>76769</v>
      </c>
      <c r="L38" s="582">
        <f t="shared" ref="L38:N39" si="15">L37</f>
        <v>370790</v>
      </c>
      <c r="M38" s="318">
        <f t="shared" si="15"/>
        <v>105000</v>
      </c>
      <c r="N38" s="726">
        <f t="shared" si="15"/>
        <v>475790</v>
      </c>
      <c r="O38" s="376">
        <f t="shared" si="2"/>
        <v>82.373614958448755</v>
      </c>
    </row>
    <row r="39" spans="1:15" s="1" customFormat="1" ht="12.95" customHeight="1">
      <c r="A39" s="311"/>
      <c r="B39" s="12"/>
      <c r="C39" s="8"/>
      <c r="D39" s="8"/>
      <c r="E39" s="8"/>
      <c r="F39" s="335"/>
      <c r="G39" s="361"/>
      <c r="H39" s="8" t="s">
        <v>94</v>
      </c>
      <c r="I39" s="15">
        <f>I38</f>
        <v>517600</v>
      </c>
      <c r="J39" s="15">
        <f>J38</f>
        <v>577600</v>
      </c>
      <c r="K39" s="575">
        <f t="shared" ref="K39" si="16">K38</f>
        <v>76769</v>
      </c>
      <c r="L39" s="582">
        <f t="shared" si="15"/>
        <v>370790</v>
      </c>
      <c r="M39" s="318">
        <f t="shared" si="15"/>
        <v>105000</v>
      </c>
      <c r="N39" s="726">
        <f t="shared" si="15"/>
        <v>475790</v>
      </c>
      <c r="O39" s="376">
        <f t="shared" si="2"/>
        <v>82.373614958448755</v>
      </c>
    </row>
    <row r="40" spans="1:15" s="1" customFormat="1" ht="12.95" customHeight="1" thickBot="1">
      <c r="A40" s="311"/>
      <c r="B40" s="16"/>
      <c r="C40" s="17"/>
      <c r="D40" s="17"/>
      <c r="E40" s="17"/>
      <c r="F40" s="337"/>
      <c r="G40" s="363"/>
      <c r="H40" s="17"/>
      <c r="I40" s="103"/>
      <c r="J40" s="103"/>
      <c r="K40" s="633"/>
      <c r="L40" s="634"/>
      <c r="M40" s="103"/>
      <c r="N40" s="805"/>
      <c r="O40" s="381"/>
    </row>
    <row r="41" spans="1:15" s="1" customFormat="1" ht="12.95" customHeight="1">
      <c r="A41" s="311"/>
      <c r="B41" s="9"/>
      <c r="C41" s="9"/>
      <c r="D41" s="9"/>
      <c r="E41" s="314"/>
      <c r="F41" s="338"/>
      <c r="G41" s="364"/>
      <c r="H41" s="9"/>
      <c r="I41" s="61"/>
      <c r="J41" s="61"/>
      <c r="K41" s="61"/>
      <c r="L41" s="61"/>
      <c r="M41" s="61"/>
      <c r="N41" s="427"/>
      <c r="O41" s="382"/>
    </row>
    <row r="42" spans="1:15" ht="12.95" customHeight="1">
      <c r="B42" s="55"/>
      <c r="F42" s="338"/>
      <c r="G42" s="364"/>
      <c r="N42" s="423"/>
    </row>
    <row r="43" spans="1:15" ht="12.95" customHeight="1">
      <c r="B43" s="55"/>
      <c r="F43" s="338"/>
      <c r="G43" s="364"/>
      <c r="N43" s="423"/>
    </row>
    <row r="44" spans="1:15" ht="12.95" customHeight="1">
      <c r="B44" s="55"/>
      <c r="F44" s="338"/>
      <c r="G44" s="364"/>
      <c r="N44" s="423"/>
    </row>
    <row r="45" spans="1:15" ht="12.95" customHeight="1">
      <c r="B45" s="55"/>
      <c r="F45" s="338"/>
      <c r="G45" s="364"/>
      <c r="N45" s="423"/>
    </row>
    <row r="46" spans="1:15" ht="12.95" customHeight="1">
      <c r="B46" s="55"/>
      <c r="F46" s="338"/>
      <c r="G46" s="364"/>
      <c r="N46" s="423"/>
    </row>
    <row r="47" spans="1:15" ht="12.95" customHeight="1">
      <c r="B47" s="55"/>
      <c r="F47" s="338"/>
      <c r="G47" s="364"/>
      <c r="N47" s="423"/>
    </row>
    <row r="48" spans="1:15" ht="12.95" customHeight="1">
      <c r="B48" s="55"/>
      <c r="F48" s="338"/>
      <c r="G48" s="364"/>
      <c r="N48" s="423"/>
    </row>
    <row r="49" spans="2:14" ht="12.95" customHeight="1">
      <c r="B49" s="55"/>
      <c r="F49" s="338"/>
      <c r="G49" s="364"/>
      <c r="N49" s="423"/>
    </row>
    <row r="50" spans="2:14" ht="12.95" customHeight="1">
      <c r="B50" s="55"/>
      <c r="F50" s="338"/>
      <c r="G50" s="364"/>
      <c r="N50" s="423"/>
    </row>
    <row r="51" spans="2:14" ht="12.95" customHeight="1">
      <c r="B51" s="55"/>
      <c r="F51" s="338"/>
      <c r="G51" s="364"/>
      <c r="N51" s="423"/>
    </row>
    <row r="52" spans="2:14" ht="12.95" customHeight="1">
      <c r="F52" s="338"/>
      <c r="G52" s="364"/>
      <c r="N52" s="423"/>
    </row>
    <row r="53" spans="2:14" ht="12.95" customHeight="1">
      <c r="F53" s="338"/>
      <c r="G53" s="364"/>
      <c r="N53" s="423"/>
    </row>
    <row r="54" spans="2:14" ht="12.95" customHeight="1">
      <c r="F54" s="338"/>
      <c r="G54" s="364"/>
      <c r="N54" s="423"/>
    </row>
    <row r="55" spans="2:14" ht="12.95" customHeight="1">
      <c r="F55" s="338"/>
      <c r="G55" s="364"/>
      <c r="N55" s="423"/>
    </row>
    <row r="56" spans="2:14" ht="12.95" customHeight="1">
      <c r="F56" s="338"/>
      <c r="G56" s="364"/>
      <c r="N56" s="423"/>
    </row>
    <row r="57" spans="2:14" ht="12.95" customHeight="1">
      <c r="F57" s="338"/>
      <c r="G57" s="364"/>
      <c r="N57" s="423"/>
    </row>
    <row r="58" spans="2:14" ht="12.95" customHeight="1">
      <c r="F58" s="338"/>
      <c r="G58" s="364"/>
      <c r="N58" s="423"/>
    </row>
    <row r="59" spans="2:14" ht="12.95" customHeight="1">
      <c r="F59" s="338"/>
      <c r="G59" s="364"/>
      <c r="N59" s="423"/>
    </row>
    <row r="60" spans="2:14" ht="17.100000000000001" customHeight="1">
      <c r="F60" s="338"/>
      <c r="G60" s="364"/>
      <c r="N60" s="423"/>
    </row>
    <row r="61" spans="2:14" ht="17.100000000000001" customHeight="1">
      <c r="F61" s="338"/>
      <c r="G61" s="364"/>
      <c r="N61" s="423"/>
    </row>
    <row r="62" spans="2:14" ht="14.25">
      <c r="F62" s="338"/>
      <c r="G62" s="364"/>
      <c r="N62" s="423"/>
    </row>
    <row r="63" spans="2:14" ht="14.25">
      <c r="F63" s="338"/>
      <c r="G63" s="364"/>
      <c r="N63" s="423"/>
    </row>
    <row r="64" spans="2:14" ht="14.25">
      <c r="F64" s="338"/>
      <c r="G64" s="364"/>
      <c r="N64" s="423"/>
    </row>
    <row r="65" spans="6:14" ht="14.25">
      <c r="F65" s="338"/>
      <c r="G65" s="364"/>
      <c r="N65" s="423"/>
    </row>
    <row r="66" spans="6:14" ht="14.25">
      <c r="F66" s="338"/>
      <c r="G66" s="364"/>
      <c r="N66" s="423"/>
    </row>
    <row r="67" spans="6:14" ht="14.25">
      <c r="F67" s="338"/>
      <c r="G67" s="364"/>
      <c r="N67" s="423"/>
    </row>
    <row r="68" spans="6:14" ht="14.25">
      <c r="F68" s="338"/>
      <c r="G68" s="364"/>
      <c r="N68" s="423"/>
    </row>
    <row r="69" spans="6:14" ht="14.25">
      <c r="F69" s="338"/>
      <c r="G69" s="364"/>
      <c r="N69" s="423"/>
    </row>
    <row r="70" spans="6:14" ht="14.25">
      <c r="F70" s="338"/>
      <c r="G70" s="364"/>
      <c r="N70" s="423"/>
    </row>
    <row r="71" spans="6:14" ht="14.25">
      <c r="F71" s="338"/>
      <c r="G71" s="364"/>
      <c r="N71" s="423"/>
    </row>
    <row r="72" spans="6:14" ht="14.25">
      <c r="F72" s="338"/>
      <c r="G72" s="364"/>
      <c r="N72" s="423"/>
    </row>
    <row r="73" spans="6:14" ht="14.25">
      <c r="F73" s="338"/>
      <c r="G73" s="364"/>
      <c r="N73" s="423"/>
    </row>
    <row r="74" spans="6:14" ht="14.25">
      <c r="F74" s="338"/>
      <c r="G74" s="338"/>
      <c r="N74" s="423"/>
    </row>
    <row r="75" spans="6:14" ht="14.25">
      <c r="F75" s="338"/>
      <c r="G75" s="338"/>
      <c r="N75" s="423"/>
    </row>
    <row r="76" spans="6:14" ht="14.25">
      <c r="F76" s="338"/>
      <c r="G76" s="338"/>
      <c r="N76" s="423"/>
    </row>
    <row r="77" spans="6:14" ht="14.25">
      <c r="F77" s="338"/>
      <c r="G77" s="338"/>
      <c r="N77" s="423"/>
    </row>
    <row r="78" spans="6:14" ht="14.25">
      <c r="F78" s="338"/>
      <c r="G78" s="338"/>
      <c r="N78" s="423"/>
    </row>
    <row r="79" spans="6:14" ht="14.25">
      <c r="F79" s="338"/>
      <c r="G79" s="338"/>
      <c r="N79" s="423"/>
    </row>
    <row r="80" spans="6:14" ht="14.25">
      <c r="F80" s="338"/>
      <c r="G80" s="338"/>
      <c r="N80" s="423"/>
    </row>
    <row r="81" spans="6:14" ht="14.25">
      <c r="F81" s="338"/>
      <c r="G81" s="338"/>
      <c r="N81" s="423"/>
    </row>
    <row r="82" spans="6:14" ht="14.25">
      <c r="F82" s="338"/>
      <c r="G82" s="338"/>
      <c r="N82" s="423"/>
    </row>
    <row r="83" spans="6:14" ht="14.25">
      <c r="F83" s="338"/>
      <c r="G83" s="338"/>
      <c r="N83" s="423"/>
    </row>
    <row r="84" spans="6:14" ht="14.25">
      <c r="F84" s="338"/>
      <c r="G84" s="338"/>
      <c r="N84" s="423"/>
    </row>
    <row r="85" spans="6:14" ht="14.25">
      <c r="F85" s="338"/>
      <c r="G85" s="338"/>
      <c r="N85" s="423"/>
    </row>
    <row r="86" spans="6:14" ht="14.25">
      <c r="F86" s="338"/>
      <c r="G86" s="338"/>
      <c r="N86" s="423"/>
    </row>
    <row r="87" spans="6:14" ht="14.25">
      <c r="F87" s="338"/>
      <c r="G87" s="338"/>
      <c r="N87" s="423"/>
    </row>
    <row r="88" spans="6:14" ht="14.25">
      <c r="F88" s="338"/>
      <c r="G88" s="338"/>
      <c r="N88" s="423"/>
    </row>
    <row r="89" spans="6:14" ht="14.25">
      <c r="F89" s="338"/>
      <c r="G89" s="338"/>
      <c r="N89" s="423"/>
    </row>
    <row r="90" spans="6:14" ht="14.25">
      <c r="F90" s="338"/>
      <c r="G90" s="338"/>
      <c r="N90" s="423"/>
    </row>
    <row r="91" spans="6:14">
      <c r="G91" s="338"/>
    </row>
    <row r="92" spans="6:14">
      <c r="G92" s="338"/>
    </row>
    <row r="93" spans="6:14">
      <c r="G93" s="338"/>
    </row>
    <row r="94" spans="6:14">
      <c r="G94" s="338"/>
    </row>
    <row r="95" spans="6:14">
      <c r="G95" s="338"/>
    </row>
    <row r="96" spans="6:14">
      <c r="G96" s="338"/>
    </row>
  </sheetData>
  <mergeCells count="14">
    <mergeCell ref="O4:O5"/>
    <mergeCell ref="H4:H5"/>
    <mergeCell ref="B2:N2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K4:K5"/>
    <mergeCell ref="E4:E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3"/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>
  <sheetPr codeName="Sheet39"/>
  <dimension ref="A1:Q96"/>
  <sheetViews>
    <sheetView zoomScaleNormal="100" workbookViewId="0">
      <selection activeCell="R32" sqref="R32"/>
    </sheetView>
  </sheetViews>
  <sheetFormatPr defaultRowHeight="12.75"/>
  <cols>
    <col min="1" max="1" width="9.140625" style="314"/>
    <col min="2" max="2" width="4.7109375" style="9" customWidth="1"/>
    <col min="3" max="3" width="5.140625" style="9" customWidth="1"/>
    <col min="4" max="4" width="5" style="9" customWidth="1"/>
    <col min="5" max="5" width="5" style="314" customWidth="1"/>
    <col min="6" max="6" width="8.7109375" style="18" customWidth="1"/>
    <col min="7" max="7" width="8.7109375" style="319" customWidth="1"/>
    <col min="8" max="8" width="50.7109375" style="9" customWidth="1"/>
    <col min="9" max="13" width="14.7109375" style="63" customWidth="1"/>
    <col min="14" max="14" width="15.7109375" style="63" customWidth="1"/>
    <col min="15" max="15" width="7.7109375" style="380" customWidth="1"/>
    <col min="16" max="16384" width="9.140625" style="9"/>
  </cols>
  <sheetData>
    <row r="1" spans="1:17" ht="13.5" thickBot="1"/>
    <row r="2" spans="1:17" s="408" customFormat="1" ht="20.100000000000001" customHeight="1" thickTop="1" thickBot="1">
      <c r="B2" s="887" t="s">
        <v>139</v>
      </c>
      <c r="C2" s="888"/>
      <c r="D2" s="888"/>
      <c r="E2" s="888"/>
      <c r="F2" s="888"/>
      <c r="G2" s="888"/>
      <c r="H2" s="888"/>
      <c r="I2" s="888"/>
      <c r="J2" s="409"/>
      <c r="K2" s="409"/>
      <c r="L2" s="410"/>
      <c r="M2" s="410"/>
      <c r="N2" s="410"/>
      <c r="O2" s="413"/>
    </row>
    <row r="3" spans="1:17" s="1" customFormat="1" ht="8.1" customHeight="1" thickTop="1" thickBot="1">
      <c r="A3" s="311"/>
      <c r="E3" s="311"/>
      <c r="F3" s="2"/>
      <c r="G3" s="312"/>
      <c r="H3" s="890"/>
      <c r="I3" s="890"/>
      <c r="J3" s="282"/>
      <c r="K3" s="282"/>
      <c r="L3" s="107"/>
      <c r="M3" s="107"/>
      <c r="N3" s="107"/>
      <c r="O3" s="374"/>
    </row>
    <row r="4" spans="1:17" s="1" customFormat="1" ht="39" customHeight="1">
      <c r="A4" s="311"/>
      <c r="B4" s="894" t="s">
        <v>77</v>
      </c>
      <c r="C4" s="909" t="s">
        <v>78</v>
      </c>
      <c r="D4" s="910" t="s">
        <v>107</v>
      </c>
      <c r="E4" s="916" t="s">
        <v>828</v>
      </c>
      <c r="F4" s="911" t="s">
        <v>517</v>
      </c>
      <c r="G4" s="899" t="s">
        <v>556</v>
      </c>
      <c r="H4" s="900" t="s">
        <v>79</v>
      </c>
      <c r="I4" s="912" t="s">
        <v>697</v>
      </c>
      <c r="J4" s="913" t="s">
        <v>862</v>
      </c>
      <c r="K4" s="917" t="s">
        <v>863</v>
      </c>
      <c r="L4" s="908" t="s">
        <v>865</v>
      </c>
      <c r="M4" s="892"/>
      <c r="N4" s="893"/>
      <c r="O4" s="906" t="s">
        <v>866</v>
      </c>
      <c r="Q4" s="81"/>
    </row>
    <row r="5" spans="1:17" s="311" customFormat="1" ht="27" customHeight="1">
      <c r="B5" s="895"/>
      <c r="C5" s="897"/>
      <c r="D5" s="897"/>
      <c r="E5" s="897"/>
      <c r="F5" s="901"/>
      <c r="G5" s="897"/>
      <c r="H5" s="901"/>
      <c r="I5" s="901"/>
      <c r="J5" s="901"/>
      <c r="K5" s="905"/>
      <c r="L5" s="587" t="s">
        <v>601</v>
      </c>
      <c r="M5" s="404" t="s">
        <v>602</v>
      </c>
      <c r="N5" s="720" t="s">
        <v>349</v>
      </c>
      <c r="O5" s="907"/>
    </row>
    <row r="6" spans="1:17" s="2" customFormat="1" ht="12.95" customHeight="1">
      <c r="A6" s="312"/>
      <c r="B6" s="525">
        <v>1</v>
      </c>
      <c r="C6" s="361">
        <v>2</v>
      </c>
      <c r="D6" s="361">
        <v>3</v>
      </c>
      <c r="E6" s="361">
        <v>4</v>
      </c>
      <c r="F6" s="361">
        <v>5</v>
      </c>
      <c r="G6" s="361">
        <v>6</v>
      </c>
      <c r="H6" s="361">
        <v>7</v>
      </c>
      <c r="I6" s="361">
        <v>8</v>
      </c>
      <c r="J6" s="361">
        <v>9</v>
      </c>
      <c r="K6" s="526">
        <v>10</v>
      </c>
      <c r="L6" s="525">
        <v>11</v>
      </c>
      <c r="M6" s="361">
        <v>12</v>
      </c>
      <c r="N6" s="721" t="s">
        <v>830</v>
      </c>
      <c r="O6" s="527">
        <v>14</v>
      </c>
    </row>
    <row r="7" spans="1:17" s="2" customFormat="1" ht="12.95" customHeight="1">
      <c r="A7" s="312"/>
      <c r="B7" s="6" t="s">
        <v>140</v>
      </c>
      <c r="C7" s="7" t="s">
        <v>80</v>
      </c>
      <c r="D7" s="7" t="s">
        <v>81</v>
      </c>
      <c r="E7" s="667" t="s">
        <v>834</v>
      </c>
      <c r="F7" s="5"/>
      <c r="G7" s="313"/>
      <c r="H7" s="5"/>
      <c r="I7" s="592"/>
      <c r="J7" s="100"/>
      <c r="K7" s="592"/>
      <c r="L7" s="619"/>
      <c r="M7" s="100"/>
      <c r="N7" s="773"/>
      <c r="O7" s="375"/>
    </row>
    <row r="8" spans="1:17" s="1" customFormat="1" ht="12.95" customHeight="1">
      <c r="A8" s="311"/>
      <c r="B8" s="12"/>
      <c r="C8" s="8"/>
      <c r="D8" s="8"/>
      <c r="E8" s="8"/>
      <c r="F8" s="335">
        <v>611000</v>
      </c>
      <c r="G8" s="361"/>
      <c r="H8" s="8" t="s">
        <v>146</v>
      </c>
      <c r="I8" s="738">
        <f t="shared" ref="I8:N8" si="0">SUM(I9:I11)</f>
        <v>539500</v>
      </c>
      <c r="J8" s="236">
        <f t="shared" si="0"/>
        <v>539500</v>
      </c>
      <c r="K8" s="744">
        <f t="shared" si="0"/>
        <v>129856</v>
      </c>
      <c r="L8" s="578">
        <f t="shared" si="0"/>
        <v>539380</v>
      </c>
      <c r="M8" s="236">
        <f t="shared" si="0"/>
        <v>0</v>
      </c>
      <c r="N8" s="723">
        <f t="shared" si="0"/>
        <v>539380</v>
      </c>
      <c r="O8" s="376">
        <f>IF(J8=0,"",N8/J8*100)</f>
        <v>99.977757182576454</v>
      </c>
    </row>
    <row r="9" spans="1:17" ht="12.95" customHeight="1">
      <c r="B9" s="10"/>
      <c r="C9" s="11"/>
      <c r="D9" s="11"/>
      <c r="E9" s="316"/>
      <c r="F9" s="336">
        <v>611100</v>
      </c>
      <c r="G9" s="362"/>
      <c r="H9" s="20" t="s">
        <v>174</v>
      </c>
      <c r="I9" s="784">
        <f>452220+4000+11310</f>
        <v>467530</v>
      </c>
      <c r="J9" s="238">
        <f>452220+4000+11310</f>
        <v>467530</v>
      </c>
      <c r="K9" s="742">
        <v>116308</v>
      </c>
      <c r="L9" s="626">
        <f>465290+1000+3*950</f>
        <v>469140</v>
      </c>
      <c r="M9" s="238">
        <v>0</v>
      </c>
      <c r="N9" s="724">
        <f>SUM(L9:M9)</f>
        <v>469140</v>
      </c>
      <c r="O9" s="377">
        <f>IF(J9=0,"",N9/J9*100)</f>
        <v>100.34436292858213</v>
      </c>
    </row>
    <row r="10" spans="1:17" ht="12.95" customHeight="1">
      <c r="B10" s="10"/>
      <c r="C10" s="11"/>
      <c r="D10" s="11"/>
      <c r="E10" s="316"/>
      <c r="F10" s="336">
        <v>611200</v>
      </c>
      <c r="G10" s="362"/>
      <c r="H10" s="11" t="s">
        <v>175</v>
      </c>
      <c r="I10" s="784">
        <f>69970+2000</f>
        <v>71970</v>
      </c>
      <c r="J10" s="238">
        <f>69970+2000</f>
        <v>71970</v>
      </c>
      <c r="K10" s="742">
        <v>13548</v>
      </c>
      <c r="L10" s="626">
        <f>68280+1000+3*320</f>
        <v>70240</v>
      </c>
      <c r="M10" s="238">
        <v>0</v>
      </c>
      <c r="N10" s="724">
        <f t="shared" ref="N10:N11" si="1">SUM(L10:M10)</f>
        <v>70240</v>
      </c>
      <c r="O10" s="377">
        <f t="shared" ref="O10:O35" si="2">IF(J10=0,"",N10/J10*100)</f>
        <v>97.596220647492018</v>
      </c>
    </row>
    <row r="11" spans="1:17" ht="12.95" customHeight="1">
      <c r="B11" s="10"/>
      <c r="C11" s="11"/>
      <c r="D11" s="11"/>
      <c r="E11" s="316"/>
      <c r="F11" s="336">
        <v>611200</v>
      </c>
      <c r="G11" s="362"/>
      <c r="H11" s="210" t="s">
        <v>464</v>
      </c>
      <c r="I11" s="739">
        <v>0</v>
      </c>
      <c r="J11" s="235">
        <v>0</v>
      </c>
      <c r="K11" s="741">
        <v>0</v>
      </c>
      <c r="L11" s="579">
        <v>0</v>
      </c>
      <c r="M11" s="235">
        <v>0</v>
      </c>
      <c r="N11" s="724">
        <f t="shared" si="1"/>
        <v>0</v>
      </c>
      <c r="O11" s="377" t="str">
        <f t="shared" si="2"/>
        <v/>
      </c>
      <c r="Q11" s="62"/>
    </row>
    <row r="12" spans="1:17" ht="12.95" customHeight="1">
      <c r="B12" s="10"/>
      <c r="C12" s="11"/>
      <c r="D12" s="11"/>
      <c r="E12" s="316"/>
      <c r="F12" s="336"/>
      <c r="G12" s="362"/>
      <c r="H12" s="11"/>
      <c r="I12" s="738"/>
      <c r="J12" s="236"/>
      <c r="K12" s="744"/>
      <c r="L12" s="578"/>
      <c r="M12" s="236"/>
      <c r="N12" s="723"/>
      <c r="O12" s="377" t="str">
        <f t="shared" si="2"/>
        <v/>
      </c>
    </row>
    <row r="13" spans="1:17" s="1" customFormat="1" ht="12.95" customHeight="1">
      <c r="A13" s="311"/>
      <c r="B13" s="12"/>
      <c r="C13" s="8"/>
      <c r="D13" s="8"/>
      <c r="E13" s="8"/>
      <c r="F13" s="335">
        <v>612000</v>
      </c>
      <c r="G13" s="361"/>
      <c r="H13" s="8" t="s">
        <v>145</v>
      </c>
      <c r="I13" s="738">
        <f t="shared" ref="I13:N13" si="3">I14</f>
        <v>49970</v>
      </c>
      <c r="J13" s="236">
        <f t="shared" si="3"/>
        <v>49970</v>
      </c>
      <c r="K13" s="744">
        <f t="shared" si="3"/>
        <v>12258</v>
      </c>
      <c r="L13" s="578">
        <f t="shared" si="3"/>
        <v>49670</v>
      </c>
      <c r="M13" s="236">
        <f t="shared" si="3"/>
        <v>0</v>
      </c>
      <c r="N13" s="723">
        <f t="shared" si="3"/>
        <v>49670</v>
      </c>
      <c r="O13" s="376">
        <f t="shared" si="2"/>
        <v>99.399639783870313</v>
      </c>
    </row>
    <row r="14" spans="1:17" ht="12.95" customHeight="1">
      <c r="B14" s="10"/>
      <c r="C14" s="11"/>
      <c r="D14" s="11"/>
      <c r="E14" s="316"/>
      <c r="F14" s="336">
        <v>612100</v>
      </c>
      <c r="G14" s="362"/>
      <c r="H14" s="13" t="s">
        <v>82</v>
      </c>
      <c r="I14" s="784">
        <f>47770+1000+1200</f>
        <v>49970</v>
      </c>
      <c r="J14" s="238">
        <f>47770+1000+1200</f>
        <v>49970</v>
      </c>
      <c r="K14" s="742">
        <v>12258</v>
      </c>
      <c r="L14" s="626">
        <f>49040+300+3*110</f>
        <v>49670</v>
      </c>
      <c r="M14" s="238">
        <v>0</v>
      </c>
      <c r="N14" s="724">
        <f>SUM(L14:M14)</f>
        <v>49670</v>
      </c>
      <c r="O14" s="377">
        <f t="shared" si="2"/>
        <v>99.399639783870313</v>
      </c>
    </row>
    <row r="15" spans="1:17" ht="12.95" customHeight="1">
      <c r="B15" s="10"/>
      <c r="C15" s="11"/>
      <c r="D15" s="11"/>
      <c r="E15" s="316"/>
      <c r="F15" s="336"/>
      <c r="G15" s="362"/>
      <c r="H15" s="11"/>
      <c r="I15" s="575"/>
      <c r="J15" s="318"/>
      <c r="K15" s="745"/>
      <c r="L15" s="582"/>
      <c r="M15" s="318"/>
      <c r="N15" s="726"/>
      <c r="O15" s="377" t="str">
        <f t="shared" si="2"/>
        <v/>
      </c>
    </row>
    <row r="16" spans="1:17" s="1" customFormat="1" ht="12.95" customHeight="1">
      <c r="A16" s="311"/>
      <c r="B16" s="12"/>
      <c r="C16" s="8"/>
      <c r="D16" s="8"/>
      <c r="E16" s="8"/>
      <c r="F16" s="335">
        <v>613000</v>
      </c>
      <c r="G16" s="361"/>
      <c r="H16" s="8" t="s">
        <v>147</v>
      </c>
      <c r="I16" s="778">
        <f t="shared" ref="I16:N16" si="4">SUM(I17:I26)</f>
        <v>107100</v>
      </c>
      <c r="J16" s="323">
        <f t="shared" si="4"/>
        <v>107100</v>
      </c>
      <c r="K16" s="783">
        <f t="shared" si="4"/>
        <v>20727</v>
      </c>
      <c r="L16" s="588">
        <f t="shared" si="4"/>
        <v>95300</v>
      </c>
      <c r="M16" s="323">
        <f t="shared" si="4"/>
        <v>0</v>
      </c>
      <c r="N16" s="726">
        <f t="shared" si="4"/>
        <v>95300</v>
      </c>
      <c r="O16" s="376">
        <f t="shared" si="2"/>
        <v>88.982259570494861</v>
      </c>
    </row>
    <row r="17" spans="1:16" ht="12.95" customHeight="1">
      <c r="B17" s="10"/>
      <c r="C17" s="11"/>
      <c r="D17" s="11"/>
      <c r="E17" s="316"/>
      <c r="F17" s="336">
        <v>613100</v>
      </c>
      <c r="G17" s="362"/>
      <c r="H17" s="11" t="s">
        <v>83</v>
      </c>
      <c r="I17" s="779">
        <v>4000</v>
      </c>
      <c r="J17" s="395">
        <v>4000</v>
      </c>
      <c r="K17" s="779">
        <v>251</v>
      </c>
      <c r="L17" s="571">
        <f>4000*80%</f>
        <v>3200</v>
      </c>
      <c r="M17" s="395">
        <v>0</v>
      </c>
      <c r="N17" s="724">
        <f t="shared" ref="N17:N26" si="5">SUM(L17:M17)</f>
        <v>3200</v>
      </c>
      <c r="O17" s="377">
        <f t="shared" si="2"/>
        <v>80</v>
      </c>
    </row>
    <row r="18" spans="1:16" ht="12.95" customHeight="1">
      <c r="B18" s="10"/>
      <c r="C18" s="11"/>
      <c r="D18" s="11"/>
      <c r="E18" s="316"/>
      <c r="F18" s="336">
        <v>613200</v>
      </c>
      <c r="G18" s="362"/>
      <c r="H18" s="11" t="s">
        <v>84</v>
      </c>
      <c r="I18" s="779">
        <v>28000</v>
      </c>
      <c r="J18" s="395">
        <v>28000</v>
      </c>
      <c r="K18" s="779">
        <v>7514</v>
      </c>
      <c r="L18" s="571">
        <v>24000</v>
      </c>
      <c r="M18" s="395">
        <v>0</v>
      </c>
      <c r="N18" s="724">
        <f t="shared" si="5"/>
        <v>24000</v>
      </c>
      <c r="O18" s="377">
        <f t="shared" si="2"/>
        <v>85.714285714285708</v>
      </c>
    </row>
    <row r="19" spans="1:16" ht="12.95" customHeight="1">
      <c r="B19" s="10"/>
      <c r="C19" s="11"/>
      <c r="D19" s="11"/>
      <c r="E19" s="316"/>
      <c r="F19" s="336">
        <v>613300</v>
      </c>
      <c r="G19" s="362"/>
      <c r="H19" s="20" t="s">
        <v>176</v>
      </c>
      <c r="I19" s="779">
        <v>12000</v>
      </c>
      <c r="J19" s="395">
        <v>12000</v>
      </c>
      <c r="K19" s="779">
        <v>1995</v>
      </c>
      <c r="L19" s="571">
        <v>12000</v>
      </c>
      <c r="M19" s="395">
        <v>0</v>
      </c>
      <c r="N19" s="724">
        <f t="shared" si="5"/>
        <v>12000</v>
      </c>
      <c r="O19" s="377">
        <f t="shared" si="2"/>
        <v>100</v>
      </c>
    </row>
    <row r="20" spans="1:16" ht="12.95" customHeight="1">
      <c r="B20" s="10"/>
      <c r="C20" s="11"/>
      <c r="D20" s="11"/>
      <c r="E20" s="316"/>
      <c r="F20" s="336">
        <v>613400</v>
      </c>
      <c r="G20" s="362"/>
      <c r="H20" s="11" t="s">
        <v>148</v>
      </c>
      <c r="I20" s="779">
        <v>6000</v>
      </c>
      <c r="J20" s="395">
        <v>6000</v>
      </c>
      <c r="K20" s="779">
        <v>1697</v>
      </c>
      <c r="L20" s="571">
        <v>6000</v>
      </c>
      <c r="M20" s="395">
        <v>0</v>
      </c>
      <c r="N20" s="724">
        <f t="shared" si="5"/>
        <v>6000</v>
      </c>
      <c r="O20" s="377">
        <f t="shared" si="2"/>
        <v>100</v>
      </c>
    </row>
    <row r="21" spans="1:16" ht="12.95" customHeight="1">
      <c r="B21" s="10"/>
      <c r="C21" s="11"/>
      <c r="D21" s="11"/>
      <c r="E21" s="316"/>
      <c r="F21" s="336">
        <v>613500</v>
      </c>
      <c r="G21" s="362"/>
      <c r="H21" s="11" t="s">
        <v>85</v>
      </c>
      <c r="I21" s="742">
        <v>4500</v>
      </c>
      <c r="J21" s="397">
        <v>4500</v>
      </c>
      <c r="K21" s="742">
        <v>1151</v>
      </c>
      <c r="L21" s="571">
        <v>4000</v>
      </c>
      <c r="M21" s="397">
        <v>0</v>
      </c>
      <c r="N21" s="724">
        <f t="shared" si="5"/>
        <v>4000</v>
      </c>
      <c r="O21" s="377">
        <f t="shared" si="2"/>
        <v>88.888888888888886</v>
      </c>
      <c r="P21" s="55"/>
    </row>
    <row r="22" spans="1:16" ht="12.95" customHeight="1">
      <c r="B22" s="10"/>
      <c r="C22" s="11"/>
      <c r="D22" s="11"/>
      <c r="E22" s="316"/>
      <c r="F22" s="336">
        <v>613600</v>
      </c>
      <c r="G22" s="362"/>
      <c r="H22" s="20" t="s">
        <v>177</v>
      </c>
      <c r="I22" s="779">
        <v>0</v>
      </c>
      <c r="J22" s="395">
        <v>0</v>
      </c>
      <c r="K22" s="779">
        <v>0</v>
      </c>
      <c r="L22" s="571">
        <v>0</v>
      </c>
      <c r="M22" s="395">
        <v>0</v>
      </c>
      <c r="N22" s="724">
        <f t="shared" si="5"/>
        <v>0</v>
      </c>
      <c r="O22" s="377" t="str">
        <f t="shared" si="2"/>
        <v/>
      </c>
    </row>
    <row r="23" spans="1:16" ht="12.95" customHeight="1">
      <c r="B23" s="10"/>
      <c r="C23" s="11"/>
      <c r="D23" s="11"/>
      <c r="E23" s="316"/>
      <c r="F23" s="336">
        <v>613700</v>
      </c>
      <c r="G23" s="362"/>
      <c r="H23" s="11" t="s">
        <v>86</v>
      </c>
      <c r="I23" s="742">
        <v>6000</v>
      </c>
      <c r="J23" s="397">
        <v>6000</v>
      </c>
      <c r="K23" s="742">
        <v>1597</v>
      </c>
      <c r="L23" s="571">
        <v>5500</v>
      </c>
      <c r="M23" s="397">
        <v>0</v>
      </c>
      <c r="N23" s="724">
        <f t="shared" si="5"/>
        <v>5500</v>
      </c>
      <c r="O23" s="377">
        <f t="shared" si="2"/>
        <v>91.666666666666657</v>
      </c>
    </row>
    <row r="24" spans="1:16" ht="12.95" customHeight="1">
      <c r="B24" s="10"/>
      <c r="C24" s="11"/>
      <c r="D24" s="11"/>
      <c r="E24" s="316"/>
      <c r="F24" s="336">
        <v>613800</v>
      </c>
      <c r="G24" s="362"/>
      <c r="H24" s="11" t="s">
        <v>149</v>
      </c>
      <c r="I24" s="742">
        <v>1600</v>
      </c>
      <c r="J24" s="397">
        <v>1600</v>
      </c>
      <c r="K24" s="742">
        <v>0</v>
      </c>
      <c r="L24" s="571">
        <v>1600</v>
      </c>
      <c r="M24" s="397">
        <v>0</v>
      </c>
      <c r="N24" s="724">
        <f t="shared" si="5"/>
        <v>1600</v>
      </c>
      <c r="O24" s="377">
        <f t="shared" si="2"/>
        <v>100</v>
      </c>
    </row>
    <row r="25" spans="1:16" ht="12.95" customHeight="1">
      <c r="B25" s="10"/>
      <c r="C25" s="11"/>
      <c r="D25" s="11"/>
      <c r="E25" s="316"/>
      <c r="F25" s="336">
        <v>613900</v>
      </c>
      <c r="G25" s="362"/>
      <c r="H25" s="11" t="s">
        <v>150</v>
      </c>
      <c r="I25" s="742">
        <v>45000</v>
      </c>
      <c r="J25" s="397">
        <v>45000</v>
      </c>
      <c r="K25" s="742">
        <v>6522</v>
      </c>
      <c r="L25" s="571">
        <v>39000</v>
      </c>
      <c r="M25" s="397">
        <v>0</v>
      </c>
      <c r="N25" s="724">
        <f t="shared" si="5"/>
        <v>39000</v>
      </c>
      <c r="O25" s="377">
        <f t="shared" si="2"/>
        <v>86.666666666666671</v>
      </c>
    </row>
    <row r="26" spans="1:16" ht="12.95" customHeight="1">
      <c r="B26" s="10"/>
      <c r="C26" s="11"/>
      <c r="D26" s="11"/>
      <c r="E26" s="316"/>
      <c r="F26" s="336">
        <v>613900</v>
      </c>
      <c r="G26" s="362"/>
      <c r="H26" s="210" t="s">
        <v>465</v>
      </c>
      <c r="I26" s="742">
        <v>0</v>
      </c>
      <c r="J26" s="397">
        <v>0</v>
      </c>
      <c r="K26" s="742">
        <v>0</v>
      </c>
      <c r="L26" s="571">
        <v>0</v>
      </c>
      <c r="M26" s="397">
        <v>0</v>
      </c>
      <c r="N26" s="724">
        <f t="shared" si="5"/>
        <v>0</v>
      </c>
      <c r="O26" s="377" t="str">
        <f t="shared" si="2"/>
        <v/>
      </c>
    </row>
    <row r="27" spans="1:16" s="1" customFormat="1" ht="12.95" customHeight="1">
      <c r="A27" s="311"/>
      <c r="B27" s="12"/>
      <c r="C27" s="8"/>
      <c r="D27" s="8"/>
      <c r="E27" s="8"/>
      <c r="F27" s="335"/>
      <c r="G27" s="361"/>
      <c r="H27" s="8"/>
      <c r="I27" s="631"/>
      <c r="J27" s="326"/>
      <c r="K27" s="742"/>
      <c r="L27" s="622"/>
      <c r="M27" s="326"/>
      <c r="N27" s="725"/>
      <c r="O27" s="377" t="str">
        <f t="shared" si="2"/>
        <v/>
      </c>
    </row>
    <row r="28" spans="1:16" s="1" customFormat="1" ht="12.95" customHeight="1">
      <c r="A28" s="311"/>
      <c r="B28" s="12"/>
      <c r="C28" s="8"/>
      <c r="D28" s="8"/>
      <c r="E28" s="8"/>
      <c r="F28" s="335">
        <v>821000</v>
      </c>
      <c r="G28" s="361"/>
      <c r="H28" s="8" t="s">
        <v>89</v>
      </c>
      <c r="I28" s="632">
        <f t="shared" ref="I28:N28" si="6">SUM(I29:I30)</f>
        <v>10000</v>
      </c>
      <c r="J28" s="325">
        <f t="shared" si="6"/>
        <v>10000</v>
      </c>
      <c r="K28" s="744">
        <f t="shared" si="6"/>
        <v>0</v>
      </c>
      <c r="L28" s="588">
        <f t="shared" si="6"/>
        <v>4900</v>
      </c>
      <c r="M28" s="325">
        <f t="shared" si="6"/>
        <v>0</v>
      </c>
      <c r="N28" s="726">
        <f t="shared" si="6"/>
        <v>4900</v>
      </c>
      <c r="O28" s="376">
        <f t="shared" si="2"/>
        <v>49</v>
      </c>
    </row>
    <row r="29" spans="1:16" ht="12.95" customHeight="1">
      <c r="B29" s="10"/>
      <c r="C29" s="11"/>
      <c r="D29" s="11"/>
      <c r="E29" s="316"/>
      <c r="F29" s="336">
        <v>821200</v>
      </c>
      <c r="G29" s="362"/>
      <c r="H29" s="11" t="s">
        <v>90</v>
      </c>
      <c r="I29" s="631">
        <v>5000</v>
      </c>
      <c r="J29" s="326">
        <v>5000</v>
      </c>
      <c r="K29" s="742">
        <v>0</v>
      </c>
      <c r="L29" s="622">
        <v>0</v>
      </c>
      <c r="M29" s="326">
        <v>0</v>
      </c>
      <c r="N29" s="724">
        <f t="shared" ref="N29:N30" si="7">SUM(L29:M29)</f>
        <v>0</v>
      </c>
      <c r="O29" s="377">
        <f t="shared" si="2"/>
        <v>0</v>
      </c>
    </row>
    <row r="30" spans="1:16" ht="12.95" customHeight="1">
      <c r="B30" s="10"/>
      <c r="C30" s="11"/>
      <c r="D30" s="11"/>
      <c r="E30" s="316"/>
      <c r="F30" s="336">
        <v>821300</v>
      </c>
      <c r="G30" s="362"/>
      <c r="H30" s="11" t="s">
        <v>91</v>
      </c>
      <c r="I30" s="631">
        <v>5000</v>
      </c>
      <c r="J30" s="326">
        <v>5000</v>
      </c>
      <c r="K30" s="742">
        <v>0</v>
      </c>
      <c r="L30" s="622">
        <v>4900</v>
      </c>
      <c r="M30" s="326">
        <v>0</v>
      </c>
      <c r="N30" s="724">
        <f t="shared" si="7"/>
        <v>4900</v>
      </c>
      <c r="O30" s="377">
        <f t="shared" si="2"/>
        <v>98</v>
      </c>
    </row>
    <row r="31" spans="1:16" ht="12.95" customHeight="1">
      <c r="B31" s="10"/>
      <c r="C31" s="11"/>
      <c r="D31" s="11"/>
      <c r="E31" s="316"/>
      <c r="F31" s="336"/>
      <c r="G31" s="362"/>
      <c r="H31" s="11"/>
      <c r="I31" s="777"/>
      <c r="J31" s="321"/>
      <c r="K31" s="779"/>
      <c r="L31" s="621"/>
      <c r="M31" s="321"/>
      <c r="N31" s="725"/>
      <c r="O31" s="377" t="str">
        <f t="shared" si="2"/>
        <v/>
      </c>
    </row>
    <row r="32" spans="1:16" s="1" customFormat="1" ht="12.95" customHeight="1">
      <c r="A32" s="311"/>
      <c r="B32" s="12"/>
      <c r="C32" s="8"/>
      <c r="D32" s="8"/>
      <c r="E32" s="8"/>
      <c r="F32" s="335"/>
      <c r="G32" s="361"/>
      <c r="H32" s="8" t="s">
        <v>92</v>
      </c>
      <c r="I32" s="556">
        <v>16</v>
      </c>
      <c r="J32" s="394">
        <v>16</v>
      </c>
      <c r="K32" s="745">
        <v>16</v>
      </c>
      <c r="L32" s="582">
        <v>17</v>
      </c>
      <c r="M32" s="318"/>
      <c r="N32" s="726">
        <v>17</v>
      </c>
      <c r="O32" s="377"/>
    </row>
    <row r="33" spans="1:15" s="1" customFormat="1" ht="12.95" customHeight="1">
      <c r="A33" s="311"/>
      <c r="B33" s="12"/>
      <c r="C33" s="8"/>
      <c r="D33" s="8"/>
      <c r="E33" s="8"/>
      <c r="F33" s="335"/>
      <c r="G33" s="361"/>
      <c r="H33" s="8" t="s">
        <v>110</v>
      </c>
      <c r="I33" s="575">
        <f>I8+I13+I16+I28</f>
        <v>706570</v>
      </c>
      <c r="J33" s="318">
        <f>J8+J13+J16+J28</f>
        <v>706570</v>
      </c>
      <c r="K33" s="575">
        <f t="shared" ref="K33" si="8">K8+K13+K16+K28</f>
        <v>162841</v>
      </c>
      <c r="L33" s="582">
        <f>L8+L13+L16+L28</f>
        <v>689250</v>
      </c>
      <c r="M33" s="318">
        <f>M8+M13+M16+M28</f>
        <v>0</v>
      </c>
      <c r="N33" s="726">
        <f>N8+N13+N16+N28</f>
        <v>689250</v>
      </c>
      <c r="O33" s="376">
        <f t="shared" si="2"/>
        <v>97.548721287345913</v>
      </c>
    </row>
    <row r="34" spans="1:15" s="1" customFormat="1" ht="12.95" customHeight="1">
      <c r="A34" s="311"/>
      <c r="B34" s="12"/>
      <c r="C34" s="8"/>
      <c r="D34" s="8"/>
      <c r="E34" s="8"/>
      <c r="F34" s="335"/>
      <c r="G34" s="361"/>
      <c r="H34" s="8" t="s">
        <v>93</v>
      </c>
      <c r="I34" s="575">
        <f>I33</f>
        <v>706570</v>
      </c>
      <c r="J34" s="318">
        <f>J33</f>
        <v>706570</v>
      </c>
      <c r="K34" s="575">
        <f t="shared" ref="K34" si="9">K33</f>
        <v>162841</v>
      </c>
      <c r="L34" s="582">
        <f t="shared" ref="L34:N35" si="10">L33</f>
        <v>689250</v>
      </c>
      <c r="M34" s="318">
        <f t="shared" si="10"/>
        <v>0</v>
      </c>
      <c r="N34" s="726">
        <f t="shared" si="10"/>
        <v>689250</v>
      </c>
      <c r="O34" s="376">
        <f>IF(J34=0,"",N34/J34*100)</f>
        <v>97.548721287345913</v>
      </c>
    </row>
    <row r="35" spans="1:15" s="1" customFormat="1" ht="12.95" customHeight="1">
      <c r="A35" s="311"/>
      <c r="B35" s="12"/>
      <c r="C35" s="8"/>
      <c r="D35" s="8"/>
      <c r="E35" s="8"/>
      <c r="F35" s="335"/>
      <c r="G35" s="361"/>
      <c r="H35" s="8" t="s">
        <v>94</v>
      </c>
      <c r="I35" s="15">
        <f>I34</f>
        <v>706570</v>
      </c>
      <c r="J35" s="15">
        <f>J34</f>
        <v>706570</v>
      </c>
      <c r="K35" s="575">
        <f t="shared" ref="K35" si="11">K34</f>
        <v>162841</v>
      </c>
      <c r="L35" s="582">
        <f t="shared" si="10"/>
        <v>689250</v>
      </c>
      <c r="M35" s="318">
        <f t="shared" si="10"/>
        <v>0</v>
      </c>
      <c r="N35" s="726">
        <f t="shared" si="10"/>
        <v>689250</v>
      </c>
      <c r="O35" s="376">
        <f t="shared" si="2"/>
        <v>97.548721287345913</v>
      </c>
    </row>
    <row r="36" spans="1:15" ht="12.95" customHeight="1" thickBot="1">
      <c r="B36" s="16"/>
      <c r="C36" s="17"/>
      <c r="D36" s="17"/>
      <c r="E36" s="17"/>
      <c r="F36" s="337"/>
      <c r="G36" s="363"/>
      <c r="H36" s="17"/>
      <c r="I36" s="32"/>
      <c r="J36" s="32"/>
      <c r="K36" s="576"/>
      <c r="L36" s="585"/>
      <c r="M36" s="32"/>
      <c r="N36" s="728"/>
      <c r="O36" s="379"/>
    </row>
    <row r="37" spans="1:15" ht="12.95" customHeight="1">
      <c r="F37" s="338"/>
      <c r="G37" s="364"/>
      <c r="N37" s="425"/>
    </row>
    <row r="38" spans="1:15" ht="12.95" customHeight="1">
      <c r="F38" s="338"/>
      <c r="G38" s="364"/>
      <c r="N38" s="425"/>
    </row>
    <row r="39" spans="1:15" ht="12.95" customHeight="1">
      <c r="B39" s="55"/>
      <c r="F39" s="338"/>
      <c r="G39" s="364"/>
      <c r="N39" s="425"/>
    </row>
    <row r="40" spans="1:15" ht="12.95" customHeight="1">
      <c r="B40" s="55"/>
      <c r="F40" s="338"/>
      <c r="G40" s="364"/>
      <c r="N40" s="425"/>
    </row>
    <row r="41" spans="1:15" ht="12.95" customHeight="1">
      <c r="B41" s="55"/>
      <c r="F41" s="338"/>
      <c r="G41" s="364"/>
      <c r="N41" s="425"/>
    </row>
    <row r="42" spans="1:15" ht="12.95" customHeight="1">
      <c r="B42" s="55"/>
      <c r="F42" s="338"/>
      <c r="G42" s="364"/>
      <c r="N42" s="425"/>
    </row>
    <row r="43" spans="1:15" ht="12.95" customHeight="1">
      <c r="B43" s="55"/>
      <c r="F43" s="338"/>
      <c r="G43" s="364"/>
      <c r="N43" s="425"/>
    </row>
    <row r="44" spans="1:15" ht="12.95" customHeight="1">
      <c r="F44" s="338"/>
      <c r="G44" s="364"/>
      <c r="N44" s="425"/>
    </row>
    <row r="45" spans="1:15" ht="12.95" customHeight="1">
      <c r="F45" s="338"/>
      <c r="G45" s="364"/>
      <c r="N45" s="425"/>
    </row>
    <row r="46" spans="1:15" ht="12.95" customHeight="1">
      <c r="F46" s="338"/>
      <c r="G46" s="364"/>
      <c r="N46" s="425"/>
    </row>
    <row r="47" spans="1:15" ht="12.95" customHeight="1">
      <c r="F47" s="338"/>
      <c r="G47" s="364"/>
      <c r="N47" s="425"/>
    </row>
    <row r="48" spans="1:15" ht="12.95" customHeight="1">
      <c r="F48" s="338"/>
      <c r="G48" s="364"/>
      <c r="N48" s="425"/>
    </row>
    <row r="49" spans="6:14" ht="12.95" customHeight="1">
      <c r="F49" s="338"/>
      <c r="G49" s="364"/>
      <c r="N49" s="425"/>
    </row>
    <row r="50" spans="6:14" ht="12.95" customHeight="1">
      <c r="F50" s="338"/>
      <c r="G50" s="364"/>
      <c r="N50" s="425"/>
    </row>
    <row r="51" spans="6:14" ht="12.95" customHeight="1">
      <c r="F51" s="338"/>
      <c r="G51" s="364"/>
      <c r="N51" s="425"/>
    </row>
    <row r="52" spans="6:14" ht="12.95" customHeight="1">
      <c r="F52" s="338"/>
      <c r="G52" s="364"/>
      <c r="N52" s="425"/>
    </row>
    <row r="53" spans="6:14" ht="12.95" customHeight="1">
      <c r="F53" s="338"/>
      <c r="G53" s="364"/>
      <c r="N53" s="425"/>
    </row>
    <row r="54" spans="6:14" ht="12.95" customHeight="1">
      <c r="F54" s="338"/>
      <c r="G54" s="364"/>
      <c r="N54" s="425"/>
    </row>
    <row r="55" spans="6:14" ht="12.95" customHeight="1">
      <c r="F55" s="338"/>
      <c r="G55" s="364"/>
      <c r="N55" s="425"/>
    </row>
    <row r="56" spans="6:14" ht="12.95" customHeight="1">
      <c r="F56" s="338"/>
      <c r="G56" s="364"/>
      <c r="N56" s="425"/>
    </row>
    <row r="57" spans="6:14" ht="12.95" customHeight="1">
      <c r="F57" s="338"/>
      <c r="G57" s="364"/>
      <c r="N57" s="425"/>
    </row>
    <row r="58" spans="6:14" ht="12.95" customHeight="1">
      <c r="F58" s="338"/>
      <c r="G58" s="364"/>
      <c r="N58" s="425"/>
    </row>
    <row r="59" spans="6:14" ht="12.95" customHeight="1">
      <c r="F59" s="338"/>
      <c r="G59" s="364"/>
      <c r="N59" s="425"/>
    </row>
    <row r="60" spans="6:14" ht="17.100000000000001" customHeight="1">
      <c r="F60" s="338"/>
      <c r="G60" s="364"/>
      <c r="N60" s="425"/>
    </row>
    <row r="61" spans="6:14" ht="14.25">
      <c r="F61" s="338"/>
      <c r="G61" s="364"/>
      <c r="N61" s="425"/>
    </row>
    <row r="62" spans="6:14" ht="14.25">
      <c r="F62" s="338"/>
      <c r="G62" s="364"/>
      <c r="N62" s="425"/>
    </row>
    <row r="63" spans="6:14" ht="14.25">
      <c r="F63" s="338"/>
      <c r="G63" s="364"/>
      <c r="N63" s="425"/>
    </row>
    <row r="64" spans="6:14" ht="14.25">
      <c r="F64" s="338"/>
      <c r="G64" s="364"/>
      <c r="N64" s="425"/>
    </row>
    <row r="65" spans="6:14" ht="14.25">
      <c r="F65" s="338"/>
      <c r="G65" s="364"/>
      <c r="N65" s="425"/>
    </row>
    <row r="66" spans="6:14" ht="14.25">
      <c r="F66" s="338"/>
      <c r="G66" s="364"/>
      <c r="N66" s="425"/>
    </row>
    <row r="67" spans="6:14" ht="14.25">
      <c r="F67" s="338"/>
      <c r="G67" s="364"/>
      <c r="N67" s="425"/>
    </row>
    <row r="68" spans="6:14" ht="14.25">
      <c r="F68" s="338"/>
      <c r="G68" s="364"/>
      <c r="N68" s="425"/>
    </row>
    <row r="69" spans="6:14" ht="14.25">
      <c r="F69" s="338"/>
      <c r="G69" s="364"/>
      <c r="N69" s="425"/>
    </row>
    <row r="70" spans="6:14" ht="14.25">
      <c r="F70" s="338"/>
      <c r="G70" s="364"/>
      <c r="N70" s="425"/>
    </row>
    <row r="71" spans="6:14" ht="14.25">
      <c r="F71" s="338"/>
      <c r="G71" s="364"/>
      <c r="N71" s="425"/>
    </row>
    <row r="72" spans="6:14" ht="14.25">
      <c r="F72" s="338"/>
      <c r="G72" s="364"/>
      <c r="N72" s="425"/>
    </row>
    <row r="73" spans="6:14" ht="14.25">
      <c r="F73" s="338"/>
      <c r="G73" s="364"/>
      <c r="N73" s="425"/>
    </row>
    <row r="74" spans="6:14" ht="14.25">
      <c r="F74" s="338"/>
      <c r="G74" s="338"/>
      <c r="N74" s="425"/>
    </row>
    <row r="75" spans="6:14" ht="14.25">
      <c r="F75" s="338"/>
      <c r="G75" s="338"/>
      <c r="N75" s="425"/>
    </row>
    <row r="76" spans="6:14" ht="14.25">
      <c r="F76" s="338"/>
      <c r="G76" s="338"/>
      <c r="N76" s="425"/>
    </row>
    <row r="77" spans="6:14" ht="14.25">
      <c r="F77" s="338"/>
      <c r="G77" s="338"/>
      <c r="N77" s="425"/>
    </row>
    <row r="78" spans="6:14" ht="14.25">
      <c r="F78" s="338"/>
      <c r="G78" s="338"/>
      <c r="N78" s="425"/>
    </row>
    <row r="79" spans="6:14" ht="14.25">
      <c r="F79" s="338"/>
      <c r="G79" s="338"/>
      <c r="N79" s="425"/>
    </row>
    <row r="80" spans="6:14" ht="14.25">
      <c r="F80" s="338"/>
      <c r="G80" s="338"/>
      <c r="N80" s="425"/>
    </row>
    <row r="81" spans="6:14" ht="14.25">
      <c r="F81" s="338"/>
      <c r="G81" s="338"/>
      <c r="N81" s="425"/>
    </row>
    <row r="82" spans="6:14" ht="14.25">
      <c r="F82" s="338"/>
      <c r="G82" s="338"/>
      <c r="N82" s="425"/>
    </row>
    <row r="83" spans="6:14" ht="14.25">
      <c r="F83" s="338"/>
      <c r="G83" s="338"/>
      <c r="N83" s="425"/>
    </row>
    <row r="84" spans="6:14" ht="14.25">
      <c r="F84" s="338"/>
      <c r="G84" s="338"/>
      <c r="N84" s="425"/>
    </row>
    <row r="85" spans="6:14" ht="14.25">
      <c r="F85" s="338"/>
      <c r="G85" s="338"/>
      <c r="N85" s="425"/>
    </row>
    <row r="86" spans="6:14" ht="14.25">
      <c r="F86" s="338"/>
      <c r="G86" s="338"/>
      <c r="N86" s="425"/>
    </row>
    <row r="87" spans="6:14" ht="14.25">
      <c r="F87" s="338"/>
      <c r="G87" s="338"/>
      <c r="N87" s="425"/>
    </row>
    <row r="88" spans="6:14" ht="14.25">
      <c r="F88" s="338"/>
      <c r="G88" s="338"/>
      <c r="N88" s="425"/>
    </row>
    <row r="89" spans="6:14" ht="14.25">
      <c r="F89" s="338"/>
      <c r="G89" s="338"/>
      <c r="N89" s="425"/>
    </row>
    <row r="90" spans="6:14" ht="14.25">
      <c r="F90" s="338"/>
      <c r="G90" s="338"/>
      <c r="N90" s="425"/>
    </row>
    <row r="91" spans="6:14">
      <c r="G91" s="338"/>
    </row>
    <row r="92" spans="6:14">
      <c r="G92" s="338"/>
    </row>
    <row r="93" spans="6:14">
      <c r="G93" s="338"/>
    </row>
    <row r="94" spans="6:14">
      <c r="G94" s="338"/>
    </row>
    <row r="95" spans="6:14">
      <c r="G95" s="338"/>
    </row>
    <row r="96" spans="6:14">
      <c r="G96" s="338"/>
    </row>
  </sheetData>
  <mergeCells count="14">
    <mergeCell ref="O4:O5"/>
    <mergeCell ref="H4:H5"/>
    <mergeCell ref="B2:I2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K4:K5"/>
    <mergeCell ref="E4:E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 codeName="Sheet40"/>
  <dimension ref="A1:Q96"/>
  <sheetViews>
    <sheetView zoomScaleNormal="100" workbookViewId="0">
      <selection activeCell="T21" sqref="T21"/>
    </sheetView>
  </sheetViews>
  <sheetFormatPr defaultRowHeight="12.75"/>
  <cols>
    <col min="1" max="1" width="9.140625" style="314"/>
    <col min="2" max="2" width="4.7109375" style="9" customWidth="1"/>
    <col min="3" max="3" width="5.140625" style="9" customWidth="1"/>
    <col min="4" max="4" width="5" style="9" customWidth="1"/>
    <col min="5" max="5" width="5" style="314" customWidth="1"/>
    <col min="6" max="6" width="8.7109375" style="18" customWidth="1"/>
    <col min="7" max="7" width="8.7109375" style="319" customWidth="1"/>
    <col min="8" max="8" width="50.7109375" style="9" customWidth="1"/>
    <col min="9" max="11" width="14.7109375" style="9" customWidth="1"/>
    <col min="12" max="13" width="14.7109375" style="314" customWidth="1"/>
    <col min="14" max="14" width="15.7109375" style="9" customWidth="1"/>
    <col min="15" max="15" width="7.7109375" style="380" customWidth="1"/>
    <col min="16" max="16384" width="9.140625" style="9"/>
  </cols>
  <sheetData>
    <row r="1" spans="1:17" ht="13.5" thickBot="1"/>
    <row r="2" spans="1:17" s="408" customFormat="1" ht="20.100000000000001" customHeight="1" thickTop="1" thickBot="1">
      <c r="B2" s="887" t="s">
        <v>197</v>
      </c>
      <c r="C2" s="888"/>
      <c r="D2" s="888"/>
      <c r="E2" s="888"/>
      <c r="F2" s="888"/>
      <c r="G2" s="888"/>
      <c r="H2" s="888"/>
      <c r="I2" s="888"/>
      <c r="J2" s="888"/>
      <c r="K2" s="888"/>
      <c r="L2" s="888"/>
      <c r="M2" s="888"/>
      <c r="N2" s="888"/>
      <c r="O2" s="412"/>
    </row>
    <row r="3" spans="1:17" s="1" customFormat="1" ht="8.1" customHeight="1" thickTop="1" thickBot="1">
      <c r="A3" s="311"/>
      <c r="E3" s="311"/>
      <c r="F3" s="2"/>
      <c r="G3" s="312"/>
      <c r="H3" s="890"/>
      <c r="I3" s="890"/>
      <c r="J3" s="282"/>
      <c r="K3" s="282"/>
      <c r="L3" s="107"/>
      <c r="M3" s="107"/>
      <c r="N3" s="107"/>
      <c r="O3" s="374"/>
    </row>
    <row r="4" spans="1:17" s="1" customFormat="1" ht="39" customHeight="1">
      <c r="A4" s="311"/>
      <c r="B4" s="894" t="s">
        <v>77</v>
      </c>
      <c r="C4" s="909" t="s">
        <v>78</v>
      </c>
      <c r="D4" s="910" t="s">
        <v>107</v>
      </c>
      <c r="E4" s="916" t="s">
        <v>828</v>
      </c>
      <c r="F4" s="911" t="s">
        <v>517</v>
      </c>
      <c r="G4" s="899" t="s">
        <v>556</v>
      </c>
      <c r="H4" s="900" t="s">
        <v>79</v>
      </c>
      <c r="I4" s="912" t="s">
        <v>697</v>
      </c>
      <c r="J4" s="913" t="s">
        <v>862</v>
      </c>
      <c r="K4" s="917" t="s">
        <v>863</v>
      </c>
      <c r="L4" s="908" t="s">
        <v>865</v>
      </c>
      <c r="M4" s="892"/>
      <c r="N4" s="893"/>
      <c r="O4" s="906" t="s">
        <v>866</v>
      </c>
      <c r="Q4" s="81"/>
    </row>
    <row r="5" spans="1:17" s="311" customFormat="1" ht="27" customHeight="1">
      <c r="B5" s="895"/>
      <c r="C5" s="897"/>
      <c r="D5" s="897"/>
      <c r="E5" s="897"/>
      <c r="F5" s="901"/>
      <c r="G5" s="897"/>
      <c r="H5" s="901"/>
      <c r="I5" s="901"/>
      <c r="J5" s="901"/>
      <c r="K5" s="905"/>
      <c r="L5" s="587" t="s">
        <v>601</v>
      </c>
      <c r="M5" s="404" t="s">
        <v>602</v>
      </c>
      <c r="N5" s="720" t="s">
        <v>349</v>
      </c>
      <c r="O5" s="907"/>
    </row>
    <row r="6" spans="1:17" s="2" customFormat="1" ht="12.95" customHeight="1">
      <c r="A6" s="312"/>
      <c r="B6" s="525">
        <v>1</v>
      </c>
      <c r="C6" s="361">
        <v>2</v>
      </c>
      <c r="D6" s="361">
        <v>3</v>
      </c>
      <c r="E6" s="361">
        <v>4</v>
      </c>
      <c r="F6" s="361">
        <v>5</v>
      </c>
      <c r="G6" s="361">
        <v>6</v>
      </c>
      <c r="H6" s="361">
        <v>7</v>
      </c>
      <c r="I6" s="361">
        <v>8</v>
      </c>
      <c r="J6" s="361">
        <v>9</v>
      </c>
      <c r="K6" s="526">
        <v>10</v>
      </c>
      <c r="L6" s="525">
        <v>11</v>
      </c>
      <c r="M6" s="361">
        <v>12</v>
      </c>
      <c r="N6" s="721" t="s">
        <v>830</v>
      </c>
      <c r="O6" s="527">
        <v>14</v>
      </c>
    </row>
    <row r="7" spans="1:17" s="2" customFormat="1" ht="12.95" customHeight="1">
      <c r="A7" s="312"/>
      <c r="B7" s="6" t="s">
        <v>141</v>
      </c>
      <c r="C7" s="7" t="s">
        <v>80</v>
      </c>
      <c r="D7" s="7" t="s">
        <v>81</v>
      </c>
      <c r="E7" s="667" t="s">
        <v>834</v>
      </c>
      <c r="F7" s="5"/>
      <c r="G7" s="313"/>
      <c r="H7" s="5"/>
      <c r="I7" s="574"/>
      <c r="J7" s="313"/>
      <c r="K7" s="574"/>
      <c r="L7" s="4"/>
      <c r="M7" s="313"/>
      <c r="N7" s="722"/>
      <c r="O7" s="375"/>
    </row>
    <row r="8" spans="1:17" s="1" customFormat="1" ht="12.95" customHeight="1">
      <c r="A8" s="311"/>
      <c r="B8" s="12"/>
      <c r="C8" s="8"/>
      <c r="D8" s="8"/>
      <c r="E8" s="8"/>
      <c r="F8" s="335">
        <v>611000</v>
      </c>
      <c r="G8" s="361"/>
      <c r="H8" s="8" t="s">
        <v>146</v>
      </c>
      <c r="I8" s="738">
        <f t="shared" ref="I8:N8" si="0">SUM(I9:I11)</f>
        <v>70460</v>
      </c>
      <c r="J8" s="236">
        <f t="shared" si="0"/>
        <v>70460</v>
      </c>
      <c r="K8" s="744">
        <f t="shared" si="0"/>
        <v>16038</v>
      </c>
      <c r="L8" s="578">
        <f t="shared" si="0"/>
        <v>67900</v>
      </c>
      <c r="M8" s="236">
        <f t="shared" si="0"/>
        <v>0</v>
      </c>
      <c r="N8" s="723">
        <f t="shared" si="0"/>
        <v>67900</v>
      </c>
      <c r="O8" s="376">
        <f>IF(J8=0,"",N8/J8*100)</f>
        <v>96.366732898098206</v>
      </c>
    </row>
    <row r="9" spans="1:17" ht="12.95" customHeight="1">
      <c r="B9" s="10"/>
      <c r="C9" s="11"/>
      <c r="D9" s="11"/>
      <c r="E9" s="316"/>
      <c r="F9" s="336">
        <v>611100</v>
      </c>
      <c r="G9" s="362"/>
      <c r="H9" s="20" t="s">
        <v>174</v>
      </c>
      <c r="I9" s="739">
        <f>58900+600+1500</f>
        <v>61000</v>
      </c>
      <c r="J9" s="235">
        <f>58900+600+1500</f>
        <v>61000</v>
      </c>
      <c r="K9" s="741">
        <v>14721</v>
      </c>
      <c r="L9" s="579">
        <f>58900+300</f>
        <v>59200</v>
      </c>
      <c r="M9" s="235">
        <v>0</v>
      </c>
      <c r="N9" s="724">
        <f>SUM(L9:M9)</f>
        <v>59200</v>
      </c>
      <c r="O9" s="377">
        <f>IF(J9=0,"",N9/J9*100)</f>
        <v>97.049180327868854</v>
      </c>
    </row>
    <row r="10" spans="1:17" ht="12.95" customHeight="1">
      <c r="B10" s="10"/>
      <c r="C10" s="11"/>
      <c r="D10" s="11"/>
      <c r="E10" s="316"/>
      <c r="F10" s="336">
        <v>611200</v>
      </c>
      <c r="G10" s="362"/>
      <c r="H10" s="11" t="s">
        <v>175</v>
      </c>
      <c r="I10" s="739">
        <f>9060+400</f>
        <v>9460</v>
      </c>
      <c r="J10" s="235">
        <f>9060+400</f>
        <v>9460</v>
      </c>
      <c r="K10" s="741">
        <v>1317</v>
      </c>
      <c r="L10" s="579">
        <f>8400+300</f>
        <v>8700</v>
      </c>
      <c r="M10" s="235">
        <v>0</v>
      </c>
      <c r="N10" s="724">
        <f t="shared" ref="N10:N11" si="1">SUM(L10:M10)</f>
        <v>8700</v>
      </c>
      <c r="O10" s="377">
        <f t="shared" ref="O10:O35" si="2">IF(J10=0,"",N10/J10*100)</f>
        <v>91.966173361522195</v>
      </c>
    </row>
    <row r="11" spans="1:17" ht="12.95" customHeight="1">
      <c r="B11" s="10"/>
      <c r="C11" s="11"/>
      <c r="D11" s="11"/>
      <c r="E11" s="316"/>
      <c r="F11" s="336">
        <v>611200</v>
      </c>
      <c r="G11" s="362"/>
      <c r="H11" s="386" t="s">
        <v>464</v>
      </c>
      <c r="I11" s="739">
        <v>0</v>
      </c>
      <c r="J11" s="235">
        <v>0</v>
      </c>
      <c r="K11" s="741">
        <v>0</v>
      </c>
      <c r="L11" s="579">
        <v>0</v>
      </c>
      <c r="M11" s="235">
        <v>0</v>
      </c>
      <c r="N11" s="724">
        <f t="shared" si="1"/>
        <v>0</v>
      </c>
      <c r="O11" s="377" t="str">
        <f t="shared" si="2"/>
        <v/>
      </c>
      <c r="Q11" s="62"/>
    </row>
    <row r="12" spans="1:17" ht="12.95" customHeight="1">
      <c r="B12" s="10"/>
      <c r="C12" s="11"/>
      <c r="D12" s="11"/>
      <c r="E12" s="316"/>
      <c r="F12" s="336"/>
      <c r="G12" s="362"/>
      <c r="H12" s="11"/>
      <c r="I12" s="738"/>
      <c r="J12" s="236"/>
      <c r="K12" s="744"/>
      <c r="L12" s="578"/>
      <c r="M12" s="236"/>
      <c r="N12" s="723"/>
      <c r="O12" s="377" t="str">
        <f t="shared" si="2"/>
        <v/>
      </c>
    </row>
    <row r="13" spans="1:17" s="1" customFormat="1" ht="12.95" customHeight="1">
      <c r="A13" s="311"/>
      <c r="B13" s="12"/>
      <c r="C13" s="8"/>
      <c r="D13" s="8"/>
      <c r="E13" s="8"/>
      <c r="F13" s="335">
        <v>612000</v>
      </c>
      <c r="G13" s="361"/>
      <c r="H13" s="8" t="s">
        <v>145</v>
      </c>
      <c r="I13" s="738">
        <f t="shared" ref="I13:N13" si="3">I14</f>
        <v>6680</v>
      </c>
      <c r="J13" s="236">
        <f t="shared" si="3"/>
        <v>6680</v>
      </c>
      <c r="K13" s="744">
        <f t="shared" si="3"/>
        <v>1552</v>
      </c>
      <c r="L13" s="578">
        <f t="shared" si="3"/>
        <v>6320</v>
      </c>
      <c r="M13" s="236">
        <f t="shared" si="3"/>
        <v>0</v>
      </c>
      <c r="N13" s="723">
        <f t="shared" si="3"/>
        <v>6320</v>
      </c>
      <c r="O13" s="376">
        <f t="shared" si="2"/>
        <v>94.610778443113773</v>
      </c>
    </row>
    <row r="14" spans="1:17" ht="12.95" customHeight="1">
      <c r="B14" s="10"/>
      <c r="C14" s="11"/>
      <c r="D14" s="11"/>
      <c r="E14" s="316"/>
      <c r="F14" s="336">
        <v>612100</v>
      </c>
      <c r="G14" s="362"/>
      <c r="H14" s="13" t="s">
        <v>82</v>
      </c>
      <c r="I14" s="739">
        <f>6220+300+160</f>
        <v>6680</v>
      </c>
      <c r="J14" s="235">
        <f>6220+300+160</f>
        <v>6680</v>
      </c>
      <c r="K14" s="741">
        <v>1552</v>
      </c>
      <c r="L14" s="579">
        <f>6220+100</f>
        <v>6320</v>
      </c>
      <c r="M14" s="235">
        <v>0</v>
      </c>
      <c r="N14" s="724">
        <f>SUM(L14:M14)</f>
        <v>6320</v>
      </c>
      <c r="O14" s="377">
        <f t="shared" si="2"/>
        <v>94.610778443113773</v>
      </c>
    </row>
    <row r="15" spans="1:17" ht="12.95" customHeight="1">
      <c r="B15" s="10"/>
      <c r="C15" s="11"/>
      <c r="D15" s="11"/>
      <c r="E15" s="316"/>
      <c r="F15" s="336"/>
      <c r="G15" s="362"/>
      <c r="H15" s="11"/>
      <c r="I15" s="778"/>
      <c r="J15" s="323"/>
      <c r="K15" s="783"/>
      <c r="L15" s="581"/>
      <c r="M15" s="323"/>
      <c r="N15" s="726"/>
      <c r="O15" s="377" t="str">
        <f t="shared" si="2"/>
        <v/>
      </c>
    </row>
    <row r="16" spans="1:17" s="1" customFormat="1" ht="12.95" customHeight="1">
      <c r="A16" s="311"/>
      <c r="B16" s="12"/>
      <c r="C16" s="8"/>
      <c r="D16" s="8"/>
      <c r="E16" s="8"/>
      <c r="F16" s="335">
        <v>613000</v>
      </c>
      <c r="G16" s="361"/>
      <c r="H16" s="8" t="s">
        <v>147</v>
      </c>
      <c r="I16" s="778">
        <f t="shared" ref="I16:N16" si="4">SUM(I17:I26)</f>
        <v>17700</v>
      </c>
      <c r="J16" s="323">
        <f t="shared" si="4"/>
        <v>17700</v>
      </c>
      <c r="K16" s="783">
        <f t="shared" si="4"/>
        <v>3906</v>
      </c>
      <c r="L16" s="581">
        <f t="shared" si="4"/>
        <v>11200</v>
      </c>
      <c r="M16" s="323">
        <f t="shared" si="4"/>
        <v>0</v>
      </c>
      <c r="N16" s="726">
        <f t="shared" si="4"/>
        <v>11200</v>
      </c>
      <c r="O16" s="376">
        <f t="shared" si="2"/>
        <v>63.276836158192097</v>
      </c>
    </row>
    <row r="17" spans="1:16" ht="12.95" customHeight="1">
      <c r="B17" s="10"/>
      <c r="C17" s="11"/>
      <c r="D17" s="11"/>
      <c r="E17" s="316"/>
      <c r="F17" s="336">
        <v>613100</v>
      </c>
      <c r="G17" s="362"/>
      <c r="H17" s="11" t="s">
        <v>83</v>
      </c>
      <c r="I17" s="791">
        <v>1000</v>
      </c>
      <c r="J17" s="393">
        <v>1000</v>
      </c>
      <c r="K17" s="791">
        <v>0</v>
      </c>
      <c r="L17" s="568">
        <v>700</v>
      </c>
      <c r="M17" s="393">
        <v>0</v>
      </c>
      <c r="N17" s="724">
        <f t="shared" ref="N17:N26" si="5">SUM(L17:M17)</f>
        <v>700</v>
      </c>
      <c r="O17" s="377">
        <f t="shared" si="2"/>
        <v>70</v>
      </c>
    </row>
    <row r="18" spans="1:16" ht="12.95" customHeight="1">
      <c r="B18" s="10"/>
      <c r="C18" s="11"/>
      <c r="D18" s="11"/>
      <c r="E18" s="316"/>
      <c r="F18" s="336">
        <v>613200</v>
      </c>
      <c r="G18" s="362"/>
      <c r="H18" s="11" t="s">
        <v>84</v>
      </c>
      <c r="I18" s="791">
        <v>0</v>
      </c>
      <c r="J18" s="393">
        <v>0</v>
      </c>
      <c r="K18" s="791">
        <v>0</v>
      </c>
      <c r="L18" s="568">
        <v>0</v>
      </c>
      <c r="M18" s="393">
        <v>0</v>
      </c>
      <c r="N18" s="724">
        <f t="shared" si="5"/>
        <v>0</v>
      </c>
      <c r="O18" s="377" t="str">
        <f t="shared" si="2"/>
        <v/>
      </c>
    </row>
    <row r="19" spans="1:16" ht="12.95" customHeight="1">
      <c r="B19" s="10"/>
      <c r="C19" s="11"/>
      <c r="D19" s="11"/>
      <c r="E19" s="316"/>
      <c r="F19" s="336">
        <v>613300</v>
      </c>
      <c r="G19" s="362"/>
      <c r="H19" s="20" t="s">
        <v>176</v>
      </c>
      <c r="I19" s="741">
        <v>3500</v>
      </c>
      <c r="J19" s="396">
        <v>3500</v>
      </c>
      <c r="K19" s="741">
        <v>526</v>
      </c>
      <c r="L19" s="568">
        <v>3500</v>
      </c>
      <c r="M19" s="396">
        <v>0</v>
      </c>
      <c r="N19" s="724">
        <f t="shared" si="5"/>
        <v>3500</v>
      </c>
      <c r="O19" s="377">
        <f t="shared" si="2"/>
        <v>100</v>
      </c>
      <c r="P19" s="55"/>
    </row>
    <row r="20" spans="1:16" ht="12.95" customHeight="1">
      <c r="B20" s="10"/>
      <c r="C20" s="11"/>
      <c r="D20" s="11"/>
      <c r="E20" s="316"/>
      <c r="F20" s="336">
        <v>613400</v>
      </c>
      <c r="G20" s="362"/>
      <c r="H20" s="11" t="s">
        <v>148</v>
      </c>
      <c r="I20" s="791">
        <v>1200</v>
      </c>
      <c r="J20" s="393">
        <v>1200</v>
      </c>
      <c r="K20" s="791">
        <v>0</v>
      </c>
      <c r="L20" s="568">
        <v>1000</v>
      </c>
      <c r="M20" s="393">
        <v>0</v>
      </c>
      <c r="N20" s="724">
        <f t="shared" si="5"/>
        <v>1000</v>
      </c>
      <c r="O20" s="377">
        <f t="shared" si="2"/>
        <v>83.333333333333343</v>
      </c>
    </row>
    <row r="21" spans="1:16" ht="12.95" customHeight="1">
      <c r="B21" s="10"/>
      <c r="C21" s="11"/>
      <c r="D21" s="11"/>
      <c r="E21" s="316"/>
      <c r="F21" s="336">
        <v>613500</v>
      </c>
      <c r="G21" s="362"/>
      <c r="H21" s="11" t="s">
        <v>85</v>
      </c>
      <c r="I21" s="791">
        <v>0</v>
      </c>
      <c r="J21" s="393">
        <v>0</v>
      </c>
      <c r="K21" s="791">
        <v>0</v>
      </c>
      <c r="L21" s="568">
        <v>0</v>
      </c>
      <c r="M21" s="393">
        <v>0</v>
      </c>
      <c r="N21" s="724">
        <f t="shared" si="5"/>
        <v>0</v>
      </c>
      <c r="O21" s="377" t="str">
        <f t="shared" si="2"/>
        <v/>
      </c>
    </row>
    <row r="22" spans="1:16" ht="12.95" customHeight="1">
      <c r="B22" s="10"/>
      <c r="C22" s="11"/>
      <c r="D22" s="11"/>
      <c r="E22" s="316"/>
      <c r="F22" s="336">
        <v>613600</v>
      </c>
      <c r="G22" s="362"/>
      <c r="H22" s="20" t="s">
        <v>177</v>
      </c>
      <c r="I22" s="791">
        <v>0</v>
      </c>
      <c r="J22" s="393">
        <v>0</v>
      </c>
      <c r="K22" s="791">
        <v>0</v>
      </c>
      <c r="L22" s="568">
        <v>0</v>
      </c>
      <c r="M22" s="393">
        <v>0</v>
      </c>
      <c r="N22" s="724">
        <f t="shared" si="5"/>
        <v>0</v>
      </c>
      <c r="O22" s="377" t="str">
        <f t="shared" si="2"/>
        <v/>
      </c>
    </row>
    <row r="23" spans="1:16" ht="12.95" customHeight="1">
      <c r="B23" s="10"/>
      <c r="C23" s="11"/>
      <c r="D23" s="11"/>
      <c r="E23" s="316"/>
      <c r="F23" s="336">
        <v>613700</v>
      </c>
      <c r="G23" s="362"/>
      <c r="H23" s="11" t="s">
        <v>86</v>
      </c>
      <c r="I23" s="741">
        <v>500</v>
      </c>
      <c r="J23" s="396">
        <v>500</v>
      </c>
      <c r="K23" s="741">
        <v>0</v>
      </c>
      <c r="L23" s="568">
        <v>0</v>
      </c>
      <c r="M23" s="396">
        <v>0</v>
      </c>
      <c r="N23" s="724">
        <f t="shared" si="5"/>
        <v>0</v>
      </c>
      <c r="O23" s="377">
        <f t="shared" si="2"/>
        <v>0</v>
      </c>
    </row>
    <row r="24" spans="1:16" ht="12.95" customHeight="1">
      <c r="B24" s="10"/>
      <c r="C24" s="11"/>
      <c r="D24" s="11"/>
      <c r="E24" s="316"/>
      <c r="F24" s="336">
        <v>613800</v>
      </c>
      <c r="G24" s="362"/>
      <c r="H24" s="11" t="s">
        <v>149</v>
      </c>
      <c r="I24" s="741">
        <v>0</v>
      </c>
      <c r="J24" s="396">
        <v>0</v>
      </c>
      <c r="K24" s="741">
        <v>0</v>
      </c>
      <c r="L24" s="568">
        <v>0</v>
      </c>
      <c r="M24" s="396">
        <v>0</v>
      </c>
      <c r="N24" s="724">
        <f t="shared" si="5"/>
        <v>0</v>
      </c>
      <c r="O24" s="377" t="str">
        <f t="shared" si="2"/>
        <v/>
      </c>
    </row>
    <row r="25" spans="1:16" ht="12.95" customHeight="1">
      <c r="B25" s="10"/>
      <c r="C25" s="11"/>
      <c r="D25" s="11"/>
      <c r="E25" s="316"/>
      <c r="F25" s="336">
        <v>613900</v>
      </c>
      <c r="G25" s="362"/>
      <c r="H25" s="11" t="s">
        <v>150</v>
      </c>
      <c r="I25" s="741">
        <v>11500</v>
      </c>
      <c r="J25" s="396">
        <v>11500</v>
      </c>
      <c r="K25" s="741">
        <v>3380</v>
      </c>
      <c r="L25" s="568">
        <v>6000</v>
      </c>
      <c r="M25" s="396">
        <v>0</v>
      </c>
      <c r="N25" s="724">
        <f t="shared" si="5"/>
        <v>6000</v>
      </c>
      <c r="O25" s="377">
        <f t="shared" si="2"/>
        <v>52.173913043478258</v>
      </c>
    </row>
    <row r="26" spans="1:16" ht="12.95" customHeight="1">
      <c r="B26" s="10"/>
      <c r="C26" s="11"/>
      <c r="D26" s="11"/>
      <c r="E26" s="316"/>
      <c r="F26" s="336">
        <v>613900</v>
      </c>
      <c r="G26" s="362"/>
      <c r="H26" s="20" t="s">
        <v>527</v>
      </c>
      <c r="I26" s="742">
        <v>0</v>
      </c>
      <c r="J26" s="397">
        <v>0</v>
      </c>
      <c r="K26" s="742">
        <v>0</v>
      </c>
      <c r="L26" s="571">
        <v>0</v>
      </c>
      <c r="M26" s="397">
        <v>0</v>
      </c>
      <c r="N26" s="724">
        <f t="shared" si="5"/>
        <v>0</v>
      </c>
      <c r="O26" s="377" t="str">
        <f t="shared" si="2"/>
        <v/>
      </c>
    </row>
    <row r="27" spans="1:16" ht="12.95" customHeight="1">
      <c r="B27" s="10"/>
      <c r="C27" s="11"/>
      <c r="D27" s="11"/>
      <c r="E27" s="316"/>
      <c r="F27" s="336"/>
      <c r="G27" s="362"/>
      <c r="H27" s="11"/>
      <c r="I27" s="632"/>
      <c r="J27" s="325"/>
      <c r="K27" s="744"/>
      <c r="L27" s="588"/>
      <c r="M27" s="325"/>
      <c r="N27" s="726"/>
      <c r="O27" s="377" t="str">
        <f t="shared" si="2"/>
        <v/>
      </c>
    </row>
    <row r="28" spans="1:16" s="1" customFormat="1" ht="12.95" customHeight="1">
      <c r="A28" s="311"/>
      <c r="B28" s="12"/>
      <c r="C28" s="8"/>
      <c r="D28" s="8"/>
      <c r="E28" s="8"/>
      <c r="F28" s="335">
        <v>821000</v>
      </c>
      <c r="G28" s="361"/>
      <c r="H28" s="8" t="s">
        <v>89</v>
      </c>
      <c r="I28" s="632">
        <f t="shared" ref="I28:N28" si="6">I29+I30</f>
        <v>1000</v>
      </c>
      <c r="J28" s="325">
        <f t="shared" si="6"/>
        <v>1000</v>
      </c>
      <c r="K28" s="744">
        <f t="shared" si="6"/>
        <v>0</v>
      </c>
      <c r="L28" s="588">
        <f t="shared" si="6"/>
        <v>500</v>
      </c>
      <c r="M28" s="325">
        <f t="shared" si="6"/>
        <v>0</v>
      </c>
      <c r="N28" s="726">
        <f t="shared" si="6"/>
        <v>500</v>
      </c>
      <c r="O28" s="376">
        <f t="shared" si="2"/>
        <v>50</v>
      </c>
    </row>
    <row r="29" spans="1:16" ht="12.95" customHeight="1">
      <c r="B29" s="10"/>
      <c r="C29" s="11"/>
      <c r="D29" s="11"/>
      <c r="E29" s="316"/>
      <c r="F29" s="336">
        <v>821200</v>
      </c>
      <c r="G29" s="362"/>
      <c r="H29" s="11" t="s">
        <v>90</v>
      </c>
      <c r="I29" s="740">
        <v>0</v>
      </c>
      <c r="J29" s="310">
        <v>0</v>
      </c>
      <c r="K29" s="741">
        <v>0</v>
      </c>
      <c r="L29" s="583">
        <v>0</v>
      </c>
      <c r="M29" s="310">
        <v>0</v>
      </c>
      <c r="N29" s="724">
        <f t="shared" ref="N29:N30" si="7">SUM(L29:M29)</f>
        <v>0</v>
      </c>
      <c r="O29" s="377" t="str">
        <f t="shared" si="2"/>
        <v/>
      </c>
    </row>
    <row r="30" spans="1:16" ht="12.95" customHeight="1">
      <c r="B30" s="10"/>
      <c r="C30" s="11"/>
      <c r="D30" s="11"/>
      <c r="E30" s="316"/>
      <c r="F30" s="336">
        <v>821300</v>
      </c>
      <c r="G30" s="362"/>
      <c r="H30" s="11" t="s">
        <v>91</v>
      </c>
      <c r="I30" s="740">
        <v>1000</v>
      </c>
      <c r="J30" s="310">
        <v>1000</v>
      </c>
      <c r="K30" s="741">
        <v>0</v>
      </c>
      <c r="L30" s="583">
        <v>500</v>
      </c>
      <c r="M30" s="310">
        <v>0</v>
      </c>
      <c r="N30" s="724">
        <f t="shared" si="7"/>
        <v>500</v>
      </c>
      <c r="O30" s="377">
        <f t="shared" si="2"/>
        <v>50</v>
      </c>
    </row>
    <row r="31" spans="1:16" ht="12.95" customHeight="1">
      <c r="B31" s="10"/>
      <c r="C31" s="11"/>
      <c r="D31" s="11"/>
      <c r="E31" s="316"/>
      <c r="F31" s="336"/>
      <c r="G31" s="362"/>
      <c r="H31" s="11"/>
      <c r="I31" s="575"/>
      <c r="J31" s="318"/>
      <c r="K31" s="745"/>
      <c r="L31" s="582"/>
      <c r="M31" s="318"/>
      <c r="N31" s="726"/>
      <c r="O31" s="377" t="str">
        <f t="shared" si="2"/>
        <v/>
      </c>
    </row>
    <row r="32" spans="1:16" s="1" customFormat="1" ht="12.95" customHeight="1">
      <c r="A32" s="311"/>
      <c r="B32" s="12"/>
      <c r="C32" s="8"/>
      <c r="D32" s="8"/>
      <c r="E32" s="8"/>
      <c r="F32" s="335"/>
      <c r="G32" s="361"/>
      <c r="H32" s="8" t="s">
        <v>92</v>
      </c>
      <c r="I32" s="575">
        <v>3</v>
      </c>
      <c r="J32" s="318">
        <v>3</v>
      </c>
      <c r="K32" s="745">
        <v>3</v>
      </c>
      <c r="L32" s="582">
        <v>3</v>
      </c>
      <c r="M32" s="318"/>
      <c r="N32" s="726">
        <v>3</v>
      </c>
      <c r="O32" s="377"/>
    </row>
    <row r="33" spans="1:15" s="1" customFormat="1" ht="12.95" customHeight="1">
      <c r="A33" s="311"/>
      <c r="B33" s="12"/>
      <c r="C33" s="8"/>
      <c r="D33" s="8"/>
      <c r="E33" s="8"/>
      <c r="F33" s="335"/>
      <c r="G33" s="361"/>
      <c r="H33" s="8" t="s">
        <v>110</v>
      </c>
      <c r="I33" s="575">
        <f>I8+I13+I16+I28</f>
        <v>95840</v>
      </c>
      <c r="J33" s="318">
        <f>J8+J13+J16+J28</f>
        <v>95840</v>
      </c>
      <c r="K33" s="575">
        <f t="shared" ref="K33" si="8">K8+K13+K16+K28</f>
        <v>21496</v>
      </c>
      <c r="L33" s="582">
        <f>L8+L13+L16+L28</f>
        <v>85920</v>
      </c>
      <c r="M33" s="318">
        <f>M8+M13+M16+M28</f>
        <v>0</v>
      </c>
      <c r="N33" s="726">
        <f>N8+N13+N16+N28</f>
        <v>85920</v>
      </c>
      <c r="O33" s="376">
        <f t="shared" si="2"/>
        <v>89.649415692821364</v>
      </c>
    </row>
    <row r="34" spans="1:15" s="1" customFormat="1" ht="12.95" customHeight="1">
      <c r="A34" s="311"/>
      <c r="B34" s="12"/>
      <c r="C34" s="8"/>
      <c r="D34" s="8"/>
      <c r="E34" s="8"/>
      <c r="F34" s="335"/>
      <c r="G34" s="361"/>
      <c r="H34" s="8" t="s">
        <v>93</v>
      </c>
      <c r="I34" s="575">
        <f>I33</f>
        <v>95840</v>
      </c>
      <c r="J34" s="318">
        <f>J33</f>
        <v>95840</v>
      </c>
      <c r="K34" s="575">
        <f t="shared" ref="K34" si="9">K33</f>
        <v>21496</v>
      </c>
      <c r="L34" s="582">
        <f t="shared" ref="L34:N35" si="10">L33</f>
        <v>85920</v>
      </c>
      <c r="M34" s="318">
        <f t="shared" si="10"/>
        <v>0</v>
      </c>
      <c r="N34" s="726">
        <f t="shared" si="10"/>
        <v>85920</v>
      </c>
      <c r="O34" s="376">
        <f>IF(J34=0,"",N34/J34*100)</f>
        <v>89.649415692821364</v>
      </c>
    </row>
    <row r="35" spans="1:15" s="1" customFormat="1" ht="12.95" customHeight="1">
      <c r="A35" s="311"/>
      <c r="B35" s="12"/>
      <c r="C35" s="8"/>
      <c r="D35" s="8"/>
      <c r="E35" s="8"/>
      <c r="F35" s="335"/>
      <c r="G35" s="361"/>
      <c r="H35" s="8" t="s">
        <v>94</v>
      </c>
      <c r="I35" s="15">
        <f>I34</f>
        <v>95840</v>
      </c>
      <c r="J35" s="15">
        <f>J34</f>
        <v>95840</v>
      </c>
      <c r="K35" s="575">
        <f t="shared" ref="K35" si="11">K34</f>
        <v>21496</v>
      </c>
      <c r="L35" s="582">
        <f t="shared" si="10"/>
        <v>85920</v>
      </c>
      <c r="M35" s="318">
        <f t="shared" si="10"/>
        <v>0</v>
      </c>
      <c r="N35" s="726">
        <f t="shared" si="10"/>
        <v>85920</v>
      </c>
      <c r="O35" s="376">
        <f t="shared" si="2"/>
        <v>89.649415692821364</v>
      </c>
    </row>
    <row r="36" spans="1:15" ht="12.95" customHeight="1" thickBot="1">
      <c r="B36" s="16"/>
      <c r="C36" s="17"/>
      <c r="D36" s="17"/>
      <c r="E36" s="17"/>
      <c r="F36" s="337"/>
      <c r="G36" s="363"/>
      <c r="H36" s="17"/>
      <c r="I36" s="17"/>
      <c r="J36" s="17"/>
      <c r="K36" s="27"/>
      <c r="L36" s="16"/>
      <c r="M36" s="17"/>
      <c r="N36" s="735"/>
      <c r="O36" s="379"/>
    </row>
    <row r="37" spans="1:15" ht="12.95" customHeight="1">
      <c r="F37" s="338"/>
      <c r="G37" s="364"/>
      <c r="N37" s="423"/>
    </row>
    <row r="38" spans="1:15" ht="12.95" customHeight="1">
      <c r="B38" s="55"/>
      <c r="F38" s="338"/>
      <c r="G38" s="364"/>
      <c r="N38" s="423"/>
    </row>
    <row r="39" spans="1:15" ht="12.95" customHeight="1">
      <c r="B39" s="55"/>
      <c r="F39" s="338"/>
      <c r="G39" s="364"/>
      <c r="N39" s="423"/>
    </row>
    <row r="40" spans="1:15" ht="12.95" customHeight="1">
      <c r="F40" s="338"/>
      <c r="G40" s="364"/>
      <c r="N40" s="423"/>
    </row>
    <row r="41" spans="1:15" ht="12.95" customHeight="1">
      <c r="F41" s="338"/>
      <c r="G41" s="364"/>
      <c r="N41" s="423"/>
    </row>
    <row r="42" spans="1:15" ht="12.95" customHeight="1">
      <c r="F42" s="338"/>
      <c r="G42" s="364"/>
      <c r="N42" s="423"/>
    </row>
    <row r="43" spans="1:15" ht="12.95" customHeight="1">
      <c r="F43" s="338"/>
      <c r="G43" s="364"/>
      <c r="N43" s="423"/>
    </row>
    <row r="44" spans="1:15" ht="12.95" customHeight="1">
      <c r="F44" s="338"/>
      <c r="G44" s="364"/>
      <c r="N44" s="423"/>
    </row>
    <row r="45" spans="1:15" ht="12.95" customHeight="1">
      <c r="F45" s="338"/>
      <c r="G45" s="364"/>
      <c r="N45" s="423"/>
    </row>
    <row r="46" spans="1:15" ht="12.95" customHeight="1">
      <c r="F46" s="338"/>
      <c r="G46" s="364"/>
      <c r="N46" s="423"/>
    </row>
    <row r="47" spans="1:15" ht="12.95" customHeight="1">
      <c r="F47" s="338"/>
      <c r="G47" s="364"/>
      <c r="N47" s="423"/>
    </row>
    <row r="48" spans="1:15" ht="12.95" customHeight="1">
      <c r="F48" s="338"/>
      <c r="G48" s="364"/>
      <c r="N48" s="423"/>
    </row>
    <row r="49" spans="6:14" ht="12.95" customHeight="1">
      <c r="F49" s="338"/>
      <c r="G49" s="364"/>
      <c r="N49" s="423"/>
    </row>
    <row r="50" spans="6:14" ht="12.95" customHeight="1">
      <c r="F50" s="338"/>
      <c r="G50" s="364"/>
      <c r="N50" s="423"/>
    </row>
    <row r="51" spans="6:14" ht="12.95" customHeight="1">
      <c r="F51" s="338"/>
      <c r="G51" s="364"/>
      <c r="N51" s="423"/>
    </row>
    <row r="52" spans="6:14" ht="12.95" customHeight="1">
      <c r="F52" s="338"/>
      <c r="G52" s="364"/>
      <c r="N52" s="423"/>
    </row>
    <row r="53" spans="6:14" ht="12.95" customHeight="1">
      <c r="F53" s="338"/>
      <c r="G53" s="364"/>
      <c r="N53" s="423"/>
    </row>
    <row r="54" spans="6:14" ht="12.95" customHeight="1">
      <c r="F54" s="338"/>
      <c r="G54" s="364"/>
      <c r="N54" s="423"/>
    </row>
    <row r="55" spans="6:14" ht="12.95" customHeight="1">
      <c r="F55" s="338"/>
      <c r="G55" s="364"/>
      <c r="N55" s="423"/>
    </row>
    <row r="56" spans="6:14" ht="12.95" customHeight="1">
      <c r="F56" s="338"/>
      <c r="G56" s="364"/>
      <c r="N56" s="423"/>
    </row>
    <row r="57" spans="6:14" ht="12.95" customHeight="1">
      <c r="F57" s="338"/>
      <c r="G57" s="364"/>
      <c r="N57" s="423"/>
    </row>
    <row r="58" spans="6:14" ht="12.95" customHeight="1">
      <c r="F58" s="338"/>
      <c r="G58" s="364"/>
      <c r="N58" s="423"/>
    </row>
    <row r="59" spans="6:14" ht="12.95" customHeight="1">
      <c r="F59" s="338"/>
      <c r="G59" s="364"/>
      <c r="N59" s="423"/>
    </row>
    <row r="60" spans="6:14" ht="17.100000000000001" customHeight="1">
      <c r="F60" s="338"/>
      <c r="G60" s="364"/>
      <c r="N60" s="423"/>
    </row>
    <row r="61" spans="6:14" ht="14.25">
      <c r="F61" s="338"/>
      <c r="G61" s="364"/>
      <c r="N61" s="423"/>
    </row>
    <row r="62" spans="6:14" ht="14.25">
      <c r="F62" s="338"/>
      <c r="G62" s="364"/>
      <c r="N62" s="423"/>
    </row>
    <row r="63" spans="6:14" ht="14.25">
      <c r="F63" s="338"/>
      <c r="G63" s="364"/>
      <c r="N63" s="423"/>
    </row>
    <row r="64" spans="6:14" ht="14.25">
      <c r="F64" s="338"/>
      <c r="G64" s="364"/>
      <c r="N64" s="423"/>
    </row>
    <row r="65" spans="6:14" ht="14.25">
      <c r="F65" s="338"/>
      <c r="G65" s="364"/>
      <c r="N65" s="423"/>
    </row>
    <row r="66" spans="6:14" ht="14.25">
      <c r="F66" s="338"/>
      <c r="G66" s="364"/>
      <c r="N66" s="423"/>
    </row>
    <row r="67" spans="6:14" ht="14.25">
      <c r="F67" s="338"/>
      <c r="G67" s="364"/>
      <c r="N67" s="423"/>
    </row>
    <row r="68" spans="6:14" ht="14.25">
      <c r="F68" s="338"/>
      <c r="G68" s="364"/>
      <c r="N68" s="423"/>
    </row>
    <row r="69" spans="6:14" ht="14.25">
      <c r="F69" s="338"/>
      <c r="G69" s="364"/>
      <c r="N69" s="423"/>
    </row>
    <row r="70" spans="6:14" ht="14.25">
      <c r="F70" s="338"/>
      <c r="G70" s="364"/>
      <c r="N70" s="423"/>
    </row>
    <row r="71" spans="6:14" ht="14.25">
      <c r="F71" s="338"/>
      <c r="G71" s="364"/>
      <c r="N71" s="423"/>
    </row>
    <row r="72" spans="6:14" ht="14.25">
      <c r="F72" s="338"/>
      <c r="G72" s="364"/>
      <c r="N72" s="423"/>
    </row>
    <row r="73" spans="6:14" ht="14.25">
      <c r="F73" s="338"/>
      <c r="G73" s="364"/>
      <c r="N73" s="423"/>
    </row>
    <row r="74" spans="6:14" ht="14.25">
      <c r="F74" s="338"/>
      <c r="G74" s="338"/>
      <c r="N74" s="423"/>
    </row>
    <row r="75" spans="6:14" ht="14.25">
      <c r="F75" s="338"/>
      <c r="G75" s="338"/>
      <c r="N75" s="423"/>
    </row>
    <row r="76" spans="6:14" ht="14.25">
      <c r="F76" s="338"/>
      <c r="G76" s="338"/>
      <c r="N76" s="423"/>
    </row>
    <row r="77" spans="6:14" ht="14.25">
      <c r="F77" s="338"/>
      <c r="G77" s="338"/>
      <c r="N77" s="423"/>
    </row>
    <row r="78" spans="6:14" ht="14.25">
      <c r="F78" s="338"/>
      <c r="G78" s="338"/>
      <c r="N78" s="423"/>
    </row>
    <row r="79" spans="6:14" ht="14.25">
      <c r="F79" s="338"/>
      <c r="G79" s="338"/>
      <c r="N79" s="423"/>
    </row>
    <row r="80" spans="6:14" ht="14.25">
      <c r="F80" s="338"/>
      <c r="G80" s="338"/>
      <c r="N80" s="423"/>
    </row>
    <row r="81" spans="6:14" ht="14.25">
      <c r="F81" s="338"/>
      <c r="G81" s="338"/>
      <c r="N81" s="423"/>
    </row>
    <row r="82" spans="6:14" ht="14.25">
      <c r="F82" s="338"/>
      <c r="G82" s="338"/>
      <c r="N82" s="423"/>
    </row>
    <row r="83" spans="6:14" ht="14.25">
      <c r="F83" s="338"/>
      <c r="G83" s="338"/>
      <c r="N83" s="423"/>
    </row>
    <row r="84" spans="6:14" ht="14.25">
      <c r="F84" s="338"/>
      <c r="G84" s="338"/>
      <c r="N84" s="423"/>
    </row>
    <row r="85" spans="6:14" ht="14.25">
      <c r="F85" s="338"/>
      <c r="G85" s="338"/>
      <c r="N85" s="423"/>
    </row>
    <row r="86" spans="6:14" ht="14.25">
      <c r="F86" s="338"/>
      <c r="G86" s="338"/>
      <c r="N86" s="423"/>
    </row>
    <row r="87" spans="6:14" ht="14.25">
      <c r="F87" s="338"/>
      <c r="G87" s="338"/>
      <c r="N87" s="423"/>
    </row>
    <row r="88" spans="6:14" ht="14.25">
      <c r="F88" s="338"/>
      <c r="G88" s="338"/>
      <c r="N88" s="423"/>
    </row>
    <row r="89" spans="6:14" ht="14.25">
      <c r="F89" s="338"/>
      <c r="G89" s="338"/>
      <c r="N89" s="423"/>
    </row>
    <row r="90" spans="6:14" ht="14.25">
      <c r="F90" s="338"/>
      <c r="G90" s="338"/>
      <c r="N90" s="423"/>
    </row>
    <row r="91" spans="6:14">
      <c r="G91" s="338"/>
    </row>
    <row r="92" spans="6:14">
      <c r="G92" s="338"/>
    </row>
    <row r="93" spans="6:14">
      <c r="G93" s="338"/>
    </row>
    <row r="94" spans="6:14">
      <c r="G94" s="338"/>
    </row>
    <row r="95" spans="6:14">
      <c r="G95" s="338"/>
    </row>
    <row r="96" spans="6:14">
      <c r="G96" s="338"/>
    </row>
  </sheetData>
  <mergeCells count="14">
    <mergeCell ref="O4:O5"/>
    <mergeCell ref="H4:H5"/>
    <mergeCell ref="B2:N2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K4:K5"/>
    <mergeCell ref="E4:E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 codeName="Sheet41"/>
  <dimension ref="A1:Q96"/>
  <sheetViews>
    <sheetView zoomScaleNormal="100" workbookViewId="0">
      <selection activeCell="R34" sqref="R34"/>
    </sheetView>
  </sheetViews>
  <sheetFormatPr defaultRowHeight="12.75"/>
  <cols>
    <col min="1" max="1" width="9.140625" style="314"/>
    <col min="2" max="2" width="4.7109375" style="9" customWidth="1"/>
    <col min="3" max="3" width="5.140625" style="9" customWidth="1"/>
    <col min="4" max="4" width="5" style="9" customWidth="1"/>
    <col min="5" max="5" width="5" style="314" customWidth="1"/>
    <col min="6" max="6" width="8.7109375" style="18" customWidth="1"/>
    <col min="7" max="7" width="8.7109375" style="319" customWidth="1"/>
    <col min="8" max="8" width="50.7109375" style="9" customWidth="1"/>
    <col min="9" max="13" width="14.7109375" style="63" customWidth="1"/>
    <col min="14" max="14" width="15.7109375" style="63" customWidth="1"/>
    <col min="15" max="15" width="7.7109375" style="380" customWidth="1"/>
    <col min="16" max="16384" width="9.140625" style="9"/>
  </cols>
  <sheetData>
    <row r="1" spans="1:17" ht="13.5" thickBot="1"/>
    <row r="2" spans="1:17" s="113" customFormat="1" ht="20.100000000000001" customHeight="1" thickTop="1" thickBot="1">
      <c r="A2" s="408"/>
      <c r="B2" s="887" t="s">
        <v>778</v>
      </c>
      <c r="C2" s="888"/>
      <c r="D2" s="888"/>
      <c r="E2" s="888"/>
      <c r="F2" s="888"/>
      <c r="G2" s="888"/>
      <c r="H2" s="888"/>
      <c r="I2" s="888"/>
      <c r="J2" s="409"/>
      <c r="K2" s="409"/>
      <c r="L2" s="410"/>
      <c r="M2" s="410"/>
      <c r="N2" s="410"/>
      <c r="O2" s="413"/>
      <c r="Q2" s="408"/>
    </row>
    <row r="3" spans="1:17" s="1" customFormat="1" ht="8.1" customHeight="1" thickTop="1" thickBot="1">
      <c r="A3" s="311"/>
      <c r="E3" s="311"/>
      <c r="F3" s="2"/>
      <c r="G3" s="312"/>
      <c r="H3" s="890"/>
      <c r="I3" s="890"/>
      <c r="J3" s="282"/>
      <c r="K3" s="282"/>
      <c r="L3" s="107"/>
      <c r="M3" s="107"/>
      <c r="N3" s="107"/>
      <c r="O3" s="374"/>
    </row>
    <row r="4" spans="1:17" s="1" customFormat="1" ht="39" customHeight="1">
      <c r="A4" s="311"/>
      <c r="B4" s="894" t="s">
        <v>77</v>
      </c>
      <c r="C4" s="909" t="s">
        <v>78</v>
      </c>
      <c r="D4" s="910" t="s">
        <v>107</v>
      </c>
      <c r="E4" s="916" t="s">
        <v>828</v>
      </c>
      <c r="F4" s="911" t="s">
        <v>517</v>
      </c>
      <c r="G4" s="899" t="s">
        <v>556</v>
      </c>
      <c r="H4" s="900" t="s">
        <v>79</v>
      </c>
      <c r="I4" s="912" t="s">
        <v>697</v>
      </c>
      <c r="J4" s="913" t="s">
        <v>862</v>
      </c>
      <c r="K4" s="917" t="s">
        <v>863</v>
      </c>
      <c r="L4" s="908" t="s">
        <v>865</v>
      </c>
      <c r="M4" s="892"/>
      <c r="N4" s="893"/>
      <c r="O4" s="906" t="s">
        <v>866</v>
      </c>
      <c r="Q4" s="81"/>
    </row>
    <row r="5" spans="1:17" s="311" customFormat="1" ht="27" customHeight="1">
      <c r="B5" s="895"/>
      <c r="C5" s="897"/>
      <c r="D5" s="897"/>
      <c r="E5" s="897"/>
      <c r="F5" s="901"/>
      <c r="G5" s="897"/>
      <c r="H5" s="901"/>
      <c r="I5" s="901"/>
      <c r="J5" s="901"/>
      <c r="K5" s="905"/>
      <c r="L5" s="587" t="s">
        <v>601</v>
      </c>
      <c r="M5" s="404" t="s">
        <v>602</v>
      </c>
      <c r="N5" s="720" t="s">
        <v>349</v>
      </c>
      <c r="O5" s="907"/>
    </row>
    <row r="6" spans="1:17" s="2" customFormat="1" ht="12.95" customHeight="1">
      <c r="A6" s="312"/>
      <c r="B6" s="525">
        <v>1</v>
      </c>
      <c r="C6" s="361">
        <v>2</v>
      </c>
      <c r="D6" s="361">
        <v>3</v>
      </c>
      <c r="E6" s="361">
        <v>4</v>
      </c>
      <c r="F6" s="361">
        <v>5</v>
      </c>
      <c r="G6" s="361">
        <v>6</v>
      </c>
      <c r="H6" s="361">
        <v>7</v>
      </c>
      <c r="I6" s="361">
        <v>8</v>
      </c>
      <c r="J6" s="361">
        <v>9</v>
      </c>
      <c r="K6" s="526">
        <v>10</v>
      </c>
      <c r="L6" s="525">
        <v>11</v>
      </c>
      <c r="M6" s="361">
        <v>12</v>
      </c>
      <c r="N6" s="721" t="s">
        <v>830</v>
      </c>
      <c r="O6" s="527">
        <v>14</v>
      </c>
    </row>
    <row r="7" spans="1:17" s="2" customFormat="1" ht="12.95" customHeight="1">
      <c r="A7" s="312"/>
      <c r="B7" s="6" t="s">
        <v>142</v>
      </c>
      <c r="C7" s="7" t="s">
        <v>80</v>
      </c>
      <c r="D7" s="7" t="s">
        <v>81</v>
      </c>
      <c r="E7" s="667" t="s">
        <v>834</v>
      </c>
      <c r="F7" s="5"/>
      <c r="G7" s="313"/>
      <c r="H7" s="5"/>
      <c r="I7" s="592"/>
      <c r="J7" s="100"/>
      <c r="K7" s="592"/>
      <c r="L7" s="619"/>
      <c r="M7" s="100"/>
      <c r="N7" s="773"/>
      <c r="O7" s="375"/>
    </row>
    <row r="8" spans="1:17" s="1" customFormat="1" ht="12.95" customHeight="1">
      <c r="A8" s="311"/>
      <c r="B8" s="12"/>
      <c r="C8" s="8"/>
      <c r="D8" s="8"/>
      <c r="E8" s="8"/>
      <c r="F8" s="335">
        <v>611000</v>
      </c>
      <c r="G8" s="361"/>
      <c r="H8" s="8" t="s">
        <v>146</v>
      </c>
      <c r="I8" s="738">
        <f t="shared" ref="I8:N8" si="0">SUM(I9:I11)</f>
        <v>483890</v>
      </c>
      <c r="J8" s="236">
        <f t="shared" si="0"/>
        <v>483890</v>
      </c>
      <c r="K8" s="744">
        <f t="shared" si="0"/>
        <v>116559</v>
      </c>
      <c r="L8" s="578">
        <f t="shared" si="0"/>
        <v>483570</v>
      </c>
      <c r="M8" s="236">
        <f t="shared" si="0"/>
        <v>0</v>
      </c>
      <c r="N8" s="723">
        <f t="shared" si="0"/>
        <v>483570</v>
      </c>
      <c r="O8" s="376">
        <f>IF(J8=0,"",N8/J8*100)</f>
        <v>99.933869267808788</v>
      </c>
    </row>
    <row r="9" spans="1:17" ht="12.95" customHeight="1">
      <c r="B9" s="10"/>
      <c r="C9" s="11"/>
      <c r="D9" s="11"/>
      <c r="E9" s="316"/>
      <c r="F9" s="336">
        <v>611100</v>
      </c>
      <c r="G9" s="362"/>
      <c r="H9" s="20" t="s">
        <v>174</v>
      </c>
      <c r="I9" s="784">
        <f>409690+420+4000+10250</f>
        <v>424360</v>
      </c>
      <c r="J9" s="238">
        <f>409690+420+4000+10250</f>
        <v>424360</v>
      </c>
      <c r="K9" s="742">
        <v>104995</v>
      </c>
      <c r="L9" s="626">
        <f>420880+1000+420</f>
        <v>422300</v>
      </c>
      <c r="M9" s="238">
        <v>0</v>
      </c>
      <c r="N9" s="724">
        <f>SUM(L9:M9)</f>
        <v>422300</v>
      </c>
      <c r="O9" s="377">
        <f>IF(J9=0,"",N9/J9*100)</f>
        <v>99.514563106796118</v>
      </c>
    </row>
    <row r="10" spans="1:17" ht="12.95" customHeight="1">
      <c r="B10" s="10"/>
      <c r="C10" s="11"/>
      <c r="D10" s="11"/>
      <c r="E10" s="316"/>
      <c r="F10" s="336">
        <v>611200</v>
      </c>
      <c r="G10" s="362"/>
      <c r="H10" s="11" t="s">
        <v>175</v>
      </c>
      <c r="I10" s="784">
        <f>56600+930+2000</f>
        <v>59530</v>
      </c>
      <c r="J10" s="238">
        <f>56600+930+2000</f>
        <v>59530</v>
      </c>
      <c r="K10" s="742">
        <v>11564</v>
      </c>
      <c r="L10" s="626">
        <f>60020+300+950</f>
        <v>61270</v>
      </c>
      <c r="M10" s="238">
        <v>0</v>
      </c>
      <c r="N10" s="724">
        <f t="shared" ref="N10:N11" si="1">SUM(L10:M10)</f>
        <v>61270</v>
      </c>
      <c r="O10" s="377">
        <f t="shared" ref="O10:O35" si="2">IF(J10=0,"",N10/J10*100)</f>
        <v>102.92289601881404</v>
      </c>
    </row>
    <row r="11" spans="1:17" ht="12.95" customHeight="1">
      <c r="B11" s="10"/>
      <c r="C11" s="11"/>
      <c r="D11" s="11"/>
      <c r="E11" s="316"/>
      <c r="F11" s="336">
        <v>611200</v>
      </c>
      <c r="G11" s="362"/>
      <c r="H11" s="386" t="s">
        <v>464</v>
      </c>
      <c r="I11" s="739">
        <v>0</v>
      </c>
      <c r="J11" s="235">
        <v>0</v>
      </c>
      <c r="K11" s="741">
        <v>0</v>
      </c>
      <c r="L11" s="579">
        <v>0</v>
      </c>
      <c r="M11" s="235">
        <v>0</v>
      </c>
      <c r="N11" s="724">
        <f t="shared" si="1"/>
        <v>0</v>
      </c>
      <c r="O11" s="377" t="str">
        <f t="shared" si="2"/>
        <v/>
      </c>
      <c r="Q11" s="62"/>
    </row>
    <row r="12" spans="1:17" ht="12.95" customHeight="1">
      <c r="B12" s="10"/>
      <c r="C12" s="11"/>
      <c r="D12" s="11"/>
      <c r="E12" s="316"/>
      <c r="F12" s="336"/>
      <c r="G12" s="362"/>
      <c r="H12" s="11"/>
      <c r="I12" s="738"/>
      <c r="J12" s="236"/>
      <c r="K12" s="744"/>
      <c r="L12" s="578"/>
      <c r="M12" s="236"/>
      <c r="N12" s="723"/>
      <c r="O12" s="377" t="str">
        <f t="shared" si="2"/>
        <v/>
      </c>
      <c r="Q12" s="55"/>
    </row>
    <row r="13" spans="1:17" s="1" customFormat="1" ht="12.95" customHeight="1">
      <c r="A13" s="311"/>
      <c r="B13" s="12"/>
      <c r="C13" s="8"/>
      <c r="D13" s="8"/>
      <c r="E13" s="8"/>
      <c r="F13" s="335">
        <v>612000</v>
      </c>
      <c r="G13" s="361"/>
      <c r="H13" s="8" t="s">
        <v>145</v>
      </c>
      <c r="I13" s="738">
        <f t="shared" ref="I13:N13" si="3">I14</f>
        <v>45470</v>
      </c>
      <c r="J13" s="236">
        <f t="shared" si="3"/>
        <v>45470</v>
      </c>
      <c r="K13" s="744">
        <f t="shared" si="3"/>
        <v>11121</v>
      </c>
      <c r="L13" s="578">
        <f t="shared" si="3"/>
        <v>44740</v>
      </c>
      <c r="M13" s="236">
        <f t="shared" si="3"/>
        <v>0</v>
      </c>
      <c r="N13" s="723">
        <f t="shared" si="3"/>
        <v>44740</v>
      </c>
      <c r="O13" s="376">
        <f t="shared" si="2"/>
        <v>98.3945458544095</v>
      </c>
    </row>
    <row r="14" spans="1:17" ht="12.95" customHeight="1">
      <c r="B14" s="10"/>
      <c r="C14" s="11"/>
      <c r="D14" s="11"/>
      <c r="E14" s="316"/>
      <c r="F14" s="336">
        <v>612100</v>
      </c>
      <c r="G14" s="362"/>
      <c r="H14" s="13" t="s">
        <v>82</v>
      </c>
      <c r="I14" s="784">
        <f>43240+150+1000+1080</f>
        <v>45470</v>
      </c>
      <c r="J14" s="238">
        <f>43240+150+1000+1080</f>
        <v>45470</v>
      </c>
      <c r="K14" s="742">
        <v>11121</v>
      </c>
      <c r="L14" s="626">
        <f>44390+200+150</f>
        <v>44740</v>
      </c>
      <c r="M14" s="238">
        <v>0</v>
      </c>
      <c r="N14" s="724">
        <f>SUM(L14:M14)</f>
        <v>44740</v>
      </c>
      <c r="O14" s="377">
        <f t="shared" si="2"/>
        <v>98.3945458544095</v>
      </c>
    </row>
    <row r="15" spans="1:17" ht="12.95" customHeight="1">
      <c r="B15" s="10"/>
      <c r="C15" s="11"/>
      <c r="D15" s="11"/>
      <c r="E15" s="316"/>
      <c r="F15" s="336"/>
      <c r="G15" s="362"/>
      <c r="H15" s="11"/>
      <c r="I15" s="575"/>
      <c r="J15" s="318"/>
      <c r="K15" s="745"/>
      <c r="L15" s="582"/>
      <c r="M15" s="318"/>
      <c r="N15" s="726"/>
      <c r="O15" s="377" t="str">
        <f t="shared" si="2"/>
        <v/>
      </c>
    </row>
    <row r="16" spans="1:17" s="1" customFormat="1" ht="12.95" customHeight="1">
      <c r="A16" s="311"/>
      <c r="B16" s="12"/>
      <c r="C16" s="8"/>
      <c r="D16" s="8"/>
      <c r="E16" s="8"/>
      <c r="F16" s="335">
        <v>613000</v>
      </c>
      <c r="G16" s="361"/>
      <c r="H16" s="8" t="s">
        <v>147</v>
      </c>
      <c r="I16" s="778">
        <f t="shared" ref="I16:N16" si="4">SUM(I17:I26)</f>
        <v>88710</v>
      </c>
      <c r="J16" s="323">
        <f t="shared" si="4"/>
        <v>88710</v>
      </c>
      <c r="K16" s="783">
        <f t="shared" si="4"/>
        <v>13363</v>
      </c>
      <c r="L16" s="581">
        <f t="shared" si="4"/>
        <v>87810</v>
      </c>
      <c r="M16" s="323">
        <f t="shared" si="4"/>
        <v>0</v>
      </c>
      <c r="N16" s="726">
        <f t="shared" si="4"/>
        <v>87810</v>
      </c>
      <c r="O16" s="376">
        <f t="shared" si="2"/>
        <v>98.985458234697333</v>
      </c>
    </row>
    <row r="17" spans="1:16" ht="12.95" customHeight="1">
      <c r="B17" s="10"/>
      <c r="C17" s="11"/>
      <c r="D17" s="11"/>
      <c r="E17" s="316"/>
      <c r="F17" s="336">
        <v>613100</v>
      </c>
      <c r="G17" s="362"/>
      <c r="H17" s="11" t="s">
        <v>83</v>
      </c>
      <c r="I17" s="779">
        <v>3000</v>
      </c>
      <c r="J17" s="395">
        <v>3000</v>
      </c>
      <c r="K17" s="779">
        <v>767</v>
      </c>
      <c r="L17" s="571">
        <f>3000*80%</f>
        <v>2400</v>
      </c>
      <c r="M17" s="395">
        <v>0</v>
      </c>
      <c r="N17" s="724">
        <f t="shared" ref="N17:N26" si="5">SUM(L17:M17)</f>
        <v>2400</v>
      </c>
      <c r="O17" s="377">
        <f t="shared" si="2"/>
        <v>80</v>
      </c>
    </row>
    <row r="18" spans="1:16" ht="12.95" customHeight="1">
      <c r="B18" s="10"/>
      <c r="C18" s="11"/>
      <c r="D18" s="11"/>
      <c r="E18" s="316"/>
      <c r="F18" s="336">
        <v>613200</v>
      </c>
      <c r="G18" s="362"/>
      <c r="H18" s="11" t="s">
        <v>84</v>
      </c>
      <c r="I18" s="779">
        <v>4500</v>
      </c>
      <c r="J18" s="395">
        <v>4500</v>
      </c>
      <c r="K18" s="779">
        <v>803</v>
      </c>
      <c r="L18" s="571">
        <v>4500</v>
      </c>
      <c r="M18" s="395">
        <v>0</v>
      </c>
      <c r="N18" s="724">
        <f t="shared" si="5"/>
        <v>4500</v>
      </c>
      <c r="O18" s="377">
        <f t="shared" si="2"/>
        <v>100</v>
      </c>
    </row>
    <row r="19" spans="1:16" ht="12.95" customHeight="1">
      <c r="B19" s="10"/>
      <c r="C19" s="11"/>
      <c r="D19" s="11"/>
      <c r="E19" s="316"/>
      <c r="F19" s="336">
        <v>613300</v>
      </c>
      <c r="G19" s="362"/>
      <c r="H19" s="20" t="s">
        <v>176</v>
      </c>
      <c r="I19" s="742">
        <v>12410</v>
      </c>
      <c r="J19" s="397">
        <v>12410</v>
      </c>
      <c r="K19" s="742">
        <v>1491</v>
      </c>
      <c r="L19" s="571">
        <v>12410</v>
      </c>
      <c r="M19" s="397">
        <v>0</v>
      </c>
      <c r="N19" s="724">
        <f t="shared" si="5"/>
        <v>12410</v>
      </c>
      <c r="O19" s="377">
        <f t="shared" si="2"/>
        <v>100</v>
      </c>
      <c r="P19" s="55"/>
    </row>
    <row r="20" spans="1:16" ht="12.95" customHeight="1">
      <c r="B20" s="10"/>
      <c r="C20" s="11"/>
      <c r="D20" s="11"/>
      <c r="E20" s="316"/>
      <c r="F20" s="336">
        <v>613400</v>
      </c>
      <c r="G20" s="362"/>
      <c r="H20" s="11" t="s">
        <v>148</v>
      </c>
      <c r="I20" s="779">
        <v>12000</v>
      </c>
      <c r="J20" s="395">
        <v>12000</v>
      </c>
      <c r="K20" s="779">
        <v>2770</v>
      </c>
      <c r="L20" s="571">
        <v>12000</v>
      </c>
      <c r="M20" s="395">
        <v>0</v>
      </c>
      <c r="N20" s="724">
        <f t="shared" si="5"/>
        <v>12000</v>
      </c>
      <c r="O20" s="377">
        <f t="shared" si="2"/>
        <v>100</v>
      </c>
    </row>
    <row r="21" spans="1:16" ht="12.95" customHeight="1">
      <c r="B21" s="10"/>
      <c r="C21" s="11"/>
      <c r="D21" s="11"/>
      <c r="E21" s="316"/>
      <c r="F21" s="336">
        <v>613500</v>
      </c>
      <c r="G21" s="362"/>
      <c r="H21" s="11" t="s">
        <v>85</v>
      </c>
      <c r="I21" s="742">
        <v>3000</v>
      </c>
      <c r="J21" s="397">
        <v>3000</v>
      </c>
      <c r="K21" s="742">
        <v>192</v>
      </c>
      <c r="L21" s="571">
        <v>3000</v>
      </c>
      <c r="M21" s="397">
        <v>0</v>
      </c>
      <c r="N21" s="724">
        <f t="shared" si="5"/>
        <v>3000</v>
      </c>
      <c r="O21" s="377">
        <f t="shared" si="2"/>
        <v>100</v>
      </c>
      <c r="P21" s="55"/>
    </row>
    <row r="22" spans="1:16" ht="12.95" customHeight="1">
      <c r="B22" s="10"/>
      <c r="C22" s="11"/>
      <c r="D22" s="11"/>
      <c r="E22" s="316"/>
      <c r="F22" s="336">
        <v>613600</v>
      </c>
      <c r="G22" s="362"/>
      <c r="H22" s="20" t="s">
        <v>177</v>
      </c>
      <c r="I22" s="779">
        <v>0</v>
      </c>
      <c r="J22" s="395">
        <v>0</v>
      </c>
      <c r="K22" s="779">
        <v>0</v>
      </c>
      <c r="L22" s="571">
        <v>0</v>
      </c>
      <c r="M22" s="395">
        <v>0</v>
      </c>
      <c r="N22" s="724">
        <f t="shared" si="5"/>
        <v>0</v>
      </c>
      <c r="O22" s="377" t="str">
        <f t="shared" si="2"/>
        <v/>
      </c>
    </row>
    <row r="23" spans="1:16" ht="12.95" customHeight="1">
      <c r="B23" s="10"/>
      <c r="C23" s="11"/>
      <c r="D23" s="11"/>
      <c r="E23" s="316"/>
      <c r="F23" s="336">
        <v>613700</v>
      </c>
      <c r="G23" s="362"/>
      <c r="H23" s="11" t="s">
        <v>86</v>
      </c>
      <c r="I23" s="742">
        <v>3000</v>
      </c>
      <c r="J23" s="397">
        <v>3000</v>
      </c>
      <c r="K23" s="742">
        <v>168</v>
      </c>
      <c r="L23" s="571">
        <v>3000</v>
      </c>
      <c r="M23" s="397">
        <v>0</v>
      </c>
      <c r="N23" s="724">
        <f t="shared" si="5"/>
        <v>3000</v>
      </c>
      <c r="O23" s="377">
        <f t="shared" si="2"/>
        <v>100</v>
      </c>
      <c r="P23" s="55"/>
    </row>
    <row r="24" spans="1:16" ht="12.95" customHeight="1">
      <c r="B24" s="10"/>
      <c r="C24" s="11"/>
      <c r="D24" s="11"/>
      <c r="E24" s="316"/>
      <c r="F24" s="336">
        <v>613800</v>
      </c>
      <c r="G24" s="362"/>
      <c r="H24" s="11" t="s">
        <v>149</v>
      </c>
      <c r="I24" s="742">
        <v>800</v>
      </c>
      <c r="J24" s="397">
        <v>800</v>
      </c>
      <c r="K24" s="742">
        <v>0</v>
      </c>
      <c r="L24" s="571">
        <v>800</v>
      </c>
      <c r="M24" s="397">
        <v>0</v>
      </c>
      <c r="N24" s="724">
        <f t="shared" si="5"/>
        <v>800</v>
      </c>
      <c r="O24" s="377">
        <f t="shared" si="2"/>
        <v>100</v>
      </c>
    </row>
    <row r="25" spans="1:16" ht="12.95" customHeight="1">
      <c r="B25" s="10"/>
      <c r="C25" s="11"/>
      <c r="D25" s="11"/>
      <c r="E25" s="316"/>
      <c r="F25" s="336">
        <v>613900</v>
      </c>
      <c r="G25" s="362"/>
      <c r="H25" s="11" t="s">
        <v>150</v>
      </c>
      <c r="I25" s="742">
        <v>50000</v>
      </c>
      <c r="J25" s="397">
        <v>50000</v>
      </c>
      <c r="K25" s="742">
        <v>7172</v>
      </c>
      <c r="L25" s="571">
        <f>50000-300</f>
        <v>49700</v>
      </c>
      <c r="M25" s="397">
        <v>0</v>
      </c>
      <c r="N25" s="724">
        <f t="shared" si="5"/>
        <v>49700</v>
      </c>
      <c r="O25" s="377">
        <f t="shared" si="2"/>
        <v>99.4</v>
      </c>
    </row>
    <row r="26" spans="1:16" ht="12.95" customHeight="1">
      <c r="B26" s="10"/>
      <c r="C26" s="11"/>
      <c r="D26" s="11"/>
      <c r="E26" s="316"/>
      <c r="F26" s="336">
        <v>613900</v>
      </c>
      <c r="G26" s="362"/>
      <c r="H26" s="20" t="s">
        <v>528</v>
      </c>
      <c r="I26" s="742">
        <v>0</v>
      </c>
      <c r="J26" s="397">
        <v>0</v>
      </c>
      <c r="K26" s="742">
        <v>0</v>
      </c>
      <c r="L26" s="571">
        <v>0</v>
      </c>
      <c r="M26" s="397">
        <v>0</v>
      </c>
      <c r="N26" s="724">
        <f t="shared" si="5"/>
        <v>0</v>
      </c>
      <c r="O26" s="377" t="str">
        <f t="shared" si="2"/>
        <v/>
      </c>
    </row>
    <row r="27" spans="1:16" s="1" customFormat="1" ht="12.95" customHeight="1">
      <c r="A27" s="311"/>
      <c r="B27" s="12"/>
      <c r="C27" s="8"/>
      <c r="D27" s="8"/>
      <c r="E27" s="8"/>
      <c r="F27" s="335"/>
      <c r="G27" s="361"/>
      <c r="H27" s="8"/>
      <c r="I27" s="631"/>
      <c r="J27" s="326"/>
      <c r="K27" s="742"/>
      <c r="L27" s="622"/>
      <c r="M27" s="326"/>
      <c r="N27" s="725"/>
      <c r="O27" s="377" t="str">
        <f t="shared" si="2"/>
        <v/>
      </c>
    </row>
    <row r="28" spans="1:16" s="1" customFormat="1" ht="12.95" customHeight="1">
      <c r="A28" s="311"/>
      <c r="B28" s="12"/>
      <c r="C28" s="8"/>
      <c r="D28" s="8"/>
      <c r="E28" s="8"/>
      <c r="F28" s="335">
        <v>821000</v>
      </c>
      <c r="G28" s="361"/>
      <c r="H28" s="8" t="s">
        <v>89</v>
      </c>
      <c r="I28" s="632">
        <f>I29+I30</f>
        <v>3000</v>
      </c>
      <c r="J28" s="325">
        <f>J29+J30</f>
        <v>3000</v>
      </c>
      <c r="K28" s="744">
        <f>K29+K30</f>
        <v>245</v>
      </c>
      <c r="L28" s="588">
        <f>SUM(L29:L30)</f>
        <v>3000</v>
      </c>
      <c r="M28" s="325">
        <f>M29+M30</f>
        <v>0</v>
      </c>
      <c r="N28" s="726">
        <f>N29+N30</f>
        <v>3000</v>
      </c>
      <c r="O28" s="376">
        <f t="shared" si="2"/>
        <v>100</v>
      </c>
    </row>
    <row r="29" spans="1:16" ht="12.95" customHeight="1">
      <c r="B29" s="10"/>
      <c r="C29" s="11"/>
      <c r="D29" s="11"/>
      <c r="E29" s="316"/>
      <c r="F29" s="336">
        <v>821200</v>
      </c>
      <c r="G29" s="362"/>
      <c r="H29" s="11" t="s">
        <v>90</v>
      </c>
      <c r="I29" s="631">
        <v>0</v>
      </c>
      <c r="J29" s="326">
        <v>0</v>
      </c>
      <c r="K29" s="742">
        <v>0</v>
      </c>
      <c r="L29" s="622">
        <v>0</v>
      </c>
      <c r="M29" s="326">
        <v>0</v>
      </c>
      <c r="N29" s="724">
        <f t="shared" ref="N29:N30" si="6">SUM(L29:M29)</f>
        <v>0</v>
      </c>
      <c r="O29" s="377" t="str">
        <f t="shared" si="2"/>
        <v/>
      </c>
    </row>
    <row r="30" spans="1:16" ht="12.95" customHeight="1">
      <c r="B30" s="10"/>
      <c r="C30" s="11"/>
      <c r="D30" s="11"/>
      <c r="E30" s="316"/>
      <c r="F30" s="336">
        <v>821300</v>
      </c>
      <c r="G30" s="362"/>
      <c r="H30" s="11" t="s">
        <v>91</v>
      </c>
      <c r="I30" s="631">
        <v>3000</v>
      </c>
      <c r="J30" s="326">
        <v>3000</v>
      </c>
      <c r="K30" s="742">
        <v>245</v>
      </c>
      <c r="L30" s="622">
        <v>3000</v>
      </c>
      <c r="M30" s="326">
        <v>0</v>
      </c>
      <c r="N30" s="724">
        <f t="shared" si="6"/>
        <v>3000</v>
      </c>
      <c r="O30" s="377">
        <f t="shared" si="2"/>
        <v>100</v>
      </c>
    </row>
    <row r="31" spans="1:16" ht="12.95" customHeight="1">
      <c r="B31" s="10"/>
      <c r="C31" s="11"/>
      <c r="D31" s="11"/>
      <c r="E31" s="316"/>
      <c r="F31" s="336"/>
      <c r="G31" s="362"/>
      <c r="H31" s="11"/>
      <c r="I31" s="777"/>
      <c r="J31" s="321"/>
      <c r="K31" s="779"/>
      <c r="L31" s="621"/>
      <c r="M31" s="321"/>
      <c r="N31" s="725"/>
      <c r="O31" s="377" t="str">
        <f t="shared" si="2"/>
        <v/>
      </c>
    </row>
    <row r="32" spans="1:16" s="1" customFormat="1" ht="12.95" customHeight="1">
      <c r="A32" s="311"/>
      <c r="B32" s="12"/>
      <c r="C32" s="8"/>
      <c r="D32" s="8"/>
      <c r="E32" s="8"/>
      <c r="F32" s="335"/>
      <c r="G32" s="361"/>
      <c r="H32" s="8" t="s">
        <v>92</v>
      </c>
      <c r="I32" s="632">
        <v>13</v>
      </c>
      <c r="J32" s="325">
        <v>13</v>
      </c>
      <c r="K32" s="744">
        <v>13</v>
      </c>
      <c r="L32" s="588">
        <v>13</v>
      </c>
      <c r="M32" s="325"/>
      <c r="N32" s="726">
        <v>13</v>
      </c>
      <c r="O32" s="377"/>
    </row>
    <row r="33" spans="1:15" s="1" customFormat="1" ht="12.95" customHeight="1">
      <c r="A33" s="311"/>
      <c r="B33" s="12"/>
      <c r="C33" s="8"/>
      <c r="D33" s="8"/>
      <c r="E33" s="8"/>
      <c r="F33" s="335"/>
      <c r="G33" s="361"/>
      <c r="H33" s="8" t="s">
        <v>110</v>
      </c>
      <c r="I33" s="575">
        <f>I8+I13+I16+I28</f>
        <v>621070</v>
      </c>
      <c r="J33" s="318">
        <f>J8+J13+J16+J28</f>
        <v>621070</v>
      </c>
      <c r="K33" s="575">
        <f t="shared" ref="K33" si="7">K8+K13+K16+K28</f>
        <v>141288</v>
      </c>
      <c r="L33" s="582">
        <f>L8+L13+L16+L28</f>
        <v>619120</v>
      </c>
      <c r="M33" s="318">
        <f>M8+M13+M16+M28</f>
        <v>0</v>
      </c>
      <c r="N33" s="726">
        <f>N8+N13+N16+N28</f>
        <v>619120</v>
      </c>
      <c r="O33" s="376">
        <f t="shared" si="2"/>
        <v>99.686025729788909</v>
      </c>
    </row>
    <row r="34" spans="1:15" s="1" customFormat="1" ht="12.95" customHeight="1">
      <c r="A34" s="311"/>
      <c r="B34" s="12"/>
      <c r="C34" s="8"/>
      <c r="D34" s="8"/>
      <c r="E34" s="8"/>
      <c r="F34" s="335"/>
      <c r="G34" s="361"/>
      <c r="H34" s="8" t="s">
        <v>93</v>
      </c>
      <c r="I34" s="575">
        <f>I33</f>
        <v>621070</v>
      </c>
      <c r="J34" s="318">
        <f>J33</f>
        <v>621070</v>
      </c>
      <c r="K34" s="575">
        <f t="shared" ref="K34" si="8">K33</f>
        <v>141288</v>
      </c>
      <c r="L34" s="582">
        <f t="shared" ref="L34:N35" si="9">L33</f>
        <v>619120</v>
      </c>
      <c r="M34" s="318">
        <f t="shared" si="9"/>
        <v>0</v>
      </c>
      <c r="N34" s="726">
        <f t="shared" si="9"/>
        <v>619120</v>
      </c>
      <c r="O34" s="376">
        <f>IF(J34=0,"",N34/J34*100)</f>
        <v>99.686025729788909</v>
      </c>
    </row>
    <row r="35" spans="1:15" s="1" customFormat="1" ht="12.95" customHeight="1">
      <c r="A35" s="311"/>
      <c r="B35" s="12"/>
      <c r="C35" s="8"/>
      <c r="D35" s="8"/>
      <c r="E35" s="8"/>
      <c r="F35" s="335"/>
      <c r="G35" s="361"/>
      <c r="H35" s="8" t="s">
        <v>94</v>
      </c>
      <c r="I35" s="15">
        <f>I34</f>
        <v>621070</v>
      </c>
      <c r="J35" s="15">
        <f>J34</f>
        <v>621070</v>
      </c>
      <c r="K35" s="575">
        <f t="shared" ref="K35" si="10">K34</f>
        <v>141288</v>
      </c>
      <c r="L35" s="582">
        <f t="shared" si="9"/>
        <v>619120</v>
      </c>
      <c r="M35" s="318">
        <f t="shared" si="9"/>
        <v>0</v>
      </c>
      <c r="N35" s="726">
        <f t="shared" si="9"/>
        <v>619120</v>
      </c>
      <c r="O35" s="376">
        <f t="shared" si="2"/>
        <v>99.686025729788909</v>
      </c>
    </row>
    <row r="36" spans="1:15" ht="12.95" customHeight="1" thickBot="1">
      <c r="B36" s="16"/>
      <c r="C36" s="17"/>
      <c r="D36" s="17"/>
      <c r="E36" s="17"/>
      <c r="F36" s="337"/>
      <c r="G36" s="363"/>
      <c r="H36" s="17"/>
      <c r="I36" s="32"/>
      <c r="J36" s="32"/>
      <c r="K36" s="576"/>
      <c r="L36" s="585"/>
      <c r="M36" s="32"/>
      <c r="N36" s="728"/>
      <c r="O36" s="379"/>
    </row>
    <row r="37" spans="1:15" ht="12.95" customHeight="1">
      <c r="F37" s="338"/>
      <c r="G37" s="364"/>
      <c r="N37" s="425"/>
    </row>
    <row r="38" spans="1:15" ht="12.95" customHeight="1">
      <c r="B38" s="55"/>
      <c r="F38" s="338"/>
      <c r="G38" s="364"/>
      <c r="N38" s="425"/>
    </row>
    <row r="39" spans="1:15" ht="12.95" customHeight="1">
      <c r="B39" s="55"/>
      <c r="F39" s="338"/>
      <c r="G39" s="364"/>
      <c r="N39" s="425"/>
    </row>
    <row r="40" spans="1:15" ht="12.95" customHeight="1">
      <c r="B40" s="55"/>
      <c r="F40" s="338"/>
      <c r="G40" s="364"/>
      <c r="N40" s="425"/>
    </row>
    <row r="41" spans="1:15" ht="12.95" customHeight="1">
      <c r="F41" s="338"/>
      <c r="G41" s="364"/>
      <c r="N41" s="425"/>
    </row>
    <row r="42" spans="1:15" ht="12.95" customHeight="1">
      <c r="F42" s="338"/>
      <c r="G42" s="364"/>
      <c r="N42" s="425"/>
    </row>
    <row r="43" spans="1:15" ht="12.95" customHeight="1">
      <c r="F43" s="338"/>
      <c r="G43" s="364"/>
      <c r="N43" s="425"/>
    </row>
    <row r="44" spans="1:15" ht="12.95" customHeight="1">
      <c r="F44" s="338"/>
      <c r="G44" s="364"/>
      <c r="N44" s="425"/>
    </row>
    <row r="45" spans="1:15" ht="12.95" customHeight="1">
      <c r="F45" s="338"/>
      <c r="G45" s="364"/>
      <c r="N45" s="425"/>
    </row>
    <row r="46" spans="1:15" ht="12.95" customHeight="1">
      <c r="F46" s="338"/>
      <c r="G46" s="364"/>
      <c r="N46" s="425"/>
    </row>
    <row r="47" spans="1:15" ht="12.95" customHeight="1">
      <c r="F47" s="338"/>
      <c r="G47" s="364"/>
      <c r="N47" s="425"/>
    </row>
    <row r="48" spans="1:15" ht="12.95" customHeight="1">
      <c r="F48" s="338"/>
      <c r="G48" s="364"/>
      <c r="N48" s="425"/>
    </row>
    <row r="49" spans="6:14" ht="12.95" customHeight="1">
      <c r="F49" s="338"/>
      <c r="G49" s="364"/>
      <c r="N49" s="425"/>
    </row>
    <row r="50" spans="6:14" ht="12.95" customHeight="1">
      <c r="F50" s="338"/>
      <c r="G50" s="364"/>
      <c r="N50" s="425"/>
    </row>
    <row r="51" spans="6:14" ht="12.95" customHeight="1">
      <c r="F51" s="338"/>
      <c r="G51" s="364"/>
      <c r="N51" s="425"/>
    </row>
    <row r="52" spans="6:14" ht="12.95" customHeight="1">
      <c r="F52" s="338"/>
      <c r="G52" s="364"/>
      <c r="N52" s="425"/>
    </row>
    <row r="53" spans="6:14" ht="12.95" customHeight="1">
      <c r="F53" s="338"/>
      <c r="G53" s="364"/>
      <c r="N53" s="425"/>
    </row>
    <row r="54" spans="6:14" ht="12.95" customHeight="1">
      <c r="F54" s="338"/>
      <c r="G54" s="364"/>
      <c r="N54" s="425"/>
    </row>
    <row r="55" spans="6:14" ht="12.95" customHeight="1">
      <c r="F55" s="338"/>
      <c r="G55" s="364"/>
      <c r="N55" s="425"/>
    </row>
    <row r="56" spans="6:14" ht="12.95" customHeight="1">
      <c r="F56" s="338"/>
      <c r="G56" s="364"/>
      <c r="N56" s="425"/>
    </row>
    <row r="57" spans="6:14" ht="12.95" customHeight="1">
      <c r="F57" s="338"/>
      <c r="G57" s="364"/>
      <c r="N57" s="425"/>
    </row>
    <row r="58" spans="6:14" ht="12.95" customHeight="1">
      <c r="F58" s="338"/>
      <c r="G58" s="364"/>
      <c r="N58" s="425"/>
    </row>
    <row r="59" spans="6:14" ht="12.95" customHeight="1">
      <c r="F59" s="338"/>
      <c r="G59" s="364"/>
      <c r="N59" s="425"/>
    </row>
    <row r="60" spans="6:14" ht="17.100000000000001" customHeight="1">
      <c r="F60" s="338"/>
      <c r="G60" s="364"/>
      <c r="N60" s="425"/>
    </row>
    <row r="61" spans="6:14" ht="14.25">
      <c r="F61" s="338"/>
      <c r="G61" s="364"/>
      <c r="N61" s="425"/>
    </row>
    <row r="62" spans="6:14" ht="14.25">
      <c r="F62" s="338"/>
      <c r="G62" s="364"/>
      <c r="N62" s="425"/>
    </row>
    <row r="63" spans="6:14" ht="14.25">
      <c r="F63" s="338"/>
      <c r="G63" s="364"/>
      <c r="N63" s="425"/>
    </row>
    <row r="64" spans="6:14" ht="14.25">
      <c r="F64" s="338"/>
      <c r="G64" s="364"/>
      <c r="N64" s="425"/>
    </row>
    <row r="65" spans="6:14" ht="14.25">
      <c r="F65" s="338"/>
      <c r="G65" s="364"/>
      <c r="N65" s="425"/>
    </row>
    <row r="66" spans="6:14" ht="14.25">
      <c r="F66" s="338"/>
      <c r="G66" s="364"/>
      <c r="N66" s="425"/>
    </row>
    <row r="67" spans="6:14" ht="14.25">
      <c r="F67" s="338"/>
      <c r="G67" s="364"/>
      <c r="N67" s="425"/>
    </row>
    <row r="68" spans="6:14" ht="14.25">
      <c r="F68" s="338"/>
      <c r="G68" s="364"/>
      <c r="N68" s="425"/>
    </row>
    <row r="69" spans="6:14" ht="14.25">
      <c r="F69" s="338"/>
      <c r="G69" s="364"/>
      <c r="N69" s="425"/>
    </row>
    <row r="70" spans="6:14" ht="14.25">
      <c r="F70" s="338"/>
      <c r="G70" s="364"/>
      <c r="N70" s="425"/>
    </row>
    <row r="71" spans="6:14" ht="14.25">
      <c r="F71" s="338"/>
      <c r="G71" s="364"/>
      <c r="N71" s="425"/>
    </row>
    <row r="72" spans="6:14" ht="14.25">
      <c r="F72" s="338"/>
      <c r="G72" s="364"/>
      <c r="N72" s="425"/>
    </row>
    <row r="73" spans="6:14" ht="14.25">
      <c r="F73" s="338"/>
      <c r="G73" s="364"/>
      <c r="N73" s="425"/>
    </row>
    <row r="74" spans="6:14" ht="14.25">
      <c r="F74" s="338"/>
      <c r="G74" s="338"/>
      <c r="N74" s="425"/>
    </row>
    <row r="75" spans="6:14" ht="14.25">
      <c r="F75" s="338"/>
      <c r="G75" s="338"/>
      <c r="N75" s="425"/>
    </row>
    <row r="76" spans="6:14" ht="14.25">
      <c r="F76" s="338"/>
      <c r="G76" s="338"/>
      <c r="N76" s="425"/>
    </row>
    <row r="77" spans="6:14" ht="14.25">
      <c r="F77" s="338"/>
      <c r="G77" s="338"/>
      <c r="N77" s="425"/>
    </row>
    <row r="78" spans="6:14" ht="14.25">
      <c r="F78" s="338"/>
      <c r="G78" s="338"/>
      <c r="N78" s="425"/>
    </row>
    <row r="79" spans="6:14" ht="14.25">
      <c r="F79" s="338"/>
      <c r="G79" s="338"/>
      <c r="N79" s="425"/>
    </row>
    <row r="80" spans="6:14" ht="14.25">
      <c r="F80" s="338"/>
      <c r="G80" s="338"/>
      <c r="N80" s="425"/>
    </row>
    <row r="81" spans="6:14" ht="14.25">
      <c r="F81" s="338"/>
      <c r="G81" s="338"/>
      <c r="N81" s="425"/>
    </row>
    <row r="82" spans="6:14" ht="14.25">
      <c r="F82" s="338"/>
      <c r="G82" s="338"/>
      <c r="N82" s="425"/>
    </row>
    <row r="83" spans="6:14" ht="14.25">
      <c r="F83" s="338"/>
      <c r="G83" s="338"/>
      <c r="N83" s="425"/>
    </row>
    <row r="84" spans="6:14" ht="14.25">
      <c r="F84" s="338"/>
      <c r="G84" s="338"/>
      <c r="N84" s="425"/>
    </row>
    <row r="85" spans="6:14" ht="14.25">
      <c r="F85" s="338"/>
      <c r="G85" s="338"/>
      <c r="N85" s="425"/>
    </row>
    <row r="86" spans="6:14" ht="14.25">
      <c r="F86" s="338"/>
      <c r="G86" s="338"/>
      <c r="N86" s="425"/>
    </row>
    <row r="87" spans="6:14" ht="14.25">
      <c r="F87" s="338"/>
      <c r="G87" s="338"/>
      <c r="N87" s="425"/>
    </row>
    <row r="88" spans="6:14" ht="14.25">
      <c r="F88" s="338"/>
      <c r="G88" s="338"/>
      <c r="N88" s="425"/>
    </row>
    <row r="89" spans="6:14" ht="14.25">
      <c r="F89" s="338"/>
      <c r="G89" s="338"/>
      <c r="N89" s="425"/>
    </row>
    <row r="90" spans="6:14" ht="14.25">
      <c r="F90" s="338"/>
      <c r="G90" s="338"/>
      <c r="N90" s="425"/>
    </row>
    <row r="91" spans="6:14">
      <c r="G91" s="338"/>
    </row>
    <row r="92" spans="6:14">
      <c r="G92" s="338"/>
    </row>
    <row r="93" spans="6:14">
      <c r="G93" s="338"/>
    </row>
    <row r="94" spans="6:14">
      <c r="G94" s="338"/>
    </row>
    <row r="95" spans="6:14">
      <c r="G95" s="338"/>
    </row>
    <row r="96" spans="6:14">
      <c r="G96" s="338"/>
    </row>
  </sheetData>
  <mergeCells count="14">
    <mergeCell ref="O4:O5"/>
    <mergeCell ref="H4:H5"/>
    <mergeCell ref="B2:I2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K4:K5"/>
    <mergeCell ref="E4:E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 codeName="Sheet44"/>
  <dimension ref="A1:Q96"/>
  <sheetViews>
    <sheetView zoomScaleNormal="100" workbookViewId="0">
      <selection activeCell="S39" sqref="S39"/>
    </sheetView>
  </sheetViews>
  <sheetFormatPr defaultRowHeight="12.75"/>
  <cols>
    <col min="1" max="1" width="9.140625" style="314"/>
    <col min="2" max="2" width="4.7109375" style="9" customWidth="1"/>
    <col min="3" max="3" width="5.140625" style="9" customWidth="1"/>
    <col min="4" max="4" width="5" style="9" customWidth="1"/>
    <col min="5" max="5" width="5" style="314" customWidth="1"/>
    <col min="6" max="6" width="8.7109375" style="18" customWidth="1"/>
    <col min="7" max="7" width="8.7109375" style="319" customWidth="1"/>
    <col min="8" max="8" width="50.7109375" style="9" customWidth="1"/>
    <col min="9" max="13" width="14.7109375" style="63" customWidth="1"/>
    <col min="14" max="14" width="15.7109375" style="63" customWidth="1"/>
    <col min="15" max="15" width="7.7109375" style="380" customWidth="1"/>
    <col min="16" max="16384" width="9.140625" style="9"/>
  </cols>
  <sheetData>
    <row r="1" spans="1:17" ht="13.5" thickBot="1"/>
    <row r="2" spans="1:17" s="113" customFormat="1" ht="20.100000000000001" customHeight="1" thickTop="1" thickBot="1">
      <c r="A2" s="408"/>
      <c r="B2" s="887" t="s">
        <v>155</v>
      </c>
      <c r="C2" s="888"/>
      <c r="D2" s="888"/>
      <c r="E2" s="888"/>
      <c r="F2" s="888"/>
      <c r="G2" s="888"/>
      <c r="H2" s="888"/>
      <c r="I2" s="888"/>
      <c r="J2" s="409"/>
      <c r="K2" s="409"/>
      <c r="L2" s="410"/>
      <c r="M2" s="410"/>
      <c r="N2" s="410"/>
      <c r="O2" s="413"/>
      <c r="Q2" s="408"/>
    </row>
    <row r="3" spans="1:17" s="1" customFormat="1" ht="8.1" customHeight="1" thickTop="1" thickBot="1">
      <c r="A3" s="311"/>
      <c r="E3" s="311"/>
      <c r="F3" s="2"/>
      <c r="G3" s="312"/>
      <c r="H3" s="890"/>
      <c r="I3" s="890"/>
      <c r="J3" s="282"/>
      <c r="K3" s="282"/>
      <c r="L3" s="107"/>
      <c r="M3" s="107"/>
      <c r="N3" s="107"/>
      <c r="O3" s="374"/>
    </row>
    <row r="4" spans="1:17" s="1" customFormat="1" ht="39" customHeight="1">
      <c r="A4" s="311"/>
      <c r="B4" s="894" t="s">
        <v>77</v>
      </c>
      <c r="C4" s="909" t="s">
        <v>78</v>
      </c>
      <c r="D4" s="910" t="s">
        <v>107</v>
      </c>
      <c r="E4" s="916" t="s">
        <v>828</v>
      </c>
      <c r="F4" s="911" t="s">
        <v>517</v>
      </c>
      <c r="G4" s="899" t="s">
        <v>556</v>
      </c>
      <c r="H4" s="900" t="s">
        <v>79</v>
      </c>
      <c r="I4" s="912" t="s">
        <v>697</v>
      </c>
      <c r="J4" s="913" t="s">
        <v>862</v>
      </c>
      <c r="K4" s="917" t="s">
        <v>863</v>
      </c>
      <c r="L4" s="908" t="s">
        <v>865</v>
      </c>
      <c r="M4" s="892"/>
      <c r="N4" s="893"/>
      <c r="O4" s="906" t="s">
        <v>866</v>
      </c>
      <c r="Q4" s="81"/>
    </row>
    <row r="5" spans="1:17" s="311" customFormat="1" ht="27" customHeight="1">
      <c r="B5" s="895"/>
      <c r="C5" s="897"/>
      <c r="D5" s="897"/>
      <c r="E5" s="897"/>
      <c r="F5" s="901"/>
      <c r="G5" s="897"/>
      <c r="H5" s="901"/>
      <c r="I5" s="901"/>
      <c r="J5" s="901"/>
      <c r="K5" s="905"/>
      <c r="L5" s="587" t="s">
        <v>601</v>
      </c>
      <c r="M5" s="404" t="s">
        <v>602</v>
      </c>
      <c r="N5" s="720" t="s">
        <v>349</v>
      </c>
      <c r="O5" s="907"/>
    </row>
    <row r="6" spans="1:17" s="2" customFormat="1" ht="12.95" customHeight="1">
      <c r="A6" s="312"/>
      <c r="B6" s="525">
        <v>1</v>
      </c>
      <c r="C6" s="361">
        <v>2</v>
      </c>
      <c r="D6" s="361">
        <v>3</v>
      </c>
      <c r="E6" s="361">
        <v>4</v>
      </c>
      <c r="F6" s="361">
        <v>5</v>
      </c>
      <c r="G6" s="361">
        <v>6</v>
      </c>
      <c r="H6" s="361">
        <v>7</v>
      </c>
      <c r="I6" s="361">
        <v>8</v>
      </c>
      <c r="J6" s="361">
        <v>9</v>
      </c>
      <c r="K6" s="526">
        <v>10</v>
      </c>
      <c r="L6" s="525">
        <v>11</v>
      </c>
      <c r="M6" s="361">
        <v>12</v>
      </c>
      <c r="N6" s="721" t="s">
        <v>830</v>
      </c>
      <c r="O6" s="527">
        <v>14</v>
      </c>
    </row>
    <row r="7" spans="1:17" s="2" customFormat="1" ht="12.95" customHeight="1">
      <c r="A7" s="312"/>
      <c r="B7" s="6" t="s">
        <v>154</v>
      </c>
      <c r="C7" s="7" t="s">
        <v>80</v>
      </c>
      <c r="D7" s="7" t="s">
        <v>81</v>
      </c>
      <c r="E7" s="667" t="s">
        <v>835</v>
      </c>
      <c r="F7" s="5"/>
      <c r="G7" s="313"/>
      <c r="H7" s="5"/>
      <c r="I7" s="592"/>
      <c r="J7" s="100"/>
      <c r="K7" s="592"/>
      <c r="L7" s="619"/>
      <c r="M7" s="100"/>
      <c r="N7" s="773"/>
      <c r="O7" s="375"/>
    </row>
    <row r="8" spans="1:17" s="1" customFormat="1" ht="12.95" customHeight="1">
      <c r="A8" s="311"/>
      <c r="B8" s="12"/>
      <c r="C8" s="8"/>
      <c r="D8" s="8"/>
      <c r="E8" s="8"/>
      <c r="F8" s="335">
        <v>611000</v>
      </c>
      <c r="G8" s="361"/>
      <c r="H8" s="8" t="s">
        <v>146</v>
      </c>
      <c r="I8" s="738">
        <f t="shared" ref="I8:N8" si="0">SUM(I9:I11)</f>
        <v>420280</v>
      </c>
      <c r="J8" s="236">
        <f t="shared" si="0"/>
        <v>420280</v>
      </c>
      <c r="K8" s="744">
        <f t="shared" si="0"/>
        <v>98972</v>
      </c>
      <c r="L8" s="578">
        <f t="shared" si="0"/>
        <v>410060</v>
      </c>
      <c r="M8" s="236">
        <f t="shared" si="0"/>
        <v>0</v>
      </c>
      <c r="N8" s="723">
        <f t="shared" si="0"/>
        <v>410060</v>
      </c>
      <c r="O8" s="376">
        <f>IF(J8=0,"",N8/J8*100)</f>
        <v>97.56828780812792</v>
      </c>
    </row>
    <row r="9" spans="1:17" ht="12.95" customHeight="1">
      <c r="B9" s="10"/>
      <c r="C9" s="11"/>
      <c r="D9" s="11"/>
      <c r="E9" s="316"/>
      <c r="F9" s="336">
        <v>611100</v>
      </c>
      <c r="G9" s="362"/>
      <c r="H9" s="20" t="s">
        <v>174</v>
      </c>
      <c r="I9" s="784">
        <f>350160+1000+2*420+8760</f>
        <v>360760</v>
      </c>
      <c r="J9" s="238">
        <f>350160+1000+2*420+8760</f>
        <v>360760</v>
      </c>
      <c r="K9" s="742">
        <v>87543</v>
      </c>
      <c r="L9" s="626">
        <f>350400+1000+2*420</f>
        <v>352240</v>
      </c>
      <c r="M9" s="238">
        <v>0</v>
      </c>
      <c r="N9" s="724">
        <f>SUM(L9:M9)</f>
        <v>352240</v>
      </c>
      <c r="O9" s="377">
        <f>IF(J9=0,"",N9/J9*100)</f>
        <v>97.638319104113535</v>
      </c>
    </row>
    <row r="10" spans="1:17" ht="12.95" customHeight="1">
      <c r="B10" s="10"/>
      <c r="C10" s="11"/>
      <c r="D10" s="11"/>
      <c r="E10" s="316"/>
      <c r="F10" s="336">
        <v>611200</v>
      </c>
      <c r="G10" s="362"/>
      <c r="H10" s="11" t="s">
        <v>175</v>
      </c>
      <c r="I10" s="784">
        <f>56660+1000+2*930</f>
        <v>59520</v>
      </c>
      <c r="J10" s="238">
        <f>56660+1000+2*930</f>
        <v>59520</v>
      </c>
      <c r="K10" s="742">
        <v>11429</v>
      </c>
      <c r="L10" s="626">
        <f>54920+1000+2*950</f>
        <v>57820</v>
      </c>
      <c r="M10" s="238">
        <v>0</v>
      </c>
      <c r="N10" s="724">
        <f t="shared" ref="N10:N11" si="1">SUM(L10:M10)</f>
        <v>57820</v>
      </c>
      <c r="O10" s="377">
        <f t="shared" ref="O10:O35" si="2">IF(J10=0,"",N10/J10*100)</f>
        <v>97.143817204301072</v>
      </c>
    </row>
    <row r="11" spans="1:17" ht="12.95" customHeight="1">
      <c r="B11" s="10"/>
      <c r="C11" s="11"/>
      <c r="D11" s="11"/>
      <c r="E11" s="316"/>
      <c r="F11" s="336">
        <v>611200</v>
      </c>
      <c r="G11" s="362"/>
      <c r="H11" s="210" t="s">
        <v>464</v>
      </c>
      <c r="I11" s="739">
        <v>0</v>
      </c>
      <c r="J11" s="235">
        <v>0</v>
      </c>
      <c r="K11" s="741">
        <v>0</v>
      </c>
      <c r="L11" s="579">
        <v>0</v>
      </c>
      <c r="M11" s="235">
        <v>0</v>
      </c>
      <c r="N11" s="724">
        <f t="shared" si="1"/>
        <v>0</v>
      </c>
      <c r="O11" s="377" t="str">
        <f t="shared" si="2"/>
        <v/>
      </c>
      <c r="Q11" s="62"/>
    </row>
    <row r="12" spans="1:17" ht="12.95" customHeight="1">
      <c r="B12" s="10"/>
      <c r="C12" s="11"/>
      <c r="D12" s="11"/>
      <c r="E12" s="316"/>
      <c r="F12" s="336"/>
      <c r="G12" s="362"/>
      <c r="H12" s="11"/>
      <c r="I12" s="738"/>
      <c r="J12" s="236"/>
      <c r="K12" s="744"/>
      <c r="L12" s="578"/>
      <c r="M12" s="236"/>
      <c r="N12" s="723"/>
      <c r="O12" s="377" t="str">
        <f t="shared" si="2"/>
        <v/>
      </c>
    </row>
    <row r="13" spans="1:17" s="1" customFormat="1" ht="12.95" customHeight="1">
      <c r="A13" s="311"/>
      <c r="B13" s="12"/>
      <c r="C13" s="8"/>
      <c r="D13" s="8"/>
      <c r="E13" s="8"/>
      <c r="F13" s="335">
        <v>612000</v>
      </c>
      <c r="G13" s="361"/>
      <c r="H13" s="8" t="s">
        <v>145</v>
      </c>
      <c r="I13" s="738">
        <f t="shared" ref="I13:N13" si="3">I14</f>
        <v>38830</v>
      </c>
      <c r="J13" s="236">
        <f t="shared" si="3"/>
        <v>38830</v>
      </c>
      <c r="K13" s="744">
        <f t="shared" si="3"/>
        <v>9231</v>
      </c>
      <c r="L13" s="578">
        <f t="shared" si="3"/>
        <v>37650</v>
      </c>
      <c r="M13" s="236">
        <f t="shared" si="3"/>
        <v>0</v>
      </c>
      <c r="N13" s="723">
        <f t="shared" si="3"/>
        <v>37650</v>
      </c>
      <c r="O13" s="376">
        <f t="shared" si="2"/>
        <v>96.961112541849076</v>
      </c>
    </row>
    <row r="14" spans="1:17" ht="12.95" customHeight="1">
      <c r="B14" s="10"/>
      <c r="C14" s="11"/>
      <c r="D14" s="11"/>
      <c r="E14" s="316"/>
      <c r="F14" s="336">
        <v>612100</v>
      </c>
      <c r="G14" s="362"/>
      <c r="H14" s="13" t="s">
        <v>82</v>
      </c>
      <c r="I14" s="784">
        <f>37000+2*150+600+930</f>
        <v>38830</v>
      </c>
      <c r="J14" s="238">
        <f>37000+2*150+600+930</f>
        <v>38830</v>
      </c>
      <c r="K14" s="742">
        <v>9231</v>
      </c>
      <c r="L14" s="626">
        <f>36950+400+2*150</f>
        <v>37650</v>
      </c>
      <c r="M14" s="238">
        <v>0</v>
      </c>
      <c r="N14" s="724">
        <f>SUM(L14:M14)</f>
        <v>37650</v>
      </c>
      <c r="O14" s="377">
        <f t="shared" si="2"/>
        <v>96.961112541849076</v>
      </c>
    </row>
    <row r="15" spans="1:17" ht="12.95" customHeight="1">
      <c r="B15" s="10"/>
      <c r="C15" s="11"/>
      <c r="D15" s="11"/>
      <c r="E15" s="316"/>
      <c r="F15" s="336"/>
      <c r="G15" s="362"/>
      <c r="H15" s="11"/>
      <c r="I15" s="777"/>
      <c r="J15" s="321"/>
      <c r="K15" s="779"/>
      <c r="L15" s="621"/>
      <c r="M15" s="321"/>
      <c r="N15" s="725"/>
      <c r="O15" s="377" t="str">
        <f t="shared" si="2"/>
        <v/>
      </c>
    </row>
    <row r="16" spans="1:17" s="1" customFormat="1" ht="12.95" customHeight="1">
      <c r="A16" s="311"/>
      <c r="B16" s="12"/>
      <c r="C16" s="8"/>
      <c r="D16" s="8"/>
      <c r="E16" s="8"/>
      <c r="F16" s="335">
        <v>613000</v>
      </c>
      <c r="G16" s="361"/>
      <c r="H16" s="8" t="s">
        <v>147</v>
      </c>
      <c r="I16" s="778">
        <f t="shared" ref="I16:N16" si="4">SUM(I17:I26)</f>
        <v>30700</v>
      </c>
      <c r="J16" s="323">
        <f t="shared" si="4"/>
        <v>30700</v>
      </c>
      <c r="K16" s="783">
        <f t="shared" si="4"/>
        <v>7793</v>
      </c>
      <c r="L16" s="581">
        <f t="shared" si="4"/>
        <v>30120</v>
      </c>
      <c r="M16" s="323">
        <f t="shared" si="4"/>
        <v>0</v>
      </c>
      <c r="N16" s="726">
        <f t="shared" si="4"/>
        <v>30120</v>
      </c>
      <c r="O16" s="376">
        <f t="shared" si="2"/>
        <v>98.110749185667757</v>
      </c>
    </row>
    <row r="17" spans="1:16" ht="12.95" customHeight="1">
      <c r="B17" s="10"/>
      <c r="C17" s="11"/>
      <c r="D17" s="11"/>
      <c r="E17" s="316"/>
      <c r="F17" s="336">
        <v>613100</v>
      </c>
      <c r="G17" s="362"/>
      <c r="H17" s="11" t="s">
        <v>83</v>
      </c>
      <c r="I17" s="779">
        <v>2000</v>
      </c>
      <c r="J17" s="395">
        <v>2000</v>
      </c>
      <c r="K17" s="779">
        <v>572</v>
      </c>
      <c r="L17" s="571">
        <f>2000*80%</f>
        <v>1600</v>
      </c>
      <c r="M17" s="395">
        <v>0</v>
      </c>
      <c r="N17" s="724">
        <f t="shared" ref="N17:N26" si="5">SUM(L17:M17)</f>
        <v>1600</v>
      </c>
      <c r="O17" s="377">
        <f t="shared" si="2"/>
        <v>80</v>
      </c>
    </row>
    <row r="18" spans="1:16" ht="12.95" customHeight="1">
      <c r="B18" s="10"/>
      <c r="C18" s="11"/>
      <c r="D18" s="11"/>
      <c r="E18" s="316"/>
      <c r="F18" s="336">
        <v>613200</v>
      </c>
      <c r="G18" s="362"/>
      <c r="H18" s="11" t="s">
        <v>84</v>
      </c>
      <c r="I18" s="779">
        <v>6000</v>
      </c>
      <c r="J18" s="395">
        <v>6000</v>
      </c>
      <c r="K18" s="779">
        <v>2455</v>
      </c>
      <c r="L18" s="571">
        <v>6000</v>
      </c>
      <c r="M18" s="395">
        <v>0</v>
      </c>
      <c r="N18" s="724">
        <f t="shared" si="5"/>
        <v>6000</v>
      </c>
      <c r="O18" s="377">
        <f t="shared" si="2"/>
        <v>100</v>
      </c>
    </row>
    <row r="19" spans="1:16" ht="12.95" customHeight="1">
      <c r="B19" s="10"/>
      <c r="C19" s="11"/>
      <c r="D19" s="11"/>
      <c r="E19" s="316"/>
      <c r="F19" s="336">
        <v>613300</v>
      </c>
      <c r="G19" s="362"/>
      <c r="H19" s="20" t="s">
        <v>176</v>
      </c>
      <c r="I19" s="779">
        <v>8500</v>
      </c>
      <c r="J19" s="395">
        <v>8500</v>
      </c>
      <c r="K19" s="779">
        <v>1757</v>
      </c>
      <c r="L19" s="571">
        <v>8500</v>
      </c>
      <c r="M19" s="395">
        <v>0</v>
      </c>
      <c r="N19" s="724">
        <f t="shared" si="5"/>
        <v>8500</v>
      </c>
      <c r="O19" s="377">
        <f t="shared" si="2"/>
        <v>100</v>
      </c>
    </row>
    <row r="20" spans="1:16" ht="12.95" customHeight="1">
      <c r="B20" s="10"/>
      <c r="C20" s="11"/>
      <c r="D20" s="11"/>
      <c r="E20" s="316"/>
      <c r="F20" s="336">
        <v>613400</v>
      </c>
      <c r="G20" s="362"/>
      <c r="H20" s="11" t="s">
        <v>148</v>
      </c>
      <c r="I20" s="779">
        <v>1000</v>
      </c>
      <c r="J20" s="395">
        <v>1000</v>
      </c>
      <c r="K20" s="779">
        <v>49</v>
      </c>
      <c r="L20" s="571">
        <v>1000</v>
      </c>
      <c r="M20" s="395">
        <v>0</v>
      </c>
      <c r="N20" s="724">
        <f t="shared" si="5"/>
        <v>1000</v>
      </c>
      <c r="O20" s="377">
        <f t="shared" si="2"/>
        <v>100</v>
      </c>
    </row>
    <row r="21" spans="1:16" ht="12.95" customHeight="1">
      <c r="B21" s="10"/>
      <c r="C21" s="11"/>
      <c r="D21" s="11"/>
      <c r="E21" s="316"/>
      <c r="F21" s="336">
        <v>613500</v>
      </c>
      <c r="G21" s="362"/>
      <c r="H21" s="11" t="s">
        <v>85</v>
      </c>
      <c r="I21" s="779">
        <v>5500</v>
      </c>
      <c r="J21" s="395">
        <v>5500</v>
      </c>
      <c r="K21" s="779">
        <v>886</v>
      </c>
      <c r="L21" s="571">
        <v>5500</v>
      </c>
      <c r="M21" s="395">
        <v>0</v>
      </c>
      <c r="N21" s="724">
        <f t="shared" si="5"/>
        <v>5500</v>
      </c>
      <c r="O21" s="377">
        <f t="shared" si="2"/>
        <v>100</v>
      </c>
    </row>
    <row r="22" spans="1:16" ht="12.95" customHeight="1">
      <c r="B22" s="10"/>
      <c r="C22" s="11"/>
      <c r="D22" s="11"/>
      <c r="E22" s="316"/>
      <c r="F22" s="336">
        <v>613600</v>
      </c>
      <c r="G22" s="362"/>
      <c r="H22" s="20" t="s">
        <v>177</v>
      </c>
      <c r="I22" s="742">
        <v>0</v>
      </c>
      <c r="J22" s="397">
        <v>0</v>
      </c>
      <c r="K22" s="742">
        <v>0</v>
      </c>
      <c r="L22" s="571">
        <v>0</v>
      </c>
      <c r="M22" s="397">
        <v>0</v>
      </c>
      <c r="N22" s="724">
        <f t="shared" si="5"/>
        <v>0</v>
      </c>
      <c r="O22" s="377" t="str">
        <f t="shared" si="2"/>
        <v/>
      </c>
    </row>
    <row r="23" spans="1:16" ht="12.95" customHeight="1">
      <c r="B23" s="10"/>
      <c r="C23" s="11"/>
      <c r="D23" s="11"/>
      <c r="E23" s="316"/>
      <c r="F23" s="336">
        <v>613700</v>
      </c>
      <c r="G23" s="362"/>
      <c r="H23" s="11" t="s">
        <v>86</v>
      </c>
      <c r="I23" s="742">
        <v>4000</v>
      </c>
      <c r="J23" s="397">
        <v>4000</v>
      </c>
      <c r="K23" s="742">
        <v>1023</v>
      </c>
      <c r="L23" s="571">
        <v>4000</v>
      </c>
      <c r="M23" s="397">
        <v>0</v>
      </c>
      <c r="N23" s="724">
        <f t="shared" si="5"/>
        <v>4000</v>
      </c>
      <c r="O23" s="377">
        <f t="shared" si="2"/>
        <v>100</v>
      </c>
      <c r="P23" s="55"/>
    </row>
    <row r="24" spans="1:16" ht="12.95" customHeight="1">
      <c r="B24" s="10"/>
      <c r="C24" s="11"/>
      <c r="D24" s="11"/>
      <c r="E24" s="316"/>
      <c r="F24" s="336">
        <v>613800</v>
      </c>
      <c r="G24" s="362"/>
      <c r="H24" s="11" t="s">
        <v>149</v>
      </c>
      <c r="I24" s="742">
        <v>1000</v>
      </c>
      <c r="J24" s="397">
        <v>1000</v>
      </c>
      <c r="K24" s="742">
        <v>202</v>
      </c>
      <c r="L24" s="571">
        <v>1000</v>
      </c>
      <c r="M24" s="397">
        <v>0</v>
      </c>
      <c r="N24" s="724">
        <f t="shared" si="5"/>
        <v>1000</v>
      </c>
      <c r="O24" s="377">
        <f t="shared" si="2"/>
        <v>100</v>
      </c>
    </row>
    <row r="25" spans="1:16" ht="12.95" customHeight="1">
      <c r="B25" s="10"/>
      <c r="C25" s="11"/>
      <c r="D25" s="11"/>
      <c r="E25" s="316"/>
      <c r="F25" s="336">
        <v>613900</v>
      </c>
      <c r="G25" s="362"/>
      <c r="H25" s="11" t="s">
        <v>150</v>
      </c>
      <c r="I25" s="742">
        <v>2700</v>
      </c>
      <c r="J25" s="397">
        <v>2700</v>
      </c>
      <c r="K25" s="742">
        <v>849</v>
      </c>
      <c r="L25" s="571">
        <f>2700-180</f>
        <v>2520</v>
      </c>
      <c r="M25" s="397">
        <v>0</v>
      </c>
      <c r="N25" s="724">
        <f t="shared" si="5"/>
        <v>2520</v>
      </c>
      <c r="O25" s="377">
        <f t="shared" si="2"/>
        <v>93.333333333333329</v>
      </c>
      <c r="P25" s="55"/>
    </row>
    <row r="26" spans="1:16" ht="12.95" customHeight="1">
      <c r="B26" s="10"/>
      <c r="C26" s="11"/>
      <c r="D26" s="11"/>
      <c r="E26" s="316"/>
      <c r="F26" s="336">
        <v>613900</v>
      </c>
      <c r="G26" s="362"/>
      <c r="H26" s="210" t="s">
        <v>465</v>
      </c>
      <c r="I26" s="742">
        <v>0</v>
      </c>
      <c r="J26" s="397">
        <v>0</v>
      </c>
      <c r="K26" s="742">
        <v>0</v>
      </c>
      <c r="L26" s="571">
        <v>0</v>
      </c>
      <c r="M26" s="397">
        <v>0</v>
      </c>
      <c r="N26" s="724">
        <f t="shared" si="5"/>
        <v>0</v>
      </c>
      <c r="O26" s="377" t="str">
        <f t="shared" si="2"/>
        <v/>
      </c>
    </row>
    <row r="27" spans="1:16" s="1" customFormat="1" ht="12.95" customHeight="1">
      <c r="A27" s="311"/>
      <c r="B27" s="12"/>
      <c r="C27" s="8"/>
      <c r="D27" s="8"/>
      <c r="E27" s="8"/>
      <c r="F27" s="335"/>
      <c r="G27" s="361"/>
      <c r="H27" s="8"/>
      <c r="I27" s="631"/>
      <c r="J27" s="326"/>
      <c r="K27" s="742"/>
      <c r="L27" s="622"/>
      <c r="M27" s="326"/>
      <c r="N27" s="725"/>
      <c r="O27" s="377" t="str">
        <f t="shared" si="2"/>
        <v/>
      </c>
    </row>
    <row r="28" spans="1:16" s="1" customFormat="1" ht="12.95" customHeight="1">
      <c r="A28" s="311"/>
      <c r="B28" s="12"/>
      <c r="C28" s="8"/>
      <c r="D28" s="8"/>
      <c r="E28" s="8"/>
      <c r="F28" s="335">
        <v>821000</v>
      </c>
      <c r="G28" s="361"/>
      <c r="H28" s="8" t="s">
        <v>89</v>
      </c>
      <c r="I28" s="632">
        <f t="shared" ref="I28:N28" si="6">SUM(I29:I30)</f>
        <v>2000</v>
      </c>
      <c r="J28" s="325">
        <f t="shared" si="6"/>
        <v>2000</v>
      </c>
      <c r="K28" s="744">
        <f t="shared" si="6"/>
        <v>784</v>
      </c>
      <c r="L28" s="588">
        <f t="shared" si="6"/>
        <v>2000</v>
      </c>
      <c r="M28" s="325">
        <f t="shared" si="6"/>
        <v>0</v>
      </c>
      <c r="N28" s="726">
        <f t="shared" si="6"/>
        <v>2000</v>
      </c>
      <c r="O28" s="376">
        <f t="shared" si="2"/>
        <v>100</v>
      </c>
    </row>
    <row r="29" spans="1:16" ht="12.95" customHeight="1">
      <c r="B29" s="10"/>
      <c r="C29" s="11"/>
      <c r="D29" s="11"/>
      <c r="E29" s="316"/>
      <c r="F29" s="336">
        <v>821200</v>
      </c>
      <c r="G29" s="362"/>
      <c r="H29" s="11" t="s">
        <v>90</v>
      </c>
      <c r="I29" s="631">
        <v>0</v>
      </c>
      <c r="J29" s="326">
        <v>0</v>
      </c>
      <c r="K29" s="742">
        <v>0</v>
      </c>
      <c r="L29" s="622">
        <v>0</v>
      </c>
      <c r="M29" s="326">
        <v>0</v>
      </c>
      <c r="N29" s="724">
        <f t="shared" ref="N29:N30" si="7">SUM(L29:M29)</f>
        <v>0</v>
      </c>
      <c r="O29" s="377" t="str">
        <f t="shared" si="2"/>
        <v/>
      </c>
    </row>
    <row r="30" spans="1:16" ht="12.95" customHeight="1">
      <c r="B30" s="10"/>
      <c r="C30" s="11"/>
      <c r="D30" s="11"/>
      <c r="E30" s="316"/>
      <c r="F30" s="336">
        <v>821300</v>
      </c>
      <c r="G30" s="362"/>
      <c r="H30" s="11" t="s">
        <v>91</v>
      </c>
      <c r="I30" s="631">
        <v>2000</v>
      </c>
      <c r="J30" s="326">
        <v>2000</v>
      </c>
      <c r="K30" s="742">
        <v>784</v>
      </c>
      <c r="L30" s="622">
        <v>2000</v>
      </c>
      <c r="M30" s="326">
        <v>0</v>
      </c>
      <c r="N30" s="724">
        <f t="shared" si="7"/>
        <v>2000</v>
      </c>
      <c r="O30" s="377">
        <f t="shared" si="2"/>
        <v>100</v>
      </c>
    </row>
    <row r="31" spans="1:16" ht="12.95" customHeight="1">
      <c r="B31" s="10"/>
      <c r="C31" s="11"/>
      <c r="D31" s="11"/>
      <c r="E31" s="316"/>
      <c r="F31" s="336"/>
      <c r="G31" s="362"/>
      <c r="H31" s="11"/>
      <c r="I31" s="631"/>
      <c r="J31" s="326"/>
      <c r="K31" s="742"/>
      <c r="L31" s="622"/>
      <c r="M31" s="326"/>
      <c r="N31" s="725"/>
      <c r="O31" s="377" t="str">
        <f t="shared" si="2"/>
        <v/>
      </c>
    </row>
    <row r="32" spans="1:16" s="1" customFormat="1" ht="12.95" customHeight="1">
      <c r="A32" s="311"/>
      <c r="B32" s="12"/>
      <c r="C32" s="8"/>
      <c r="D32" s="8"/>
      <c r="E32" s="8"/>
      <c r="F32" s="335"/>
      <c r="G32" s="361"/>
      <c r="H32" s="8" t="s">
        <v>92</v>
      </c>
      <c r="I32" s="575">
        <v>14</v>
      </c>
      <c r="J32" s="318">
        <v>14</v>
      </c>
      <c r="K32" s="745">
        <v>14</v>
      </c>
      <c r="L32" s="582">
        <v>14</v>
      </c>
      <c r="M32" s="318"/>
      <c r="N32" s="726">
        <v>14</v>
      </c>
      <c r="O32" s="377"/>
    </row>
    <row r="33" spans="1:15" s="1" customFormat="1" ht="12.95" customHeight="1">
      <c r="A33" s="311"/>
      <c r="B33" s="12"/>
      <c r="C33" s="8"/>
      <c r="D33" s="8"/>
      <c r="E33" s="8"/>
      <c r="F33" s="335"/>
      <c r="G33" s="361"/>
      <c r="H33" s="8" t="s">
        <v>110</v>
      </c>
      <c r="I33" s="575">
        <f>I8+I13+I16+I28</f>
        <v>491810</v>
      </c>
      <c r="J33" s="318">
        <f>J8+J13+J16+J28</f>
        <v>491810</v>
      </c>
      <c r="K33" s="575">
        <f t="shared" ref="K33" si="8">K8+K13+K16+K28</f>
        <v>116780</v>
      </c>
      <c r="L33" s="582">
        <f>L8+L13+L16+L28</f>
        <v>479830</v>
      </c>
      <c r="M33" s="318">
        <f>M8+M13+M16+M28</f>
        <v>0</v>
      </c>
      <c r="N33" s="726">
        <f>N8+N13+N16+N28</f>
        <v>479830</v>
      </c>
      <c r="O33" s="376">
        <f t="shared" si="2"/>
        <v>97.564099957300584</v>
      </c>
    </row>
    <row r="34" spans="1:15" s="1" customFormat="1" ht="12.95" customHeight="1">
      <c r="A34" s="311"/>
      <c r="B34" s="12"/>
      <c r="C34" s="8"/>
      <c r="D34" s="8"/>
      <c r="E34" s="8"/>
      <c r="F34" s="335"/>
      <c r="G34" s="361"/>
      <c r="H34" s="8" t="s">
        <v>93</v>
      </c>
      <c r="I34" s="15">
        <f>I33</f>
        <v>491810</v>
      </c>
      <c r="J34" s="15">
        <f>J33</f>
        <v>491810</v>
      </c>
      <c r="K34" s="575">
        <f t="shared" ref="K34" si="9">K33</f>
        <v>116780</v>
      </c>
      <c r="L34" s="582">
        <f t="shared" ref="L34:N35" si="10">L33</f>
        <v>479830</v>
      </c>
      <c r="M34" s="318">
        <f t="shared" si="10"/>
        <v>0</v>
      </c>
      <c r="N34" s="726">
        <f t="shared" si="10"/>
        <v>479830</v>
      </c>
      <c r="O34" s="376">
        <f>IF(J34=0,"",N34/J34*100)</f>
        <v>97.564099957300584</v>
      </c>
    </row>
    <row r="35" spans="1:15" s="1" customFormat="1" ht="12.95" customHeight="1">
      <c r="A35" s="311"/>
      <c r="B35" s="12"/>
      <c r="C35" s="8"/>
      <c r="D35" s="8"/>
      <c r="E35" s="8"/>
      <c r="F35" s="335"/>
      <c r="G35" s="361"/>
      <c r="H35" s="8" t="s">
        <v>94</v>
      </c>
      <c r="I35" s="15">
        <f>I34</f>
        <v>491810</v>
      </c>
      <c r="J35" s="15">
        <f>J34</f>
        <v>491810</v>
      </c>
      <c r="K35" s="575">
        <f t="shared" ref="K35" si="11">K34</f>
        <v>116780</v>
      </c>
      <c r="L35" s="582">
        <f t="shared" si="10"/>
        <v>479830</v>
      </c>
      <c r="M35" s="318">
        <f t="shared" si="10"/>
        <v>0</v>
      </c>
      <c r="N35" s="726">
        <f t="shared" si="10"/>
        <v>479830</v>
      </c>
      <c r="O35" s="376">
        <f t="shared" si="2"/>
        <v>97.564099957300584</v>
      </c>
    </row>
    <row r="36" spans="1:15" ht="12.95" customHeight="1" thickBot="1">
      <c r="B36" s="16"/>
      <c r="C36" s="17"/>
      <c r="D36" s="17"/>
      <c r="E36" s="17"/>
      <c r="F36" s="337"/>
      <c r="G36" s="363"/>
      <c r="H36" s="17"/>
      <c r="I36" s="32"/>
      <c r="J36" s="32"/>
      <c r="K36" s="576"/>
      <c r="L36" s="585"/>
      <c r="M36" s="32"/>
      <c r="N36" s="728"/>
      <c r="O36" s="379"/>
    </row>
    <row r="37" spans="1:15" ht="12.95" customHeight="1">
      <c r="F37" s="338"/>
      <c r="G37" s="364"/>
      <c r="N37" s="425"/>
    </row>
    <row r="38" spans="1:15" ht="12.95" customHeight="1">
      <c r="B38" s="55"/>
      <c r="F38" s="338"/>
      <c r="G38" s="364"/>
      <c r="N38" s="425"/>
    </row>
    <row r="39" spans="1:15" ht="12.95" customHeight="1">
      <c r="F39" s="338"/>
      <c r="G39" s="364"/>
      <c r="N39" s="425"/>
    </row>
    <row r="40" spans="1:15" ht="12.95" customHeight="1">
      <c r="F40" s="338"/>
      <c r="G40" s="364"/>
      <c r="N40" s="425"/>
    </row>
    <row r="41" spans="1:15" ht="12.95" customHeight="1">
      <c r="F41" s="338"/>
      <c r="G41" s="364"/>
      <c r="N41" s="425"/>
    </row>
    <row r="42" spans="1:15" ht="12.95" customHeight="1">
      <c r="F42" s="338"/>
      <c r="G42" s="364"/>
      <c r="N42" s="425"/>
    </row>
    <row r="43" spans="1:15" ht="12.95" customHeight="1">
      <c r="F43" s="338"/>
      <c r="G43" s="364"/>
      <c r="N43" s="425"/>
    </row>
    <row r="44" spans="1:15" ht="12.95" customHeight="1">
      <c r="F44" s="338"/>
      <c r="G44" s="364"/>
      <c r="N44" s="425"/>
    </row>
    <row r="45" spans="1:15" ht="12.95" customHeight="1">
      <c r="F45" s="338"/>
      <c r="G45" s="364"/>
      <c r="N45" s="425"/>
    </row>
    <row r="46" spans="1:15" ht="12.95" customHeight="1">
      <c r="F46" s="338"/>
      <c r="G46" s="364"/>
      <c r="N46" s="425"/>
    </row>
    <row r="47" spans="1:15" ht="12.95" customHeight="1">
      <c r="F47" s="338"/>
      <c r="G47" s="364"/>
      <c r="N47" s="425"/>
    </row>
    <row r="48" spans="1:15" ht="12.95" customHeight="1">
      <c r="F48" s="338"/>
      <c r="G48" s="364"/>
      <c r="N48" s="425"/>
    </row>
    <row r="49" spans="6:14" ht="12.95" customHeight="1">
      <c r="F49" s="338"/>
      <c r="G49" s="364"/>
      <c r="N49" s="425"/>
    </row>
    <row r="50" spans="6:14" ht="12.95" customHeight="1">
      <c r="F50" s="338"/>
      <c r="G50" s="364"/>
      <c r="N50" s="425"/>
    </row>
    <row r="51" spans="6:14" ht="12.95" customHeight="1">
      <c r="F51" s="338"/>
      <c r="G51" s="364"/>
      <c r="N51" s="425"/>
    </row>
    <row r="52" spans="6:14" ht="12.95" customHeight="1">
      <c r="F52" s="338"/>
      <c r="G52" s="364"/>
      <c r="N52" s="425"/>
    </row>
    <row r="53" spans="6:14" ht="12.95" customHeight="1">
      <c r="F53" s="338"/>
      <c r="G53" s="364"/>
      <c r="N53" s="425"/>
    </row>
    <row r="54" spans="6:14" ht="12.95" customHeight="1">
      <c r="F54" s="338"/>
      <c r="G54" s="364"/>
      <c r="N54" s="425"/>
    </row>
    <row r="55" spans="6:14" ht="12.95" customHeight="1">
      <c r="F55" s="338"/>
      <c r="G55" s="364"/>
      <c r="N55" s="425"/>
    </row>
    <row r="56" spans="6:14" ht="12.95" customHeight="1">
      <c r="F56" s="338"/>
      <c r="G56" s="364"/>
      <c r="N56" s="425"/>
    </row>
    <row r="57" spans="6:14" ht="12.95" customHeight="1">
      <c r="F57" s="338"/>
      <c r="G57" s="364"/>
      <c r="N57" s="425"/>
    </row>
    <row r="58" spans="6:14" ht="12.95" customHeight="1">
      <c r="F58" s="338"/>
      <c r="G58" s="364"/>
      <c r="N58" s="425"/>
    </row>
    <row r="59" spans="6:14" ht="12.95" customHeight="1">
      <c r="F59" s="338"/>
      <c r="G59" s="364"/>
      <c r="N59" s="425"/>
    </row>
    <row r="60" spans="6:14" ht="17.100000000000001" customHeight="1">
      <c r="F60" s="338"/>
      <c r="G60" s="364"/>
      <c r="N60" s="425"/>
    </row>
    <row r="61" spans="6:14" ht="14.25">
      <c r="F61" s="338"/>
      <c r="G61" s="364"/>
      <c r="N61" s="425"/>
    </row>
    <row r="62" spans="6:14" ht="14.25">
      <c r="F62" s="338"/>
      <c r="G62" s="364"/>
      <c r="N62" s="425"/>
    </row>
    <row r="63" spans="6:14" ht="14.25">
      <c r="F63" s="338"/>
      <c r="G63" s="364"/>
      <c r="N63" s="425"/>
    </row>
    <row r="64" spans="6:14" ht="14.25">
      <c r="F64" s="338"/>
      <c r="G64" s="364"/>
      <c r="N64" s="425"/>
    </row>
    <row r="65" spans="6:14" ht="14.25">
      <c r="F65" s="338"/>
      <c r="G65" s="364"/>
      <c r="N65" s="425"/>
    </row>
    <row r="66" spans="6:14" ht="14.25">
      <c r="F66" s="338"/>
      <c r="G66" s="364"/>
      <c r="N66" s="425"/>
    </row>
    <row r="67" spans="6:14" ht="14.25">
      <c r="F67" s="338"/>
      <c r="G67" s="364"/>
      <c r="N67" s="425"/>
    </row>
    <row r="68" spans="6:14" ht="14.25">
      <c r="F68" s="338"/>
      <c r="G68" s="364"/>
      <c r="N68" s="425"/>
    </row>
    <row r="69" spans="6:14" ht="14.25">
      <c r="F69" s="338"/>
      <c r="G69" s="364"/>
      <c r="N69" s="425"/>
    </row>
    <row r="70" spans="6:14" ht="14.25">
      <c r="F70" s="338"/>
      <c r="G70" s="364"/>
      <c r="N70" s="425"/>
    </row>
    <row r="71" spans="6:14" ht="14.25">
      <c r="F71" s="338"/>
      <c r="G71" s="364"/>
      <c r="N71" s="425"/>
    </row>
    <row r="72" spans="6:14" ht="14.25">
      <c r="F72" s="338"/>
      <c r="G72" s="364"/>
      <c r="N72" s="425"/>
    </row>
    <row r="73" spans="6:14" ht="14.25">
      <c r="F73" s="338"/>
      <c r="G73" s="364"/>
      <c r="N73" s="425"/>
    </row>
    <row r="74" spans="6:14" ht="14.25">
      <c r="F74" s="338"/>
      <c r="G74" s="338"/>
      <c r="N74" s="425"/>
    </row>
    <row r="75" spans="6:14" ht="14.25">
      <c r="F75" s="338"/>
      <c r="G75" s="338"/>
      <c r="N75" s="425"/>
    </row>
    <row r="76" spans="6:14" ht="14.25">
      <c r="F76" s="338"/>
      <c r="G76" s="338"/>
      <c r="N76" s="425"/>
    </row>
    <row r="77" spans="6:14" ht="14.25">
      <c r="F77" s="338"/>
      <c r="G77" s="338"/>
      <c r="N77" s="425"/>
    </row>
    <row r="78" spans="6:14" ht="14.25">
      <c r="F78" s="338"/>
      <c r="G78" s="338"/>
      <c r="N78" s="425"/>
    </row>
    <row r="79" spans="6:14" ht="14.25">
      <c r="F79" s="338"/>
      <c r="G79" s="338"/>
      <c r="N79" s="425"/>
    </row>
    <row r="80" spans="6:14" ht="14.25">
      <c r="F80" s="338"/>
      <c r="G80" s="338"/>
      <c r="N80" s="425"/>
    </row>
    <row r="81" spans="6:14" ht="14.25">
      <c r="F81" s="338"/>
      <c r="G81" s="338"/>
      <c r="N81" s="425"/>
    </row>
    <row r="82" spans="6:14" ht="14.25">
      <c r="F82" s="338"/>
      <c r="G82" s="338"/>
      <c r="N82" s="425"/>
    </row>
    <row r="83" spans="6:14" ht="14.25">
      <c r="F83" s="338"/>
      <c r="G83" s="338"/>
      <c r="N83" s="425"/>
    </row>
    <row r="84" spans="6:14" ht="14.25">
      <c r="F84" s="338"/>
      <c r="G84" s="338"/>
      <c r="N84" s="425"/>
    </row>
    <row r="85" spans="6:14" ht="14.25">
      <c r="F85" s="338"/>
      <c r="G85" s="338"/>
      <c r="N85" s="425"/>
    </row>
    <row r="86" spans="6:14" ht="14.25">
      <c r="F86" s="338"/>
      <c r="G86" s="338"/>
      <c r="N86" s="425"/>
    </row>
    <row r="87" spans="6:14" ht="14.25">
      <c r="F87" s="338"/>
      <c r="G87" s="338"/>
      <c r="N87" s="425"/>
    </row>
    <row r="88" spans="6:14" ht="14.25">
      <c r="F88" s="338"/>
      <c r="G88" s="338"/>
      <c r="N88" s="425"/>
    </row>
    <row r="89" spans="6:14" ht="14.25">
      <c r="F89" s="338"/>
      <c r="G89" s="338"/>
      <c r="N89" s="425"/>
    </row>
    <row r="90" spans="6:14" ht="14.25">
      <c r="F90" s="338"/>
      <c r="G90" s="338"/>
      <c r="N90" s="425"/>
    </row>
    <row r="91" spans="6:14">
      <c r="G91" s="338"/>
    </row>
    <row r="92" spans="6:14">
      <c r="G92" s="338"/>
    </row>
    <row r="93" spans="6:14">
      <c r="G93" s="338"/>
    </row>
    <row r="94" spans="6:14">
      <c r="G94" s="338"/>
    </row>
    <row r="95" spans="6:14">
      <c r="G95" s="338"/>
    </row>
    <row r="96" spans="6:14">
      <c r="G96" s="338"/>
    </row>
  </sheetData>
  <mergeCells count="14">
    <mergeCell ref="O4:O5"/>
    <mergeCell ref="H4:H5"/>
    <mergeCell ref="B2:I2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K4:K5"/>
    <mergeCell ref="E4:E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 codeName="List5">
    <tabColor rgb="FF00B050"/>
  </sheetPr>
  <dimension ref="A2:O45"/>
  <sheetViews>
    <sheetView topLeftCell="A13" zoomScaleNormal="100" workbookViewId="0">
      <selection activeCell="P25" sqref="P25"/>
    </sheetView>
  </sheetViews>
  <sheetFormatPr defaultRowHeight="12.75"/>
  <cols>
    <col min="1" max="1" width="11.85546875" style="39" customWidth="1"/>
    <col min="2" max="2" width="82.28515625" customWidth="1"/>
    <col min="3" max="11" width="10.7109375" customWidth="1"/>
    <col min="12" max="12" width="11.42578125" style="45" customWidth="1"/>
  </cols>
  <sheetData>
    <row r="2" spans="1:15" ht="15.75">
      <c r="A2" s="927" t="s">
        <v>880</v>
      </c>
      <c r="B2" s="928"/>
      <c r="C2" s="928"/>
      <c r="D2" s="928"/>
      <c r="E2" s="928"/>
      <c r="F2" s="928"/>
      <c r="G2" s="928"/>
      <c r="H2" s="928"/>
      <c r="I2" s="928"/>
      <c r="J2" s="928"/>
      <c r="K2" s="928"/>
      <c r="L2" s="928"/>
    </row>
    <row r="4" spans="1:15" s="45" customFormat="1" ht="51">
      <c r="A4" s="161" t="s">
        <v>342</v>
      </c>
      <c r="B4" s="162" t="s">
        <v>350</v>
      </c>
      <c r="C4" s="161" t="s">
        <v>343</v>
      </c>
      <c r="D4" s="161" t="s">
        <v>344</v>
      </c>
      <c r="E4" s="161" t="s">
        <v>351</v>
      </c>
      <c r="F4" s="161" t="s">
        <v>352</v>
      </c>
      <c r="G4" s="161" t="s">
        <v>345</v>
      </c>
      <c r="H4" s="161" t="s">
        <v>346</v>
      </c>
      <c r="I4" s="161" t="s">
        <v>347</v>
      </c>
      <c r="J4" s="161" t="s">
        <v>353</v>
      </c>
      <c r="K4" s="161" t="s">
        <v>348</v>
      </c>
      <c r="L4" s="161" t="s">
        <v>349</v>
      </c>
    </row>
    <row r="5" spans="1:15" ht="15.95" customHeight="1">
      <c r="A5" s="155">
        <v>10010001</v>
      </c>
      <c r="B5" s="23" t="s">
        <v>207</v>
      </c>
      <c r="C5" s="153">
        <f>'1'!N9</f>
        <v>443880</v>
      </c>
      <c r="D5" s="153">
        <f>'1'!N10+'1'!N11</f>
        <v>95270</v>
      </c>
      <c r="E5" s="153">
        <f>'1'!N13</f>
        <v>47420</v>
      </c>
      <c r="F5" s="153">
        <f>'1'!N16</f>
        <v>248820</v>
      </c>
      <c r="G5" s="153">
        <v>0</v>
      </c>
      <c r="H5" s="153">
        <v>0</v>
      </c>
      <c r="I5" s="23">
        <v>0</v>
      </c>
      <c r="J5" s="153">
        <f>'1'!N28</f>
        <v>3000</v>
      </c>
      <c r="K5" s="23">
        <v>0</v>
      </c>
      <c r="L5" s="154">
        <f>SUM(C5:K5)</f>
        <v>838390</v>
      </c>
    </row>
    <row r="6" spans="1:15" ht="15.95" customHeight="1">
      <c r="A6" s="155">
        <v>11010001</v>
      </c>
      <c r="B6" s="23" t="s">
        <v>208</v>
      </c>
      <c r="C6" s="153">
        <f>'3'!N14</f>
        <v>138380</v>
      </c>
      <c r="D6" s="153">
        <f>'3'!N15+'3'!N16</f>
        <v>87150</v>
      </c>
      <c r="E6" s="153">
        <f>'3'!N18</f>
        <v>15010</v>
      </c>
      <c r="F6" s="153">
        <f>'3'!N21</f>
        <v>197080</v>
      </c>
      <c r="G6" s="153">
        <f>'3'!N34</f>
        <v>717000</v>
      </c>
      <c r="H6" s="153">
        <f>'3'!N46</f>
        <v>50000</v>
      </c>
      <c r="I6" s="23">
        <v>0</v>
      </c>
      <c r="J6" s="153">
        <f>'3'!N49</f>
        <v>30000</v>
      </c>
      <c r="K6" s="23">
        <v>0</v>
      </c>
      <c r="L6" s="154">
        <f t="shared" ref="L6:L41" si="0">SUM(C6:K6)</f>
        <v>1234620</v>
      </c>
      <c r="O6" s="74"/>
    </row>
    <row r="7" spans="1:15" ht="15.95" customHeight="1">
      <c r="A7" s="155">
        <v>11010002</v>
      </c>
      <c r="B7" s="23" t="s">
        <v>792</v>
      </c>
      <c r="C7" s="153">
        <f>'4 (S)'!N9</f>
        <v>0</v>
      </c>
      <c r="D7" s="153">
        <f>'4 (S)'!N10+'4 (S)'!N11</f>
        <v>0</v>
      </c>
      <c r="E7" s="153">
        <f>'4 (S)'!N13</f>
        <v>0</v>
      </c>
      <c r="F7" s="153">
        <f>'4 (S)'!N16</f>
        <v>0</v>
      </c>
      <c r="G7" s="153">
        <f>'4 (S)'!N28</f>
        <v>0</v>
      </c>
      <c r="H7" s="23">
        <v>0</v>
      </c>
      <c r="I7" s="23">
        <v>0</v>
      </c>
      <c r="J7" s="153">
        <f>'4 (S)'!N31</f>
        <v>0</v>
      </c>
      <c r="K7" s="23">
        <v>0</v>
      </c>
      <c r="L7" s="154">
        <f t="shared" si="0"/>
        <v>0</v>
      </c>
    </row>
    <row r="8" spans="1:15" ht="15.95" customHeight="1">
      <c r="A8" s="155">
        <v>11010003</v>
      </c>
      <c r="B8" s="23" t="s">
        <v>743</v>
      </c>
      <c r="C8" s="153">
        <f>'5'!N9</f>
        <v>47560</v>
      </c>
      <c r="D8" s="153">
        <f>'5'!N10+'5'!N11</f>
        <v>6380</v>
      </c>
      <c r="E8" s="153">
        <f>'5'!N13</f>
        <v>5060</v>
      </c>
      <c r="F8" s="153">
        <f>'5'!N16</f>
        <v>1260</v>
      </c>
      <c r="G8" s="23">
        <v>0</v>
      </c>
      <c r="H8" s="23">
        <v>0</v>
      </c>
      <c r="I8" s="23">
        <v>0</v>
      </c>
      <c r="J8" s="153">
        <f>'5'!N28</f>
        <v>1500</v>
      </c>
      <c r="K8" s="23">
        <v>0</v>
      </c>
      <c r="L8" s="154">
        <f t="shared" si="0"/>
        <v>61760</v>
      </c>
    </row>
    <row r="9" spans="1:15" ht="15.95" customHeight="1">
      <c r="A9" s="155">
        <v>11010004</v>
      </c>
      <c r="B9" s="23" t="s">
        <v>741</v>
      </c>
      <c r="C9" s="153">
        <f>'6'!N9</f>
        <v>65210</v>
      </c>
      <c r="D9" s="153">
        <f>'6'!N10+'6'!N11</f>
        <v>10370</v>
      </c>
      <c r="E9" s="153">
        <f>'6'!N13</f>
        <v>6940</v>
      </c>
      <c r="F9" s="153">
        <f>'6'!N16</f>
        <v>6400</v>
      </c>
      <c r="G9" s="23">
        <v>0</v>
      </c>
      <c r="H9" s="23">
        <v>0</v>
      </c>
      <c r="I9" s="23">
        <v>0</v>
      </c>
      <c r="J9" s="153">
        <f>'6'!N28</f>
        <v>1500</v>
      </c>
      <c r="K9" s="23">
        <v>0</v>
      </c>
      <c r="L9" s="154">
        <f t="shared" si="0"/>
        <v>90420</v>
      </c>
    </row>
    <row r="10" spans="1:15" ht="15.95" customHeight="1">
      <c r="A10" s="155">
        <v>11010005</v>
      </c>
      <c r="B10" s="546" t="s">
        <v>526</v>
      </c>
      <c r="C10" s="153">
        <f>'7'!N9</f>
        <v>145550</v>
      </c>
      <c r="D10" s="153">
        <f>'7'!N10+'7'!N11</f>
        <v>40570</v>
      </c>
      <c r="E10" s="153">
        <f>'7'!N13</f>
        <v>15750</v>
      </c>
      <c r="F10" s="153">
        <f>'7'!N16</f>
        <v>9400</v>
      </c>
      <c r="G10" s="23">
        <v>0</v>
      </c>
      <c r="H10" s="23">
        <v>0</v>
      </c>
      <c r="I10" s="23">
        <v>0</v>
      </c>
      <c r="J10" s="153">
        <f>'7'!N28</f>
        <v>3000</v>
      </c>
      <c r="K10" s="23">
        <v>0</v>
      </c>
      <c r="L10" s="154">
        <f t="shared" si="0"/>
        <v>214270</v>
      </c>
    </row>
    <row r="11" spans="1:15" s="656" customFormat="1" ht="15.95" customHeight="1">
      <c r="A11" s="155">
        <v>11010006</v>
      </c>
      <c r="B11" s="23" t="s">
        <v>765</v>
      </c>
      <c r="C11" s="153">
        <f>'4 (N)'!N9</f>
        <v>71620</v>
      </c>
      <c r="D11" s="153">
        <f>'4 (N)'!N10</f>
        <v>19180</v>
      </c>
      <c r="E11" s="153">
        <f>'4 (N)'!N13</f>
        <v>7600</v>
      </c>
      <c r="F11" s="153">
        <f>'4 (N)'!N16</f>
        <v>4400</v>
      </c>
      <c r="G11" s="153">
        <f>'4 (N)'!N28</f>
        <v>50000</v>
      </c>
      <c r="H11" s="23">
        <v>0</v>
      </c>
      <c r="I11" s="23">
        <v>0</v>
      </c>
      <c r="J11" s="153">
        <f>'4 (N)'!N31</f>
        <v>1000</v>
      </c>
      <c r="K11" s="23">
        <v>0</v>
      </c>
      <c r="L11" s="154">
        <f t="shared" ref="L11" si="1">SUM(C11:K11)</f>
        <v>153800</v>
      </c>
    </row>
    <row r="12" spans="1:15" ht="15.95" customHeight="1">
      <c r="A12" s="155">
        <v>12010001</v>
      </c>
      <c r="B12" s="23" t="s">
        <v>739</v>
      </c>
      <c r="C12" s="153">
        <f>'8'!N9</f>
        <v>237070</v>
      </c>
      <c r="D12" s="153">
        <f>'8'!N10+'8'!N11</f>
        <v>64490</v>
      </c>
      <c r="E12" s="153">
        <f>'8'!N13</f>
        <v>26250</v>
      </c>
      <c r="F12" s="153">
        <f>'8'!N16</f>
        <v>405000</v>
      </c>
      <c r="G12" s="23">
        <v>0</v>
      </c>
      <c r="H12" s="23">
        <v>0</v>
      </c>
      <c r="I12" s="23">
        <v>0</v>
      </c>
      <c r="J12" s="153">
        <f>'8'!N28</f>
        <v>40000</v>
      </c>
      <c r="K12" s="23">
        <v>0</v>
      </c>
      <c r="L12" s="154">
        <f t="shared" si="0"/>
        <v>772810</v>
      </c>
    </row>
    <row r="13" spans="1:15" ht="15.95" customHeight="1">
      <c r="A13" s="155">
        <v>13010001</v>
      </c>
      <c r="B13" s="23" t="s">
        <v>209</v>
      </c>
      <c r="C13" s="153">
        <f>'9'!N9</f>
        <v>4412100</v>
      </c>
      <c r="D13" s="153">
        <f>'9'!N10+'9'!N11</f>
        <v>880440</v>
      </c>
      <c r="E13" s="153">
        <f>'9'!N13</f>
        <v>687980</v>
      </c>
      <c r="F13" s="153">
        <f>'9'!N16</f>
        <v>720800</v>
      </c>
      <c r="G13" s="23">
        <v>0</v>
      </c>
      <c r="H13" s="23">
        <v>0</v>
      </c>
      <c r="I13" s="23">
        <v>0</v>
      </c>
      <c r="J13" s="153">
        <f>'9'!N28</f>
        <v>75000</v>
      </c>
      <c r="K13" s="23">
        <v>0</v>
      </c>
      <c r="L13" s="154">
        <f t="shared" si="0"/>
        <v>6776320</v>
      </c>
    </row>
    <row r="14" spans="1:15" ht="15.95" customHeight="1">
      <c r="A14" s="155">
        <v>14010001</v>
      </c>
      <c r="B14" s="23" t="s">
        <v>745</v>
      </c>
      <c r="C14" s="153">
        <f>'10'!N9</f>
        <v>99990</v>
      </c>
      <c r="D14" s="153">
        <f>'10'!N10+'10'!N11</f>
        <v>19290</v>
      </c>
      <c r="E14" s="153">
        <f>'10'!N13</f>
        <v>10840</v>
      </c>
      <c r="F14" s="153">
        <f>'10'!N16</f>
        <v>115770</v>
      </c>
      <c r="G14" s="23">
        <v>0</v>
      </c>
      <c r="H14" s="23">
        <v>0</v>
      </c>
      <c r="I14" s="23">
        <v>0</v>
      </c>
      <c r="J14" s="153">
        <f>'10'!N30</f>
        <v>5000</v>
      </c>
      <c r="K14" s="23">
        <v>0</v>
      </c>
      <c r="L14" s="154">
        <f t="shared" si="0"/>
        <v>250890</v>
      </c>
    </row>
    <row r="15" spans="1:15" ht="15.95" customHeight="1">
      <c r="A15" s="155">
        <v>14020003</v>
      </c>
      <c r="B15" s="23" t="s">
        <v>773</v>
      </c>
      <c r="C15" s="153">
        <f>'11'!N9</f>
        <v>998570</v>
      </c>
      <c r="D15" s="153">
        <f>'11'!N10+'11'!N11</f>
        <v>169390</v>
      </c>
      <c r="E15" s="153">
        <f>'11'!N13</f>
        <v>106320</v>
      </c>
      <c r="F15" s="153">
        <f>'11'!N16</f>
        <v>243500</v>
      </c>
      <c r="G15" s="23">
        <v>0</v>
      </c>
      <c r="H15" s="23">
        <v>0</v>
      </c>
      <c r="I15" s="23">
        <v>0</v>
      </c>
      <c r="J15" s="153">
        <f>'11'!N29</f>
        <v>5000</v>
      </c>
      <c r="K15" s="23">
        <v>0</v>
      </c>
      <c r="L15" s="154">
        <f t="shared" si="0"/>
        <v>1522780</v>
      </c>
    </row>
    <row r="16" spans="1:15" ht="15.95" customHeight="1">
      <c r="A16" s="155">
        <v>14050001</v>
      </c>
      <c r="B16" s="23" t="s">
        <v>769</v>
      </c>
      <c r="C16" s="153">
        <f>'12'!N9</f>
        <v>29170</v>
      </c>
      <c r="D16" s="153">
        <f>'12'!N10+'12'!N11</f>
        <v>3570</v>
      </c>
      <c r="E16" s="153">
        <f>'12'!N13</f>
        <v>3160</v>
      </c>
      <c r="F16" s="153">
        <f>'12'!N16</f>
        <v>2340</v>
      </c>
      <c r="G16" s="23">
        <v>0</v>
      </c>
      <c r="H16" s="23">
        <v>0</v>
      </c>
      <c r="I16" s="23">
        <v>0</v>
      </c>
      <c r="J16" s="153">
        <f>'12'!N28</f>
        <v>0</v>
      </c>
      <c r="K16" s="23">
        <v>0</v>
      </c>
      <c r="L16" s="154">
        <f t="shared" si="0"/>
        <v>38240</v>
      </c>
    </row>
    <row r="17" spans="1:15" ht="15.95" customHeight="1">
      <c r="A17" s="155">
        <v>14050002</v>
      </c>
      <c r="B17" s="23" t="s">
        <v>770</v>
      </c>
      <c r="C17" s="153">
        <f>'13'!N9</f>
        <v>31510</v>
      </c>
      <c r="D17" s="153">
        <f>'13'!N10+'13'!N11</f>
        <v>7870</v>
      </c>
      <c r="E17" s="153">
        <f>'13'!N13</f>
        <v>3410</v>
      </c>
      <c r="F17" s="153">
        <f>'13'!N16</f>
        <v>2760</v>
      </c>
      <c r="G17" s="23">
        <v>0</v>
      </c>
      <c r="H17" s="23">
        <v>0</v>
      </c>
      <c r="I17" s="23">
        <v>0</v>
      </c>
      <c r="J17" s="153">
        <f>'13'!N28</f>
        <v>500</v>
      </c>
      <c r="K17" s="23">
        <v>0</v>
      </c>
      <c r="L17" s="154">
        <f t="shared" si="0"/>
        <v>46050</v>
      </c>
    </row>
    <row r="18" spans="1:15" ht="15.95" customHeight="1">
      <c r="A18" s="155">
        <v>14060001</v>
      </c>
      <c r="B18" s="23" t="s">
        <v>771</v>
      </c>
      <c r="C18" s="153">
        <f>'14'!N9</f>
        <v>67430</v>
      </c>
      <c r="D18" s="153">
        <f>'14'!N10+'14'!N11</f>
        <v>8850</v>
      </c>
      <c r="E18" s="153">
        <f>'14'!N13</f>
        <v>7160</v>
      </c>
      <c r="F18" s="153">
        <f>'14'!N16</f>
        <v>4270</v>
      </c>
      <c r="G18" s="23">
        <v>0</v>
      </c>
      <c r="H18" s="23">
        <v>0</v>
      </c>
      <c r="I18" s="23">
        <v>0</v>
      </c>
      <c r="J18" s="153">
        <f>'14'!N28</f>
        <v>500</v>
      </c>
      <c r="K18" s="23">
        <v>0</v>
      </c>
      <c r="L18" s="154">
        <f t="shared" si="0"/>
        <v>88210</v>
      </c>
    </row>
    <row r="19" spans="1:15" ht="15.95" customHeight="1">
      <c r="A19" s="155">
        <v>15010001</v>
      </c>
      <c r="B19" s="23" t="s">
        <v>746</v>
      </c>
      <c r="C19" s="153">
        <f>'15'!N9</f>
        <v>188690</v>
      </c>
      <c r="D19" s="153">
        <f>'15'!N10+'15'!N11</f>
        <v>38090</v>
      </c>
      <c r="E19" s="153">
        <f>'15'!N13</f>
        <v>20400</v>
      </c>
      <c r="F19" s="153">
        <f>'15'!N16</f>
        <v>72850</v>
      </c>
      <c r="G19" s="153">
        <f>'15'!N29</f>
        <v>2800000</v>
      </c>
      <c r="H19" s="153">
        <f>'15'!N33</f>
        <v>200000</v>
      </c>
      <c r="I19" s="23">
        <v>0</v>
      </c>
      <c r="J19" s="153">
        <f>'15'!N36</f>
        <v>1000</v>
      </c>
      <c r="K19" s="23">
        <v>0</v>
      </c>
      <c r="L19" s="154">
        <f t="shared" si="0"/>
        <v>3321030</v>
      </c>
    </row>
    <row r="20" spans="1:15" ht="15.95" customHeight="1">
      <c r="A20" s="155">
        <v>16010001</v>
      </c>
      <c r="B20" s="23" t="s">
        <v>747</v>
      </c>
      <c r="C20" s="153">
        <f>'16'!N12</f>
        <v>313700</v>
      </c>
      <c r="D20" s="153">
        <f>'16'!N13+'16'!N14</f>
        <v>61890</v>
      </c>
      <c r="E20" s="153">
        <f>'16'!N16</f>
        <v>33930</v>
      </c>
      <c r="F20" s="153">
        <f>'16'!N19</f>
        <v>104500</v>
      </c>
      <c r="G20" s="153">
        <f>'16'!N32</f>
        <v>480000</v>
      </c>
      <c r="H20" s="23">
        <v>0</v>
      </c>
      <c r="I20" s="153">
        <f>'16'!N37</f>
        <v>44710</v>
      </c>
      <c r="J20" s="153">
        <f>'16'!N43</f>
        <v>2000</v>
      </c>
      <c r="K20" s="153">
        <f>'16'!N47</f>
        <v>518280</v>
      </c>
      <c r="L20" s="154">
        <f t="shared" si="0"/>
        <v>1559010</v>
      </c>
      <c r="O20" s="74"/>
    </row>
    <row r="21" spans="1:15" ht="15.95" customHeight="1">
      <c r="A21" s="155">
        <v>17010001</v>
      </c>
      <c r="B21" s="23" t="s">
        <v>748</v>
      </c>
      <c r="C21" s="153">
        <f>'17'!N9</f>
        <v>216640</v>
      </c>
      <c r="D21" s="153">
        <f>'17'!N10+'17'!N11</f>
        <v>38160</v>
      </c>
      <c r="E21" s="153">
        <f>'17'!N13</f>
        <v>23690</v>
      </c>
      <c r="F21" s="153">
        <f>'17'!N16</f>
        <v>59400</v>
      </c>
      <c r="G21" s="153">
        <f>'17'!N28</f>
        <v>4180000</v>
      </c>
      <c r="H21" s="153">
        <v>0</v>
      </c>
      <c r="I21" s="23">
        <v>0</v>
      </c>
      <c r="J21" s="153">
        <f>'17'!N33</f>
        <v>1500</v>
      </c>
      <c r="K21" s="23">
        <v>0</v>
      </c>
      <c r="L21" s="154">
        <f t="shared" si="0"/>
        <v>4519390</v>
      </c>
    </row>
    <row r="22" spans="1:15" ht="15.95" customHeight="1">
      <c r="A22" s="155">
        <v>18010001</v>
      </c>
      <c r="B22" s="23" t="s">
        <v>749</v>
      </c>
      <c r="C22" s="153">
        <f>'18'!N9</f>
        <v>220520</v>
      </c>
      <c r="D22" s="153">
        <f>'18'!N10+'18'!N11</f>
        <v>48870</v>
      </c>
      <c r="E22" s="153">
        <f>'18'!N13</f>
        <v>23960</v>
      </c>
      <c r="F22" s="153">
        <f>'18'!N16</f>
        <v>225300</v>
      </c>
      <c r="G22" s="153">
        <f>'18'!N29</f>
        <v>300000</v>
      </c>
      <c r="H22" s="23">
        <v>0</v>
      </c>
      <c r="I22" s="23">
        <v>0</v>
      </c>
      <c r="J22" s="153">
        <f>'18'!N33</f>
        <v>1155000</v>
      </c>
      <c r="K22" s="23">
        <v>0</v>
      </c>
      <c r="L22" s="154">
        <f t="shared" si="0"/>
        <v>1973650</v>
      </c>
    </row>
    <row r="23" spans="1:15" ht="15.95" customHeight="1">
      <c r="A23" s="155">
        <v>19010001</v>
      </c>
      <c r="B23" s="23" t="s">
        <v>750</v>
      </c>
      <c r="C23" s="153">
        <f>'19'!N9</f>
        <v>522330</v>
      </c>
      <c r="D23" s="153">
        <f>'19'!N10+'19'!N11</f>
        <v>98550</v>
      </c>
      <c r="E23" s="153">
        <f>'19'!N13</f>
        <v>55690</v>
      </c>
      <c r="F23" s="153">
        <f>'19'!N16</f>
        <v>77970</v>
      </c>
      <c r="G23" s="153">
        <f>'19'!N28</f>
        <v>1470000</v>
      </c>
      <c r="H23" s="153">
        <f>'19'!N34</f>
        <v>80000</v>
      </c>
      <c r="I23" s="23">
        <v>0</v>
      </c>
      <c r="J23" s="153">
        <f>'19'!N38</f>
        <v>35000</v>
      </c>
      <c r="K23" s="23">
        <v>0</v>
      </c>
      <c r="L23" s="154">
        <f t="shared" si="0"/>
        <v>2339540</v>
      </c>
    </row>
    <row r="24" spans="1:15" ht="15.95" customHeight="1">
      <c r="A24" s="155">
        <v>20010001</v>
      </c>
      <c r="B24" s="23" t="s">
        <v>751</v>
      </c>
      <c r="C24" s="153">
        <f>'20'!N9</f>
        <v>263650</v>
      </c>
      <c r="D24" s="153">
        <f>'20'!N10+'20'!N11</f>
        <v>40640</v>
      </c>
      <c r="E24" s="153">
        <f>'20'!N13</f>
        <v>28410</v>
      </c>
      <c r="F24" s="153">
        <f>'20'!N16</f>
        <v>85400</v>
      </c>
      <c r="G24" s="153">
        <f>'20'!N30</f>
        <v>1170000</v>
      </c>
      <c r="H24" s="153">
        <v>0</v>
      </c>
      <c r="I24" s="153">
        <f>'20'!N42</f>
        <v>0</v>
      </c>
      <c r="J24" s="153">
        <f>'20'!N45</f>
        <v>504910</v>
      </c>
      <c r="K24" s="153">
        <f>'20'!N49</f>
        <v>0</v>
      </c>
      <c r="L24" s="154">
        <f t="shared" si="0"/>
        <v>2093010</v>
      </c>
    </row>
    <row r="25" spans="1:15" ht="15.95" customHeight="1">
      <c r="A25" s="155">
        <v>20020002</v>
      </c>
      <c r="B25" s="23" t="s">
        <v>808</v>
      </c>
      <c r="C25" s="153">
        <f>'21'!N9</f>
        <v>855240</v>
      </c>
      <c r="D25" s="153">
        <f>'21'!N10+'21'!N11</f>
        <v>184110</v>
      </c>
      <c r="E25" s="153">
        <f>'21'!N13</f>
        <v>90900</v>
      </c>
      <c r="F25" s="153">
        <f>'21'!N16</f>
        <v>158140</v>
      </c>
      <c r="G25" s="23">
        <v>0</v>
      </c>
      <c r="H25" s="23">
        <v>0</v>
      </c>
      <c r="I25" s="23">
        <v>0</v>
      </c>
      <c r="J25" s="153">
        <f>'21'!N28</f>
        <v>5000</v>
      </c>
      <c r="K25" s="23">
        <v>0</v>
      </c>
      <c r="L25" s="154">
        <f t="shared" si="0"/>
        <v>1293390</v>
      </c>
    </row>
    <row r="26" spans="1:15" ht="15.95" customHeight="1">
      <c r="A26" s="155">
        <v>20020003</v>
      </c>
      <c r="B26" s="23" t="s">
        <v>809</v>
      </c>
      <c r="C26" s="153">
        <f>'22'!N9</f>
        <v>851510</v>
      </c>
      <c r="D26" s="153">
        <f>'22'!N10+'22'!N11</f>
        <v>207880</v>
      </c>
      <c r="E26" s="153">
        <f>'22'!N13</f>
        <v>90330</v>
      </c>
      <c r="F26" s="153">
        <f>'22'!N16</f>
        <v>173240</v>
      </c>
      <c r="G26" s="23">
        <v>0</v>
      </c>
      <c r="H26" s="23">
        <v>0</v>
      </c>
      <c r="I26" s="23">
        <v>0</v>
      </c>
      <c r="J26" s="153">
        <f>'22'!N28</f>
        <v>9000</v>
      </c>
      <c r="K26" s="23">
        <v>0</v>
      </c>
      <c r="L26" s="154">
        <f t="shared" si="0"/>
        <v>1331960</v>
      </c>
    </row>
    <row r="27" spans="1:15" ht="15.95" customHeight="1">
      <c r="A27" s="155">
        <v>20020004</v>
      </c>
      <c r="B27" s="23" t="s">
        <v>810</v>
      </c>
      <c r="C27" s="153">
        <f>'23'!N9</f>
        <v>694210</v>
      </c>
      <c r="D27" s="153">
        <f>'23'!N10+'23'!N11</f>
        <v>155630</v>
      </c>
      <c r="E27" s="153">
        <f>'23'!N13</f>
        <v>74610</v>
      </c>
      <c r="F27" s="153">
        <f>'23'!N16</f>
        <v>118840</v>
      </c>
      <c r="G27" s="23">
        <v>0</v>
      </c>
      <c r="H27" s="23">
        <v>0</v>
      </c>
      <c r="I27" s="23">
        <v>0</v>
      </c>
      <c r="J27" s="153">
        <f>'23'!N28</f>
        <v>5000</v>
      </c>
      <c r="K27" s="23">
        <v>0</v>
      </c>
      <c r="L27" s="154">
        <f t="shared" si="0"/>
        <v>1048290</v>
      </c>
    </row>
    <row r="28" spans="1:15" ht="15.95" customHeight="1">
      <c r="A28" s="155">
        <v>20030001</v>
      </c>
      <c r="B28" s="546" t="s">
        <v>779</v>
      </c>
      <c r="C28" s="153">
        <f>'24'!N9</f>
        <v>890070</v>
      </c>
      <c r="D28" s="153">
        <f>'24'!N10+'24'!N11</f>
        <v>184250</v>
      </c>
      <c r="E28" s="153">
        <f>'24'!N13</f>
        <v>94660</v>
      </c>
      <c r="F28" s="153">
        <f>'24'!N16</f>
        <v>83440</v>
      </c>
      <c r="G28" s="23">
        <v>0</v>
      </c>
      <c r="H28" s="23">
        <v>0</v>
      </c>
      <c r="I28" s="23">
        <v>0</v>
      </c>
      <c r="J28" s="153">
        <f>'24'!N28</f>
        <v>5000</v>
      </c>
      <c r="K28" s="23">
        <v>0</v>
      </c>
      <c r="L28" s="154">
        <f t="shared" si="0"/>
        <v>1257420</v>
      </c>
    </row>
    <row r="29" spans="1:15" ht="15.95" customHeight="1">
      <c r="A29" s="155">
        <v>20030002</v>
      </c>
      <c r="B29" s="23" t="s">
        <v>811</v>
      </c>
      <c r="C29" s="153">
        <f>'25'!N9</f>
        <v>1846030</v>
      </c>
      <c r="D29" s="153">
        <f>'25'!N10+'25'!N11</f>
        <v>417270</v>
      </c>
      <c r="E29" s="153">
        <f>'25'!N13</f>
        <v>199530</v>
      </c>
      <c r="F29" s="153">
        <f>'25'!N16</f>
        <v>185240</v>
      </c>
      <c r="G29" s="23">
        <v>0</v>
      </c>
      <c r="H29" s="23">
        <v>0</v>
      </c>
      <c r="I29" s="23">
        <v>0</v>
      </c>
      <c r="J29" s="153">
        <f>'25'!N28</f>
        <v>7000</v>
      </c>
      <c r="K29" s="23">
        <v>0</v>
      </c>
      <c r="L29" s="154">
        <f t="shared" si="0"/>
        <v>2655070</v>
      </c>
    </row>
    <row r="30" spans="1:15" ht="15.95" customHeight="1">
      <c r="A30" s="155">
        <v>20030003</v>
      </c>
      <c r="B30" s="23" t="s">
        <v>812</v>
      </c>
      <c r="C30" s="153">
        <f>'26'!N9</f>
        <v>511510</v>
      </c>
      <c r="D30" s="153">
        <f>'26'!N10+'26'!N11</f>
        <v>104860</v>
      </c>
      <c r="E30" s="153">
        <f>'26'!N13</f>
        <v>54300</v>
      </c>
      <c r="F30" s="153">
        <f>'26'!N16</f>
        <v>49740</v>
      </c>
      <c r="G30" s="23">
        <v>0</v>
      </c>
      <c r="H30" s="23">
        <v>0</v>
      </c>
      <c r="I30" s="23">
        <v>0</v>
      </c>
      <c r="J30" s="153">
        <f>'26'!N28</f>
        <v>4000</v>
      </c>
      <c r="K30" s="23">
        <v>0</v>
      </c>
      <c r="L30" s="154">
        <f t="shared" si="0"/>
        <v>724410</v>
      </c>
    </row>
    <row r="31" spans="1:15" ht="15.95" customHeight="1">
      <c r="A31" s="155">
        <v>20030004</v>
      </c>
      <c r="B31" s="23" t="s">
        <v>813</v>
      </c>
      <c r="C31" s="153">
        <f>'27'!N9</f>
        <v>620920</v>
      </c>
      <c r="D31" s="153">
        <f>'27'!N10+'27'!N11</f>
        <v>125850</v>
      </c>
      <c r="E31" s="153">
        <f>'27'!N13</f>
        <v>66090</v>
      </c>
      <c r="F31" s="153">
        <f>'27'!N16</f>
        <v>57040</v>
      </c>
      <c r="G31" s="23">
        <v>0</v>
      </c>
      <c r="H31" s="23">
        <v>0</v>
      </c>
      <c r="I31" s="23">
        <v>0</v>
      </c>
      <c r="J31" s="153">
        <f>'27'!N28</f>
        <v>15000</v>
      </c>
      <c r="K31" s="23">
        <v>0</v>
      </c>
      <c r="L31" s="154">
        <f t="shared" si="0"/>
        <v>884900</v>
      </c>
    </row>
    <row r="32" spans="1:15" ht="15.95" customHeight="1">
      <c r="A32" s="155">
        <v>20030005</v>
      </c>
      <c r="B32" s="546" t="s">
        <v>814</v>
      </c>
      <c r="C32" s="153">
        <f>'28'!N9</f>
        <v>732290</v>
      </c>
      <c r="D32" s="153">
        <f>'28'!N10+'28'!N11</f>
        <v>155600</v>
      </c>
      <c r="E32" s="153">
        <f>'28'!N13</f>
        <v>78060</v>
      </c>
      <c r="F32" s="153">
        <f>'28'!N16</f>
        <v>68490</v>
      </c>
      <c r="G32" s="23">
        <v>0</v>
      </c>
      <c r="H32" s="23">
        <v>0</v>
      </c>
      <c r="I32" s="23">
        <v>0</v>
      </c>
      <c r="J32" s="153">
        <f>'28'!N28</f>
        <v>18000</v>
      </c>
      <c r="K32" s="23">
        <v>0</v>
      </c>
      <c r="L32" s="154">
        <f t="shared" si="0"/>
        <v>1052440</v>
      </c>
    </row>
    <row r="33" spans="1:12" ht="15.95" customHeight="1">
      <c r="A33" s="155">
        <v>20030006</v>
      </c>
      <c r="B33" s="23" t="s">
        <v>815</v>
      </c>
      <c r="C33" s="153">
        <f>'29'!N9</f>
        <v>267000</v>
      </c>
      <c r="D33" s="153">
        <f>'29'!N10+'29'!N11</f>
        <v>70470</v>
      </c>
      <c r="E33" s="153">
        <f>'29'!N13</f>
        <v>28520</v>
      </c>
      <c r="F33" s="153">
        <f>'29'!N16</f>
        <v>38600</v>
      </c>
      <c r="G33" s="23">
        <v>0</v>
      </c>
      <c r="H33" s="23">
        <v>0</v>
      </c>
      <c r="I33" s="23">
        <v>0</v>
      </c>
      <c r="J33" s="153">
        <f>'29'!N28</f>
        <v>2000</v>
      </c>
      <c r="K33" s="23">
        <v>0</v>
      </c>
      <c r="L33" s="154">
        <f t="shared" si="0"/>
        <v>406590</v>
      </c>
    </row>
    <row r="34" spans="1:12" ht="15.95" customHeight="1">
      <c r="A34" s="155">
        <v>20030007</v>
      </c>
      <c r="B34" s="23" t="s">
        <v>816</v>
      </c>
      <c r="C34" s="153">
        <f>'30'!N9</f>
        <v>436210</v>
      </c>
      <c r="D34" s="153">
        <f>'30'!N10+'30'!N11</f>
        <v>103540</v>
      </c>
      <c r="E34" s="153">
        <f>'30'!N13</f>
        <v>46450</v>
      </c>
      <c r="F34" s="153">
        <f>'30'!N16</f>
        <v>55240</v>
      </c>
      <c r="G34" s="23">
        <v>0</v>
      </c>
      <c r="H34" s="23">
        <v>0</v>
      </c>
      <c r="I34" s="23">
        <v>0</v>
      </c>
      <c r="J34" s="153">
        <f>'30'!N28</f>
        <v>3000</v>
      </c>
      <c r="K34" s="23">
        <v>0</v>
      </c>
      <c r="L34" s="154">
        <f t="shared" si="0"/>
        <v>644440</v>
      </c>
    </row>
    <row r="35" spans="1:12" ht="15.95" customHeight="1">
      <c r="A35" s="155">
        <v>21010001</v>
      </c>
      <c r="B35" s="23" t="s">
        <v>752</v>
      </c>
      <c r="C35" s="153">
        <f>'31'!N9</f>
        <v>185510</v>
      </c>
      <c r="D35" s="153">
        <f>'31'!N10+'31'!N11</f>
        <v>46230</v>
      </c>
      <c r="E35" s="153">
        <f>'31'!N13</f>
        <v>19950</v>
      </c>
      <c r="F35" s="153">
        <f>'31'!N16</f>
        <v>44100</v>
      </c>
      <c r="G35" s="153">
        <f>'31'!N28</f>
        <v>1100000</v>
      </c>
      <c r="H35" s="23">
        <v>0</v>
      </c>
      <c r="I35" s="23">
        <v>0</v>
      </c>
      <c r="J35" s="153">
        <f>'31'!N31</f>
        <v>3000</v>
      </c>
      <c r="K35" s="23">
        <v>0</v>
      </c>
      <c r="L35" s="154">
        <f t="shared" si="0"/>
        <v>1398790</v>
      </c>
    </row>
    <row r="36" spans="1:12" ht="15.95" customHeight="1">
      <c r="A36" s="155">
        <v>22010001</v>
      </c>
      <c r="B36" s="23" t="s">
        <v>766</v>
      </c>
      <c r="C36" s="153">
        <f>'32'!N9</f>
        <v>83090</v>
      </c>
      <c r="D36" s="153">
        <f>'32'!N10+'32'!N11</f>
        <v>21750</v>
      </c>
      <c r="E36" s="153">
        <f>'32'!N13</f>
        <v>8580</v>
      </c>
      <c r="F36" s="153">
        <f>'32'!N16</f>
        <v>24120</v>
      </c>
      <c r="G36" s="23">
        <v>0</v>
      </c>
      <c r="H36" s="23">
        <v>0</v>
      </c>
      <c r="I36" s="23">
        <v>0</v>
      </c>
      <c r="J36" s="153">
        <f>'32'!N28</f>
        <v>2500</v>
      </c>
      <c r="K36" s="23">
        <v>0</v>
      </c>
      <c r="L36" s="154">
        <f t="shared" si="0"/>
        <v>140040</v>
      </c>
    </row>
    <row r="37" spans="1:12" ht="15.95" customHeight="1">
      <c r="A37" s="155">
        <v>23010001</v>
      </c>
      <c r="B37" s="23" t="s">
        <v>764</v>
      </c>
      <c r="C37" s="153">
        <f>'33'!N9</f>
        <v>207650</v>
      </c>
      <c r="D37" s="153">
        <f>'33'!N10+'33'!N11</f>
        <v>45800</v>
      </c>
      <c r="E37" s="153">
        <f>'33'!N13</f>
        <v>22040</v>
      </c>
      <c r="F37" s="153">
        <f>'33'!N16</f>
        <v>45300</v>
      </c>
      <c r="G37" s="153">
        <f>'33'!N28</f>
        <v>150000</v>
      </c>
      <c r="H37" s="23">
        <v>0</v>
      </c>
      <c r="I37" s="23">
        <v>0</v>
      </c>
      <c r="J37" s="153">
        <f>'33'!N32</f>
        <v>5000</v>
      </c>
      <c r="K37" s="23">
        <v>0</v>
      </c>
      <c r="L37" s="154">
        <f t="shared" si="0"/>
        <v>475790</v>
      </c>
    </row>
    <row r="38" spans="1:12" ht="15.95" customHeight="1">
      <c r="A38" s="155">
        <v>24010001</v>
      </c>
      <c r="B38" s="23" t="s">
        <v>211</v>
      </c>
      <c r="C38" s="153">
        <f>'34'!N9</f>
        <v>469140</v>
      </c>
      <c r="D38" s="153">
        <f>'34'!N10+'34'!N11</f>
        <v>70240</v>
      </c>
      <c r="E38" s="153">
        <f>'34'!N13</f>
        <v>49670</v>
      </c>
      <c r="F38" s="153">
        <f>'34'!N16</f>
        <v>95300</v>
      </c>
      <c r="G38" s="23">
        <v>0</v>
      </c>
      <c r="H38" s="23">
        <v>0</v>
      </c>
      <c r="I38" s="23">
        <v>0</v>
      </c>
      <c r="J38" s="153">
        <f>'34'!N28</f>
        <v>4900</v>
      </c>
      <c r="K38" s="23">
        <v>0</v>
      </c>
      <c r="L38" s="154">
        <f t="shared" si="0"/>
        <v>689250</v>
      </c>
    </row>
    <row r="39" spans="1:12" ht="15.95" customHeight="1">
      <c r="A39" s="155">
        <v>26010001</v>
      </c>
      <c r="B39" s="23" t="s">
        <v>212</v>
      </c>
      <c r="C39" s="153">
        <f>'35'!N9</f>
        <v>59200</v>
      </c>
      <c r="D39" s="153">
        <f>'35'!N10+'35'!N11</f>
        <v>8700</v>
      </c>
      <c r="E39" s="153">
        <f>'35'!N13</f>
        <v>6320</v>
      </c>
      <c r="F39" s="153">
        <f>'35'!N16</f>
        <v>11200</v>
      </c>
      <c r="G39" s="153">
        <v>0</v>
      </c>
      <c r="H39" s="23">
        <v>0</v>
      </c>
      <c r="I39" s="23">
        <v>0</v>
      </c>
      <c r="J39" s="153">
        <f>'35'!N28</f>
        <v>500</v>
      </c>
      <c r="K39" s="23">
        <v>0</v>
      </c>
      <c r="L39" s="154">
        <f t="shared" si="0"/>
        <v>85920</v>
      </c>
    </row>
    <row r="40" spans="1:12" ht="15.95" customHeight="1">
      <c r="A40" s="155">
        <v>27010001</v>
      </c>
      <c r="B40" s="23" t="s">
        <v>772</v>
      </c>
      <c r="C40" s="153">
        <f>'36'!N9</f>
        <v>422300</v>
      </c>
      <c r="D40" s="153">
        <f>'36'!N10+'36'!N11</f>
        <v>61270</v>
      </c>
      <c r="E40" s="153">
        <f>'36'!N13</f>
        <v>44740</v>
      </c>
      <c r="F40" s="153">
        <f>'36'!N16</f>
        <v>87810</v>
      </c>
      <c r="G40" s="23">
        <v>0</v>
      </c>
      <c r="H40" s="23">
        <v>0</v>
      </c>
      <c r="I40" s="23">
        <v>0</v>
      </c>
      <c r="J40" s="153">
        <f>'36'!N28</f>
        <v>3000</v>
      </c>
      <c r="K40" s="23">
        <v>0</v>
      </c>
      <c r="L40" s="154">
        <f t="shared" si="0"/>
        <v>619120</v>
      </c>
    </row>
    <row r="41" spans="1:12" ht="15.95" customHeight="1">
      <c r="A41" s="155">
        <v>28010001</v>
      </c>
      <c r="B41" s="23" t="s">
        <v>213</v>
      </c>
      <c r="C41" s="153">
        <f>'37'!N9</f>
        <v>352240</v>
      </c>
      <c r="D41" s="153">
        <f>'37'!N10+'37'!N11</f>
        <v>57820</v>
      </c>
      <c r="E41" s="153">
        <f>'37'!N13</f>
        <v>37650</v>
      </c>
      <c r="F41" s="153">
        <f>'37'!N16</f>
        <v>30120</v>
      </c>
      <c r="G41" s="153">
        <v>0</v>
      </c>
      <c r="H41" s="23">
        <v>0</v>
      </c>
      <c r="I41" s="23">
        <v>0</v>
      </c>
      <c r="J41" s="153">
        <f>'37'!N28</f>
        <v>2000</v>
      </c>
      <c r="K41" s="23">
        <v>0</v>
      </c>
      <c r="L41" s="154">
        <f t="shared" si="0"/>
        <v>479830</v>
      </c>
    </row>
    <row r="42" spans="1:12" s="45" customFormat="1" ht="15.95" customHeight="1">
      <c r="A42" s="88"/>
      <c r="B42" s="159" t="s">
        <v>354</v>
      </c>
      <c r="C42" s="160">
        <f>SUM(C5:C41)</f>
        <v>17997690</v>
      </c>
      <c r="D42" s="160">
        <f t="shared" ref="D42:K42" si="2">SUM(D5:D41)</f>
        <v>3760290</v>
      </c>
      <c r="E42" s="160">
        <f t="shared" si="2"/>
        <v>2141380</v>
      </c>
      <c r="F42" s="160">
        <f t="shared" si="2"/>
        <v>3913180</v>
      </c>
      <c r="G42" s="160">
        <f t="shared" si="2"/>
        <v>12417000</v>
      </c>
      <c r="H42" s="160">
        <f t="shared" si="2"/>
        <v>330000</v>
      </c>
      <c r="I42" s="160">
        <f t="shared" si="2"/>
        <v>44710</v>
      </c>
      <c r="J42" s="160">
        <f t="shared" si="2"/>
        <v>1959310</v>
      </c>
      <c r="K42" s="160">
        <f t="shared" si="2"/>
        <v>518280</v>
      </c>
      <c r="L42" s="160">
        <f>SUM(L5:L41)</f>
        <v>43081840</v>
      </c>
    </row>
    <row r="43" spans="1:12" ht="18" customHeight="1">
      <c r="B43" t="s">
        <v>355</v>
      </c>
      <c r="L43" s="105">
        <f>Rashodi!K9</f>
        <v>498000</v>
      </c>
    </row>
    <row r="44" spans="1:12" ht="18" customHeight="1">
      <c r="B44" t="s">
        <v>375</v>
      </c>
      <c r="L44" s="105">
        <f>Uvod!F42</f>
        <v>7010</v>
      </c>
    </row>
    <row r="45" spans="1:12" ht="18" customHeight="1">
      <c r="A45" s="156"/>
      <c r="B45" s="158" t="s">
        <v>354</v>
      </c>
      <c r="C45" s="157"/>
      <c r="D45" s="157"/>
      <c r="E45" s="157"/>
      <c r="F45" s="157"/>
      <c r="G45" s="157"/>
      <c r="H45" s="157"/>
      <c r="I45" s="157"/>
      <c r="J45" s="157"/>
      <c r="K45" s="157"/>
      <c r="L45" s="163">
        <f>L42+L43+L44</f>
        <v>43586850</v>
      </c>
    </row>
  </sheetData>
  <mergeCells count="1">
    <mergeCell ref="A2:L2"/>
  </mergeCells>
  <phoneticPr fontId="0" type="noConversion"/>
  <pageMargins left="0.9055118110236221" right="0.31496062992125984" top="0.35433070866141736" bottom="0.51181102362204722" header="0.39370078740157483" footer="0.31496062992125984"/>
  <pageSetup paperSize="9" scale="67" orientation="landscape" r:id="rId1"/>
  <headerFooter alignWithMargins="0">
    <oddFooter>&amp;R&amp;P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 codeName="List6"/>
  <dimension ref="A2:J119"/>
  <sheetViews>
    <sheetView zoomScaleNormal="100" zoomScaleSheetLayoutView="100" workbookViewId="0">
      <selection activeCell="M30" sqref="M30"/>
    </sheetView>
  </sheetViews>
  <sheetFormatPr defaultRowHeight="12.75"/>
  <cols>
    <col min="1" max="1" width="6.140625" style="466" customWidth="1"/>
    <col min="2" max="2" width="6.85546875" customWidth="1"/>
    <col min="3" max="3" width="11.5703125" customWidth="1"/>
    <col min="4" max="4" width="74.85546875" customWidth="1"/>
    <col min="5" max="6" width="17.7109375" customWidth="1"/>
    <col min="7" max="7" width="8.85546875" customWidth="1"/>
    <col min="9" max="10" width="10.140625" bestFit="1" customWidth="1"/>
  </cols>
  <sheetData>
    <row r="2" spans="2:10" ht="15">
      <c r="B2" s="929" t="s">
        <v>881</v>
      </c>
      <c r="C2" s="832"/>
      <c r="D2" s="832"/>
      <c r="E2" s="832"/>
      <c r="F2" s="832"/>
      <c r="G2" s="832"/>
    </row>
    <row r="3" spans="2:10" ht="15">
      <c r="B3" s="167"/>
      <c r="C3" s="169"/>
      <c r="D3" s="168"/>
      <c r="E3" s="168"/>
      <c r="F3" s="168"/>
    </row>
    <row r="4" spans="2:10">
      <c r="B4" s="170"/>
      <c r="C4" s="170"/>
      <c r="D4" s="171"/>
      <c r="E4" s="172"/>
      <c r="F4" s="172"/>
    </row>
    <row r="5" spans="2:10" ht="66" customHeight="1">
      <c r="B5" s="173" t="s">
        <v>215</v>
      </c>
      <c r="C5" s="174" t="s">
        <v>377</v>
      </c>
      <c r="D5" s="174" t="s">
        <v>378</v>
      </c>
      <c r="E5" s="175" t="s">
        <v>882</v>
      </c>
      <c r="F5" s="175" t="s">
        <v>864</v>
      </c>
      <c r="G5" s="175" t="s">
        <v>55</v>
      </c>
    </row>
    <row r="6" spans="2:10">
      <c r="B6" s="176"/>
      <c r="C6" s="177">
        <v>1</v>
      </c>
      <c r="D6" s="177">
        <v>2</v>
      </c>
      <c r="E6" s="178">
        <v>3</v>
      </c>
      <c r="F6" s="178">
        <v>4</v>
      </c>
      <c r="G6" s="293">
        <v>5</v>
      </c>
    </row>
    <row r="7" spans="2:10">
      <c r="B7" s="534">
        <v>1</v>
      </c>
      <c r="C7" s="535"/>
      <c r="D7" s="535" t="s">
        <v>54</v>
      </c>
      <c r="E7" s="536">
        <f>E8+E17+E23+E30+E40+E47+E54+E61+E68+E77</f>
        <v>43246853</v>
      </c>
      <c r="F7" s="536">
        <f>F8+F17+F23+F30+F40+F47+F54+F61+F68+F77</f>
        <v>43081840</v>
      </c>
      <c r="G7" s="537">
        <f>IF(E7=0,"",F7/E7*100)</f>
        <v>99.618439288518871</v>
      </c>
      <c r="I7" s="74"/>
      <c r="J7" s="74"/>
    </row>
    <row r="8" spans="2:10">
      <c r="B8" s="534">
        <v>2</v>
      </c>
      <c r="C8" s="538" t="s">
        <v>80</v>
      </c>
      <c r="D8" s="539" t="s">
        <v>58</v>
      </c>
      <c r="E8" s="536">
        <f>SUM(E9:E16)</f>
        <v>5318580</v>
      </c>
      <c r="F8" s="536">
        <f>SUM(F9:F16)</f>
        <v>4925080</v>
      </c>
      <c r="G8" s="540">
        <f>IF(E8=0,"",F8/E8*100)</f>
        <v>92.601408646668844</v>
      </c>
      <c r="I8" s="74"/>
    </row>
    <row r="9" spans="2:10" ht="14.1" customHeight="1">
      <c r="B9" s="176">
        <v>3</v>
      </c>
      <c r="C9" s="179" t="s">
        <v>379</v>
      </c>
      <c r="D9" s="180" t="s">
        <v>59</v>
      </c>
      <c r="E9" s="150">
        <f>'1'!J33+'3'!J55-'3'!J8+'4 (S)'!J36+'5'!J33+'6'!J33+'7'!J33+'4 (N)'!J36+'16'!J54-'16'!J8</f>
        <v>4484840</v>
      </c>
      <c r="F9" s="150">
        <f>'1'!N33+'3'!N55-'3'!N8+'4 (S)'!N36+'5'!N33+'6'!N33+'7'!N33+'4 (N)'!N36+'16'!N54-'16'!N8</f>
        <v>4152270</v>
      </c>
      <c r="G9" s="181">
        <f>IF(E9=0,"",F9/E9*100)</f>
        <v>92.584573808653147</v>
      </c>
      <c r="J9" s="74"/>
    </row>
    <row r="10" spans="2:10" ht="14.1" customHeight="1">
      <c r="B10" s="176">
        <v>4</v>
      </c>
      <c r="C10" s="179" t="s">
        <v>380</v>
      </c>
      <c r="D10" s="180" t="s">
        <v>381</v>
      </c>
      <c r="E10" s="150">
        <v>0</v>
      </c>
      <c r="F10" s="150">
        <v>0</v>
      </c>
      <c r="G10" s="181" t="str">
        <f t="shared" ref="G10:G73" si="0">IF(E10=0,"",F10/E10*100)</f>
        <v/>
      </c>
    </row>
    <row r="11" spans="2:10" ht="14.1" customHeight="1">
      <c r="B11" s="176">
        <v>5</v>
      </c>
      <c r="C11" s="179" t="s">
        <v>382</v>
      </c>
      <c r="D11" s="180" t="s">
        <v>383</v>
      </c>
      <c r="E11" s="150">
        <f>'8'!J33</f>
        <v>833740</v>
      </c>
      <c r="F11" s="150">
        <f>'8'!N33</f>
        <v>772810</v>
      </c>
      <c r="G11" s="181">
        <f t="shared" si="0"/>
        <v>92.691966320435625</v>
      </c>
    </row>
    <row r="12" spans="2:10" ht="14.1" customHeight="1">
      <c r="B12" s="176">
        <v>6</v>
      </c>
      <c r="C12" s="179" t="s">
        <v>384</v>
      </c>
      <c r="D12" s="180" t="s">
        <v>385</v>
      </c>
      <c r="E12" s="150">
        <v>0</v>
      </c>
      <c r="F12" s="150">
        <v>0</v>
      </c>
      <c r="G12" s="181" t="str">
        <f t="shared" si="0"/>
        <v/>
      </c>
    </row>
    <row r="13" spans="2:10" ht="14.1" customHeight="1">
      <c r="B13" s="176">
        <v>7</v>
      </c>
      <c r="C13" s="179" t="s">
        <v>386</v>
      </c>
      <c r="D13" s="180" t="s">
        <v>387</v>
      </c>
      <c r="E13" s="150">
        <v>0</v>
      </c>
      <c r="F13" s="150">
        <v>0</v>
      </c>
      <c r="G13" s="181" t="str">
        <f t="shared" si="0"/>
        <v/>
      </c>
    </row>
    <row r="14" spans="2:10" ht="14.1" customHeight="1">
      <c r="B14" s="176">
        <v>8</v>
      </c>
      <c r="C14" s="179" t="s">
        <v>388</v>
      </c>
      <c r="D14" s="180" t="s">
        <v>389</v>
      </c>
      <c r="E14" s="150">
        <v>0</v>
      </c>
      <c r="F14" s="150">
        <v>0</v>
      </c>
      <c r="G14" s="181" t="str">
        <f t="shared" si="0"/>
        <v/>
      </c>
    </row>
    <row r="15" spans="2:10" ht="14.1" customHeight="1">
      <c r="B15" s="176">
        <v>9</v>
      </c>
      <c r="C15" s="179" t="s">
        <v>390</v>
      </c>
      <c r="D15" s="180" t="s">
        <v>391</v>
      </c>
      <c r="E15" s="150">
        <v>0</v>
      </c>
      <c r="F15" s="150">
        <v>0</v>
      </c>
      <c r="G15" s="181" t="str">
        <f t="shared" si="0"/>
        <v/>
      </c>
    </row>
    <row r="16" spans="2:10" ht="14.1" customHeight="1">
      <c r="B16" s="176">
        <v>10</v>
      </c>
      <c r="C16" s="179" t="s">
        <v>392</v>
      </c>
      <c r="D16" s="180" t="s">
        <v>60</v>
      </c>
      <c r="E16" s="150">
        <v>0</v>
      </c>
      <c r="F16" s="150">
        <v>0</v>
      </c>
      <c r="G16" s="181" t="str">
        <f t="shared" si="0"/>
        <v/>
      </c>
    </row>
    <row r="17" spans="2:7" ht="14.1" customHeight="1">
      <c r="B17" s="534">
        <v>11</v>
      </c>
      <c r="C17" s="538" t="s">
        <v>124</v>
      </c>
      <c r="D17" s="539" t="s">
        <v>61</v>
      </c>
      <c r="E17" s="536">
        <f>SUM(E18:E22)</f>
        <v>0</v>
      </c>
      <c r="F17" s="536">
        <f>SUM(F18:F22)</f>
        <v>0</v>
      </c>
      <c r="G17" s="540" t="str">
        <f t="shared" si="0"/>
        <v/>
      </c>
    </row>
    <row r="18" spans="2:7" ht="14.1" customHeight="1">
      <c r="B18" s="176">
        <v>12</v>
      </c>
      <c r="C18" s="179" t="s">
        <v>393</v>
      </c>
      <c r="D18" s="180" t="s">
        <v>62</v>
      </c>
      <c r="E18" s="150">
        <v>0</v>
      </c>
      <c r="F18" s="150">
        <v>0</v>
      </c>
      <c r="G18" s="181" t="str">
        <f t="shared" si="0"/>
        <v/>
      </c>
    </row>
    <row r="19" spans="2:7" ht="14.1" customHeight="1">
      <c r="B19" s="176">
        <v>13</v>
      </c>
      <c r="C19" s="179" t="s">
        <v>394</v>
      </c>
      <c r="D19" s="180" t="s">
        <v>63</v>
      </c>
      <c r="E19" s="150">
        <v>0</v>
      </c>
      <c r="F19" s="150">
        <v>0</v>
      </c>
      <c r="G19" s="181" t="str">
        <f t="shared" si="0"/>
        <v/>
      </c>
    </row>
    <row r="20" spans="2:7" ht="14.1" customHeight="1">
      <c r="B20" s="176">
        <v>14</v>
      </c>
      <c r="C20" s="179" t="s">
        <v>395</v>
      </c>
      <c r="D20" s="180" t="s">
        <v>64</v>
      </c>
      <c r="E20" s="150">
        <v>0</v>
      </c>
      <c r="F20" s="150">
        <v>0</v>
      </c>
      <c r="G20" s="181" t="str">
        <f t="shared" si="0"/>
        <v/>
      </c>
    </row>
    <row r="21" spans="2:7" ht="14.1" customHeight="1">
      <c r="B21" s="176">
        <v>15</v>
      </c>
      <c r="C21" s="179" t="s">
        <v>396</v>
      </c>
      <c r="D21" s="180" t="s">
        <v>65</v>
      </c>
      <c r="E21" s="150">
        <v>0</v>
      </c>
      <c r="F21" s="150">
        <v>0</v>
      </c>
      <c r="G21" s="181" t="str">
        <f t="shared" si="0"/>
        <v/>
      </c>
    </row>
    <row r="22" spans="2:7" ht="14.1" customHeight="1">
      <c r="B22" s="176">
        <v>16</v>
      </c>
      <c r="C22" s="179" t="s">
        <v>397</v>
      </c>
      <c r="D22" s="180" t="s">
        <v>66</v>
      </c>
      <c r="E22" s="150">
        <v>0</v>
      </c>
      <c r="F22" s="150">
        <v>0</v>
      </c>
      <c r="G22" s="181" t="str">
        <f t="shared" si="0"/>
        <v/>
      </c>
    </row>
    <row r="23" spans="2:7" ht="14.1" customHeight="1">
      <c r="B23" s="534">
        <v>17</v>
      </c>
      <c r="C23" s="538" t="s">
        <v>132</v>
      </c>
      <c r="D23" s="539" t="s">
        <v>529</v>
      </c>
      <c r="E23" s="536">
        <f>SUM(E24:E29)</f>
        <v>10896210</v>
      </c>
      <c r="F23" s="536">
        <f>SUM(F24:F29)</f>
        <v>10592570</v>
      </c>
      <c r="G23" s="540">
        <f t="shared" si="0"/>
        <v>97.213342988066501</v>
      </c>
    </row>
    <row r="24" spans="2:7" ht="14.1" customHeight="1">
      <c r="B24" s="176">
        <v>18</v>
      </c>
      <c r="C24" s="179" t="s">
        <v>398</v>
      </c>
      <c r="D24" s="180" t="s">
        <v>399</v>
      </c>
      <c r="E24" s="150">
        <f>'9'!J33</f>
        <v>6936070</v>
      </c>
      <c r="F24" s="150">
        <f>'9'!N33</f>
        <v>6776320</v>
      </c>
      <c r="G24" s="181">
        <f t="shared" si="0"/>
        <v>97.696822552252215</v>
      </c>
    </row>
    <row r="25" spans="2:7" ht="14.1" customHeight="1">
      <c r="B25" s="176">
        <v>19</v>
      </c>
      <c r="C25" s="179" t="s">
        <v>400</v>
      </c>
      <c r="D25" s="180" t="s">
        <v>530</v>
      </c>
      <c r="E25" s="150">
        <f>'33'!J37</f>
        <v>577600</v>
      </c>
      <c r="F25" s="150">
        <f>'33'!N37</f>
        <v>475790</v>
      </c>
      <c r="G25" s="181">
        <f t="shared" si="0"/>
        <v>82.373614958448755</v>
      </c>
    </row>
    <row r="26" spans="2:7" ht="14.1" customHeight="1">
      <c r="B26" s="176">
        <v>20</v>
      </c>
      <c r="C26" s="179" t="s">
        <v>401</v>
      </c>
      <c r="D26" s="180" t="s">
        <v>402</v>
      </c>
      <c r="E26" s="150">
        <f>'11'!J34+'12'!J33+'13'!J33+'14'!J33+'34'!J33+'35'!J33+'36'!J33</f>
        <v>3164000</v>
      </c>
      <c r="F26" s="150">
        <f>'11'!N34+'12'!N33+'13'!N33+'14'!N33+'34'!N33+'35'!N33+'36'!N33</f>
        <v>3089570</v>
      </c>
      <c r="G26" s="181">
        <f t="shared" si="0"/>
        <v>97.64759797724399</v>
      </c>
    </row>
    <row r="27" spans="2:7" ht="14.1" customHeight="1">
      <c r="B27" s="176">
        <v>21</v>
      </c>
      <c r="C27" s="179" t="s">
        <v>403</v>
      </c>
      <c r="D27" s="180" t="s">
        <v>404</v>
      </c>
      <c r="E27" s="150">
        <v>0</v>
      </c>
      <c r="F27" s="150">
        <v>0</v>
      </c>
      <c r="G27" s="181" t="str">
        <f t="shared" si="0"/>
        <v/>
      </c>
    </row>
    <row r="28" spans="2:7" ht="14.1" customHeight="1">
      <c r="B28" s="176">
        <v>22</v>
      </c>
      <c r="C28" s="179" t="s">
        <v>405</v>
      </c>
      <c r="D28" s="180" t="s">
        <v>406</v>
      </c>
      <c r="E28" s="150">
        <v>0</v>
      </c>
      <c r="F28" s="150">
        <v>0</v>
      </c>
      <c r="G28" s="181" t="str">
        <f t="shared" si="0"/>
        <v/>
      </c>
    </row>
    <row r="29" spans="2:7" ht="14.1" customHeight="1">
      <c r="B29" s="176">
        <v>23</v>
      </c>
      <c r="C29" s="179" t="s">
        <v>407</v>
      </c>
      <c r="D29" s="180" t="s">
        <v>408</v>
      </c>
      <c r="E29" s="150">
        <f>'10'!J35</f>
        <v>218540</v>
      </c>
      <c r="F29" s="150">
        <f>'10'!N35</f>
        <v>250890</v>
      </c>
      <c r="G29" s="181">
        <f t="shared" si="0"/>
        <v>114.80278209938683</v>
      </c>
    </row>
    <row r="30" spans="2:7" ht="14.1" customHeight="1">
      <c r="B30" s="534">
        <v>24</v>
      </c>
      <c r="C30" s="538" t="s">
        <v>409</v>
      </c>
      <c r="D30" s="539" t="s">
        <v>410</v>
      </c>
      <c r="E30" s="536">
        <f>SUM(E31:E39)</f>
        <v>7305810</v>
      </c>
      <c r="F30" s="536">
        <f>SUM(F31:F39)</f>
        <v>8254090</v>
      </c>
      <c r="G30" s="540">
        <f t="shared" si="0"/>
        <v>112.97980648278563</v>
      </c>
    </row>
    <row r="31" spans="2:7" ht="14.1" customHeight="1">
      <c r="B31" s="176">
        <v>25</v>
      </c>
      <c r="C31" s="179" t="s">
        <v>411</v>
      </c>
      <c r="D31" s="180" t="s">
        <v>412</v>
      </c>
      <c r="E31" s="150">
        <v>0</v>
      </c>
      <c r="F31" s="150">
        <v>0</v>
      </c>
      <c r="G31" s="181" t="str">
        <f t="shared" si="0"/>
        <v/>
      </c>
    </row>
    <row r="32" spans="2:7" ht="14.1" customHeight="1">
      <c r="B32" s="176">
        <v>26</v>
      </c>
      <c r="C32" s="179" t="s">
        <v>413</v>
      </c>
      <c r="D32" s="180" t="s">
        <v>414</v>
      </c>
      <c r="E32" s="150">
        <f>'19'!J43</f>
        <v>2586310</v>
      </c>
      <c r="F32" s="150">
        <f>'19'!N43</f>
        <v>2339540</v>
      </c>
      <c r="G32" s="181">
        <f t="shared" si="0"/>
        <v>90.458607050198935</v>
      </c>
    </row>
    <row r="33" spans="2:7" ht="14.1" customHeight="1">
      <c r="B33" s="176">
        <v>27</v>
      </c>
      <c r="C33" s="179" t="s">
        <v>415</v>
      </c>
      <c r="D33" s="180" t="s">
        <v>416</v>
      </c>
      <c r="E33" s="150">
        <v>0</v>
      </c>
      <c r="F33" s="150">
        <v>0</v>
      </c>
      <c r="G33" s="181" t="str">
        <f t="shared" si="0"/>
        <v/>
      </c>
    </row>
    <row r="34" spans="2:7" ht="14.1" customHeight="1">
      <c r="B34" s="176">
        <v>28</v>
      </c>
      <c r="C34" s="179" t="s">
        <v>417</v>
      </c>
      <c r="D34" s="180" t="s">
        <v>418</v>
      </c>
      <c r="E34" s="150">
        <v>0</v>
      </c>
      <c r="F34" s="150">
        <v>0</v>
      </c>
      <c r="G34" s="181" t="str">
        <f t="shared" si="0"/>
        <v/>
      </c>
    </row>
    <row r="35" spans="2:7" ht="14.1" customHeight="1">
      <c r="B35" s="176">
        <v>29</v>
      </c>
      <c r="C35" s="179" t="s">
        <v>419</v>
      </c>
      <c r="D35" s="180" t="s">
        <v>67</v>
      </c>
      <c r="E35" s="150">
        <v>0</v>
      </c>
      <c r="F35" s="150">
        <v>0</v>
      </c>
      <c r="G35" s="181" t="str">
        <f t="shared" si="0"/>
        <v/>
      </c>
    </row>
    <row r="36" spans="2:7" ht="14.1" customHeight="1">
      <c r="B36" s="176">
        <v>30</v>
      </c>
      <c r="C36" s="179" t="s">
        <v>420</v>
      </c>
      <c r="D36" s="180" t="s">
        <v>421</v>
      </c>
      <c r="E36" s="150">
        <v>0</v>
      </c>
      <c r="F36" s="150">
        <v>0</v>
      </c>
      <c r="G36" s="181" t="str">
        <f t="shared" si="0"/>
        <v/>
      </c>
    </row>
    <row r="37" spans="2:7" ht="14.1" customHeight="1">
      <c r="B37" s="176">
        <v>31</v>
      </c>
      <c r="C37" s="179" t="s">
        <v>422</v>
      </c>
      <c r="D37" s="180" t="s">
        <v>423</v>
      </c>
      <c r="E37" s="150">
        <v>0</v>
      </c>
      <c r="F37" s="150">
        <v>0</v>
      </c>
      <c r="G37" s="181" t="str">
        <f t="shared" si="0"/>
        <v/>
      </c>
    </row>
    <row r="38" spans="2:7" ht="14.1" customHeight="1">
      <c r="B38" s="176">
        <v>32</v>
      </c>
      <c r="C38" s="179" t="s">
        <v>424</v>
      </c>
      <c r="D38" s="180" t="s">
        <v>425</v>
      </c>
      <c r="E38" s="150">
        <v>0</v>
      </c>
      <c r="F38" s="150">
        <v>0</v>
      </c>
      <c r="G38" s="181" t="str">
        <f t="shared" si="0"/>
        <v/>
      </c>
    </row>
    <row r="39" spans="2:7" ht="14.1" customHeight="1">
      <c r="B39" s="176">
        <v>33</v>
      </c>
      <c r="C39" s="179" t="s">
        <v>426</v>
      </c>
      <c r="D39" s="180" t="s">
        <v>427</v>
      </c>
      <c r="E39" s="150">
        <f>'15'!J41+'18'!J41+'32'!J33+'37'!J33</f>
        <v>4719500</v>
      </c>
      <c r="F39" s="150">
        <f>'15'!N41+'18'!N41+'32'!N33+'37'!N33</f>
        <v>5914550</v>
      </c>
      <c r="G39" s="181">
        <f t="shared" si="0"/>
        <v>125.32153829854857</v>
      </c>
    </row>
    <row r="40" spans="2:7" ht="14.1" customHeight="1">
      <c r="B40" s="534">
        <v>34</v>
      </c>
      <c r="C40" s="538" t="s">
        <v>125</v>
      </c>
      <c r="D40" s="539" t="s">
        <v>428</v>
      </c>
      <c r="E40" s="536">
        <f>SUM(E41:E46)</f>
        <v>0</v>
      </c>
      <c r="F40" s="536">
        <f>SUM(F41:F46)</f>
        <v>0</v>
      </c>
      <c r="G40" s="540" t="str">
        <f t="shared" si="0"/>
        <v/>
      </c>
    </row>
    <row r="41" spans="2:7" ht="14.1" customHeight="1">
      <c r="B41" s="176">
        <v>35</v>
      </c>
      <c r="C41" s="179" t="s">
        <v>429</v>
      </c>
      <c r="D41" s="180" t="s">
        <v>430</v>
      </c>
      <c r="E41" s="150">
        <v>0</v>
      </c>
      <c r="F41" s="150">
        <v>0</v>
      </c>
      <c r="G41" s="181" t="str">
        <f t="shared" si="0"/>
        <v/>
      </c>
    </row>
    <row r="42" spans="2:7" ht="14.1" customHeight="1">
      <c r="B42" s="176">
        <v>36</v>
      </c>
      <c r="C42" s="179" t="s">
        <v>431</v>
      </c>
      <c r="D42" s="180" t="s">
        <v>432</v>
      </c>
      <c r="E42" s="150">
        <v>0</v>
      </c>
      <c r="F42" s="150">
        <v>0</v>
      </c>
      <c r="G42" s="181" t="str">
        <f t="shared" si="0"/>
        <v/>
      </c>
    </row>
    <row r="43" spans="2:7" ht="14.1" customHeight="1">
      <c r="B43" s="176">
        <v>37</v>
      </c>
      <c r="C43" s="179" t="s">
        <v>433</v>
      </c>
      <c r="D43" s="180" t="s">
        <v>434</v>
      </c>
      <c r="E43" s="150">
        <v>0</v>
      </c>
      <c r="F43" s="150">
        <v>0</v>
      </c>
      <c r="G43" s="181" t="str">
        <f t="shared" si="0"/>
        <v/>
      </c>
    </row>
    <row r="44" spans="2:7" ht="14.1" customHeight="1">
      <c r="B44" s="176">
        <v>38</v>
      </c>
      <c r="C44" s="179" t="s">
        <v>435</v>
      </c>
      <c r="D44" s="180" t="s">
        <v>68</v>
      </c>
      <c r="E44" s="150">
        <v>0</v>
      </c>
      <c r="F44" s="150">
        <v>0</v>
      </c>
      <c r="G44" s="181" t="str">
        <f t="shared" si="0"/>
        <v/>
      </c>
    </row>
    <row r="45" spans="2:7" ht="14.1" customHeight="1">
      <c r="B45" s="176">
        <v>39</v>
      </c>
      <c r="C45" s="179" t="s">
        <v>436</v>
      </c>
      <c r="D45" s="180" t="s">
        <v>56</v>
      </c>
      <c r="E45" s="150">
        <v>0</v>
      </c>
      <c r="F45" s="150">
        <v>0</v>
      </c>
      <c r="G45" s="181" t="str">
        <f t="shared" si="0"/>
        <v/>
      </c>
    </row>
    <row r="46" spans="2:7" ht="14.1" customHeight="1">
      <c r="B46" s="176">
        <v>40</v>
      </c>
      <c r="C46" s="179" t="s">
        <v>437</v>
      </c>
      <c r="D46" s="180" t="s">
        <v>438</v>
      </c>
      <c r="E46" s="150">
        <v>0</v>
      </c>
      <c r="F46" s="150">
        <v>0</v>
      </c>
      <c r="G46" s="181" t="str">
        <f t="shared" si="0"/>
        <v/>
      </c>
    </row>
    <row r="47" spans="2:7" ht="14.1" customHeight="1">
      <c r="B47" s="534">
        <v>41</v>
      </c>
      <c r="C47" s="538" t="s">
        <v>168</v>
      </c>
      <c r="D47" s="539" t="s">
        <v>439</v>
      </c>
      <c r="E47" s="536">
        <f>SUM(E48:E53)</f>
        <v>0</v>
      </c>
      <c r="F47" s="536">
        <f>SUM(F48:F53)</f>
        <v>0</v>
      </c>
      <c r="G47" s="540" t="str">
        <f t="shared" si="0"/>
        <v/>
      </c>
    </row>
    <row r="48" spans="2:7" ht="14.1" customHeight="1">
      <c r="B48" s="176">
        <v>42</v>
      </c>
      <c r="C48" s="179" t="s">
        <v>440</v>
      </c>
      <c r="D48" s="180" t="s">
        <v>441</v>
      </c>
      <c r="E48" s="150">
        <v>0</v>
      </c>
      <c r="F48" s="150">
        <v>0</v>
      </c>
      <c r="G48" s="181" t="str">
        <f t="shared" si="0"/>
        <v/>
      </c>
    </row>
    <row r="49" spans="2:7" ht="14.1" customHeight="1">
      <c r="B49" s="176">
        <v>43</v>
      </c>
      <c r="C49" s="179" t="s">
        <v>442</v>
      </c>
      <c r="D49" s="180" t="s">
        <v>443</v>
      </c>
      <c r="E49" s="150">
        <v>0</v>
      </c>
      <c r="F49" s="150">
        <v>0</v>
      </c>
      <c r="G49" s="181" t="str">
        <f t="shared" si="0"/>
        <v/>
      </c>
    </row>
    <row r="50" spans="2:7" ht="14.1" customHeight="1">
      <c r="B50" s="176">
        <v>44</v>
      </c>
      <c r="C50" s="179" t="s">
        <v>444</v>
      </c>
      <c r="D50" s="180" t="s">
        <v>69</v>
      </c>
      <c r="E50" s="150">
        <v>0</v>
      </c>
      <c r="F50" s="150">
        <v>0</v>
      </c>
      <c r="G50" s="181" t="str">
        <f t="shared" si="0"/>
        <v/>
      </c>
    </row>
    <row r="51" spans="2:7" ht="14.1" customHeight="1">
      <c r="B51" s="176">
        <v>45</v>
      </c>
      <c r="C51" s="179" t="s">
        <v>445</v>
      </c>
      <c r="D51" s="180" t="s">
        <v>446</v>
      </c>
      <c r="E51" s="150">
        <v>0</v>
      </c>
      <c r="F51" s="150">
        <v>0</v>
      </c>
      <c r="G51" s="181" t="str">
        <f t="shared" si="0"/>
        <v/>
      </c>
    </row>
    <row r="52" spans="2:7" ht="14.1" customHeight="1">
      <c r="B52" s="176">
        <v>46</v>
      </c>
      <c r="C52" s="179" t="s">
        <v>447</v>
      </c>
      <c r="D52" s="180" t="s">
        <v>448</v>
      </c>
      <c r="E52" s="150">
        <v>0</v>
      </c>
      <c r="F52" s="150">
        <v>0</v>
      </c>
      <c r="G52" s="181" t="str">
        <f t="shared" si="0"/>
        <v/>
      </c>
    </row>
    <row r="53" spans="2:7" ht="14.1" customHeight="1">
      <c r="B53" s="176">
        <v>47</v>
      </c>
      <c r="C53" s="179" t="s">
        <v>449</v>
      </c>
      <c r="D53" s="180" t="s">
        <v>450</v>
      </c>
      <c r="E53" s="150">
        <v>0</v>
      </c>
      <c r="F53" s="150">
        <v>0</v>
      </c>
      <c r="G53" s="181" t="str">
        <f t="shared" si="0"/>
        <v/>
      </c>
    </row>
    <row r="54" spans="2:7" ht="14.1" customHeight="1">
      <c r="B54" s="534">
        <v>48</v>
      </c>
      <c r="C54" s="538" t="s">
        <v>451</v>
      </c>
      <c r="D54" s="539" t="s">
        <v>452</v>
      </c>
      <c r="E54" s="536">
        <f>SUM(E55:E60)</f>
        <v>0</v>
      </c>
      <c r="F54" s="536">
        <f>SUM(F55:F60)</f>
        <v>0</v>
      </c>
      <c r="G54" s="540" t="str">
        <f t="shared" si="0"/>
        <v/>
      </c>
    </row>
    <row r="55" spans="2:7" ht="14.1" customHeight="1">
      <c r="B55" s="176">
        <v>49</v>
      </c>
      <c r="C55" s="179" t="s">
        <v>453</v>
      </c>
      <c r="D55" s="180" t="s">
        <v>454</v>
      </c>
      <c r="E55" s="150">
        <v>0</v>
      </c>
      <c r="F55" s="150">
        <v>0</v>
      </c>
      <c r="G55" s="181" t="str">
        <f t="shared" si="0"/>
        <v/>
      </c>
    </row>
    <row r="56" spans="2:7" ht="14.1" customHeight="1">
      <c r="B56" s="176">
        <v>50</v>
      </c>
      <c r="C56" s="179" t="s">
        <v>455</v>
      </c>
      <c r="D56" s="180" t="s">
        <v>70</v>
      </c>
      <c r="E56" s="150">
        <v>0</v>
      </c>
      <c r="F56" s="150">
        <v>0</v>
      </c>
      <c r="G56" s="181" t="str">
        <f t="shared" si="0"/>
        <v/>
      </c>
    </row>
    <row r="57" spans="2:7" ht="14.1" customHeight="1">
      <c r="B57" s="176">
        <v>51</v>
      </c>
      <c r="C57" s="179" t="s">
        <v>0</v>
      </c>
      <c r="D57" s="180" t="s">
        <v>1</v>
      </c>
      <c r="E57" s="150">
        <v>0</v>
      </c>
      <c r="F57" s="150">
        <v>0</v>
      </c>
      <c r="G57" s="181" t="str">
        <f t="shared" si="0"/>
        <v/>
      </c>
    </row>
    <row r="58" spans="2:7" ht="14.1" customHeight="1">
      <c r="B58" s="176">
        <v>52</v>
      </c>
      <c r="C58" s="179" t="s">
        <v>2</v>
      </c>
      <c r="D58" s="180" t="s">
        <v>3</v>
      </c>
      <c r="E58" s="150">
        <v>0</v>
      </c>
      <c r="F58" s="150">
        <v>0</v>
      </c>
      <c r="G58" s="181" t="str">
        <f t="shared" si="0"/>
        <v/>
      </c>
    </row>
    <row r="59" spans="2:7" ht="14.1" customHeight="1">
      <c r="B59" s="176">
        <v>53</v>
      </c>
      <c r="C59" s="179" t="s">
        <v>4</v>
      </c>
      <c r="D59" s="180" t="s">
        <v>5</v>
      </c>
      <c r="E59" s="150">
        <v>0</v>
      </c>
      <c r="F59" s="150">
        <v>0</v>
      </c>
      <c r="G59" s="181" t="str">
        <f t="shared" si="0"/>
        <v/>
      </c>
    </row>
    <row r="60" spans="2:7" ht="14.1" customHeight="1">
      <c r="B60" s="176">
        <v>54</v>
      </c>
      <c r="C60" s="179" t="s">
        <v>6</v>
      </c>
      <c r="D60" s="180" t="s">
        <v>7</v>
      </c>
      <c r="E60" s="150">
        <v>0</v>
      </c>
      <c r="F60" s="150">
        <v>0</v>
      </c>
      <c r="G60" s="181" t="str">
        <f t="shared" si="0"/>
        <v/>
      </c>
    </row>
    <row r="61" spans="2:7">
      <c r="B61" s="534">
        <v>55</v>
      </c>
      <c r="C61" s="538" t="s">
        <v>8</v>
      </c>
      <c r="D61" s="539" t="s">
        <v>9</v>
      </c>
      <c r="E61" s="536">
        <f>SUM(E62:E67)</f>
        <v>730000</v>
      </c>
      <c r="F61" s="536">
        <f>SUM(F62:F67)</f>
        <v>640000</v>
      </c>
      <c r="G61" s="540">
        <f t="shared" si="0"/>
        <v>87.671232876712324</v>
      </c>
    </row>
    <row r="62" spans="2:7">
      <c r="B62" s="176">
        <v>56</v>
      </c>
      <c r="C62" s="179" t="s">
        <v>10</v>
      </c>
      <c r="D62" s="180" t="s">
        <v>699</v>
      </c>
      <c r="E62" s="150">
        <f>'20'!J39</f>
        <v>280000</v>
      </c>
      <c r="F62" s="150">
        <f>'20'!N39</f>
        <v>240000</v>
      </c>
      <c r="G62" s="182">
        <f t="shared" si="0"/>
        <v>85.714285714285708</v>
      </c>
    </row>
    <row r="63" spans="2:7">
      <c r="B63" s="176">
        <v>57</v>
      </c>
      <c r="C63" s="179" t="s">
        <v>11</v>
      </c>
      <c r="D63" s="180" t="s">
        <v>12</v>
      </c>
      <c r="E63" s="150">
        <f>'20'!J40</f>
        <v>100000</v>
      </c>
      <c r="F63" s="150">
        <f>'20'!N40</f>
        <v>80000</v>
      </c>
      <c r="G63" s="182">
        <f t="shared" si="0"/>
        <v>80</v>
      </c>
    </row>
    <row r="64" spans="2:7">
      <c r="B64" s="176">
        <v>58</v>
      </c>
      <c r="C64" s="179" t="s">
        <v>13</v>
      </c>
      <c r="D64" s="180" t="s">
        <v>71</v>
      </c>
      <c r="E64" s="150">
        <f>'20'!J37</f>
        <v>100000</v>
      </c>
      <c r="F64" s="150">
        <f>'20'!N37</f>
        <v>100000</v>
      </c>
      <c r="G64" s="182">
        <f t="shared" si="0"/>
        <v>100</v>
      </c>
    </row>
    <row r="65" spans="2:7">
      <c r="B65" s="176">
        <v>59</v>
      </c>
      <c r="C65" s="179" t="s">
        <v>14</v>
      </c>
      <c r="D65" s="180" t="s">
        <v>57</v>
      </c>
      <c r="E65" s="150">
        <f>'20'!J38</f>
        <v>250000</v>
      </c>
      <c r="F65" s="150">
        <f>'20'!N38</f>
        <v>220000</v>
      </c>
      <c r="G65" s="182">
        <f t="shared" si="0"/>
        <v>88</v>
      </c>
    </row>
    <row r="66" spans="2:7">
      <c r="B66" s="176">
        <v>60</v>
      </c>
      <c r="C66" s="179" t="s">
        <v>15</v>
      </c>
      <c r="D66" s="180" t="s">
        <v>16</v>
      </c>
      <c r="E66" s="150">
        <v>0</v>
      </c>
      <c r="F66" s="150">
        <v>0</v>
      </c>
      <c r="G66" s="182" t="str">
        <f t="shared" si="0"/>
        <v/>
      </c>
    </row>
    <row r="67" spans="2:7">
      <c r="B67" s="176">
        <v>61</v>
      </c>
      <c r="C67" s="179" t="s">
        <v>17</v>
      </c>
      <c r="D67" s="180" t="s">
        <v>18</v>
      </c>
      <c r="E67" s="150">
        <v>0</v>
      </c>
      <c r="F67" s="150">
        <v>0</v>
      </c>
      <c r="G67" s="182" t="str">
        <f t="shared" si="0"/>
        <v/>
      </c>
    </row>
    <row r="68" spans="2:7">
      <c r="B68" s="534">
        <v>62</v>
      </c>
      <c r="C68" s="538" t="s">
        <v>19</v>
      </c>
      <c r="D68" s="539" t="s">
        <v>20</v>
      </c>
      <c r="E68" s="536">
        <f>SUM(E69:E76)</f>
        <v>13075443</v>
      </c>
      <c r="F68" s="536">
        <f>SUM(F69:F76)</f>
        <v>12751920</v>
      </c>
      <c r="G68" s="540">
        <f t="shared" si="0"/>
        <v>97.525720543464573</v>
      </c>
    </row>
    <row r="69" spans="2:7">
      <c r="B69" s="176">
        <v>63</v>
      </c>
      <c r="C69" s="179" t="s">
        <v>21</v>
      </c>
      <c r="D69" s="180" t="s">
        <v>22</v>
      </c>
      <c r="E69" s="150">
        <f>10000+'24'!J33+'25'!J33+'26'!J33+'27'!J33+'28'!J33+'29'!J33+'30'!J33</f>
        <v>7890330</v>
      </c>
      <c r="F69" s="150">
        <f>'24'!N33+'25'!N33+'26'!N33+'27'!N33+'28'!N33+'29'!N33+'30'!N33+10000</f>
        <v>7635270</v>
      </c>
      <c r="G69" s="182">
        <f t="shared" si="0"/>
        <v>96.767435582542177</v>
      </c>
    </row>
    <row r="70" spans="2:7">
      <c r="B70" s="176">
        <v>64</v>
      </c>
      <c r="C70" s="179" t="s">
        <v>23</v>
      </c>
      <c r="D70" s="180" t="s">
        <v>24</v>
      </c>
      <c r="E70" s="150">
        <f>5000+'21'!J33+'22'!J33+'23'!J33</f>
        <v>3843800</v>
      </c>
      <c r="F70" s="150">
        <f>'21'!N33+'22'!N33+'23'!N33+5000</f>
        <v>3678640</v>
      </c>
      <c r="G70" s="182">
        <f t="shared" si="0"/>
        <v>95.703210364743214</v>
      </c>
    </row>
    <row r="71" spans="2:7">
      <c r="B71" s="176">
        <v>65</v>
      </c>
      <c r="C71" s="179" t="s">
        <v>25</v>
      </c>
      <c r="D71" s="180" t="s">
        <v>26</v>
      </c>
      <c r="E71" s="150">
        <v>0</v>
      </c>
      <c r="F71" s="150">
        <v>0</v>
      </c>
      <c r="G71" s="182" t="str">
        <f t="shared" si="0"/>
        <v/>
      </c>
    </row>
    <row r="72" spans="2:7">
      <c r="B72" s="176">
        <v>66</v>
      </c>
      <c r="C72" s="179" t="s">
        <v>27</v>
      </c>
      <c r="D72" s="180" t="s">
        <v>28</v>
      </c>
      <c r="E72" s="150">
        <f>'20'!J31+'20'!J35</f>
        <v>280000</v>
      </c>
      <c r="F72" s="150">
        <f>'20'!N31+'20'!N35</f>
        <v>275000</v>
      </c>
      <c r="G72" s="182">
        <f t="shared" si="0"/>
        <v>98.214285714285708</v>
      </c>
    </row>
    <row r="73" spans="2:7">
      <c r="B73" s="176">
        <v>67</v>
      </c>
      <c r="C73" s="179" t="s">
        <v>29</v>
      </c>
      <c r="D73" s="180" t="s">
        <v>72</v>
      </c>
      <c r="E73" s="150">
        <v>0</v>
      </c>
      <c r="F73" s="150">
        <v>0</v>
      </c>
      <c r="G73" s="182" t="str">
        <f t="shared" si="0"/>
        <v/>
      </c>
    </row>
    <row r="74" spans="2:7">
      <c r="B74" s="176">
        <v>68</v>
      </c>
      <c r="C74" s="179" t="s">
        <v>30</v>
      </c>
      <c r="D74" s="180" t="s">
        <v>31</v>
      </c>
      <c r="E74" s="150">
        <v>0</v>
      </c>
      <c r="F74" s="150">
        <v>0</v>
      </c>
      <c r="G74" s="182" t="str">
        <f t="shared" ref="G74:G86" si="1">IF(E74=0,"",F74/E74*100)</f>
        <v/>
      </c>
    </row>
    <row r="75" spans="2:7">
      <c r="B75" s="176">
        <v>69</v>
      </c>
      <c r="C75" s="179" t="s">
        <v>32</v>
      </c>
      <c r="D75" s="180" t="s">
        <v>33</v>
      </c>
      <c r="E75" s="150">
        <v>0</v>
      </c>
      <c r="F75" s="150">
        <v>0</v>
      </c>
      <c r="G75" s="182" t="str">
        <f t="shared" si="1"/>
        <v/>
      </c>
    </row>
    <row r="76" spans="2:7">
      <c r="B76" s="176">
        <v>70</v>
      </c>
      <c r="C76" s="179" t="s">
        <v>34</v>
      </c>
      <c r="D76" s="180" t="s">
        <v>35</v>
      </c>
      <c r="E76" s="150">
        <f>'20'!J53-'20'!J31-'20'!J35-'20'!J36-'20'!J37-'20'!J38-'20'!J39-'20'!J40</f>
        <v>1061313</v>
      </c>
      <c r="F76" s="150">
        <f>'20'!N53-'20'!N31-'20'!N35-'20'!N36-'20'!N37-'20'!N38-'20'!N39-'20'!N40</f>
        <v>1163010</v>
      </c>
      <c r="G76" s="182">
        <f t="shared" si="1"/>
        <v>109.58218734718221</v>
      </c>
    </row>
    <row r="77" spans="2:7">
      <c r="B77" s="534">
        <v>71</v>
      </c>
      <c r="C77" s="538" t="s">
        <v>36</v>
      </c>
      <c r="D77" s="535" t="s">
        <v>37</v>
      </c>
      <c r="E77" s="536">
        <f>SUM(E78:E86)</f>
        <v>5920810</v>
      </c>
      <c r="F77" s="536">
        <f>SUM(F78:F86)</f>
        <v>5918180</v>
      </c>
      <c r="G77" s="540">
        <f t="shared" si="1"/>
        <v>99.955580402005808</v>
      </c>
    </row>
    <row r="78" spans="2:7">
      <c r="B78" s="176">
        <v>72</v>
      </c>
      <c r="C78" s="179" t="s">
        <v>38</v>
      </c>
      <c r="D78" s="180" t="s">
        <v>39</v>
      </c>
      <c r="E78" s="150">
        <v>0</v>
      </c>
      <c r="F78" s="150">
        <v>0</v>
      </c>
      <c r="G78" s="182" t="str">
        <f t="shared" si="1"/>
        <v/>
      </c>
    </row>
    <row r="79" spans="2:7">
      <c r="B79" s="176">
        <v>73</v>
      </c>
      <c r="C79" s="179" t="s">
        <v>40</v>
      </c>
      <c r="D79" s="180" t="s">
        <v>41</v>
      </c>
      <c r="E79" s="150">
        <v>0</v>
      </c>
      <c r="F79" s="150">
        <v>0</v>
      </c>
      <c r="G79" s="182" t="str">
        <f t="shared" si="1"/>
        <v/>
      </c>
    </row>
    <row r="80" spans="2:7">
      <c r="B80" s="176">
        <v>74</v>
      </c>
      <c r="C80" s="179" t="s">
        <v>42</v>
      </c>
      <c r="D80" s="180" t="s">
        <v>43</v>
      </c>
      <c r="E80" s="150">
        <v>0</v>
      </c>
      <c r="F80" s="150">
        <v>0</v>
      </c>
      <c r="G80" s="182" t="str">
        <f t="shared" si="1"/>
        <v/>
      </c>
    </row>
    <row r="81" spans="2:7">
      <c r="B81" s="176">
        <v>75</v>
      </c>
      <c r="C81" s="179" t="s">
        <v>44</v>
      </c>
      <c r="D81" s="180" t="s">
        <v>73</v>
      </c>
      <c r="E81" s="150">
        <v>0</v>
      </c>
      <c r="F81" s="150">
        <v>0</v>
      </c>
      <c r="G81" s="182" t="str">
        <f t="shared" si="1"/>
        <v/>
      </c>
    </row>
    <row r="82" spans="2:7">
      <c r="B82" s="176">
        <v>76</v>
      </c>
      <c r="C82" s="179" t="s">
        <v>45</v>
      </c>
      <c r="D82" s="180" t="s">
        <v>74</v>
      </c>
      <c r="E82" s="150">
        <v>0</v>
      </c>
      <c r="F82" s="150">
        <v>0</v>
      </c>
      <c r="G82" s="182" t="str">
        <f t="shared" si="1"/>
        <v/>
      </c>
    </row>
    <row r="83" spans="2:7">
      <c r="B83" s="176">
        <v>77</v>
      </c>
      <c r="C83" s="179" t="s">
        <v>46</v>
      </c>
      <c r="D83" s="180" t="s">
        <v>47</v>
      </c>
      <c r="E83" s="150">
        <v>0</v>
      </c>
      <c r="F83" s="150">
        <v>0</v>
      </c>
      <c r="G83" s="182" t="str">
        <f t="shared" si="1"/>
        <v/>
      </c>
    </row>
    <row r="84" spans="2:7">
      <c r="B84" s="176">
        <v>78</v>
      </c>
      <c r="C84" s="179" t="s">
        <v>48</v>
      </c>
      <c r="D84" s="180" t="s">
        <v>49</v>
      </c>
      <c r="E84" s="150">
        <v>0</v>
      </c>
      <c r="F84" s="150">
        <v>0</v>
      </c>
      <c r="G84" s="182" t="str">
        <f t="shared" si="1"/>
        <v/>
      </c>
    </row>
    <row r="85" spans="2:7">
      <c r="B85" s="176">
        <v>79</v>
      </c>
      <c r="C85" s="179" t="s">
        <v>50</v>
      </c>
      <c r="D85" s="180" t="s">
        <v>51</v>
      </c>
      <c r="E85" s="150">
        <v>0</v>
      </c>
      <c r="F85" s="150">
        <v>0</v>
      </c>
      <c r="G85" s="182" t="str">
        <f t="shared" si="1"/>
        <v/>
      </c>
    </row>
    <row r="86" spans="2:7">
      <c r="B86" s="176">
        <v>80</v>
      </c>
      <c r="C86" s="179" t="s">
        <v>52</v>
      </c>
      <c r="D86" s="180" t="s">
        <v>53</v>
      </c>
      <c r="E86" s="150">
        <f>'17'!J38+'31'!J36</f>
        <v>5920810</v>
      </c>
      <c r="F86" s="150">
        <f>'17'!N38+'31'!N36</f>
        <v>5918180</v>
      </c>
      <c r="G86" s="182">
        <f t="shared" si="1"/>
        <v>99.955580402005808</v>
      </c>
    </row>
    <row r="87" spans="2:7">
      <c r="B87" s="70"/>
      <c r="C87" s="70"/>
      <c r="D87" s="70"/>
      <c r="E87" s="70"/>
      <c r="F87" s="70"/>
      <c r="G87" s="70"/>
    </row>
    <row r="88" spans="2:7">
      <c r="B88" s="70"/>
      <c r="C88" s="70"/>
      <c r="D88" s="70"/>
      <c r="E88" s="70"/>
      <c r="F88" s="70"/>
      <c r="G88" s="70"/>
    </row>
    <row r="89" spans="2:7">
      <c r="B89" s="70"/>
      <c r="C89" s="70"/>
      <c r="D89" s="70"/>
      <c r="E89" s="70"/>
      <c r="F89" s="70"/>
      <c r="G89" s="70"/>
    </row>
    <row r="90" spans="2:7">
      <c r="B90" s="70"/>
      <c r="C90" s="70"/>
      <c r="D90" s="70"/>
      <c r="E90" s="70"/>
      <c r="F90" s="70"/>
      <c r="G90" s="70"/>
    </row>
    <row r="91" spans="2:7">
      <c r="B91" s="70"/>
      <c r="C91" s="70"/>
      <c r="D91" s="70"/>
      <c r="E91" s="70"/>
      <c r="F91" s="70"/>
      <c r="G91" s="70"/>
    </row>
    <row r="92" spans="2:7">
      <c r="B92" s="70"/>
      <c r="C92" s="70"/>
      <c r="D92" s="70"/>
      <c r="E92" s="70"/>
      <c r="F92" s="70"/>
      <c r="G92" s="70"/>
    </row>
    <row r="93" spans="2:7">
      <c r="B93" s="70"/>
      <c r="C93" s="70"/>
      <c r="D93" s="70"/>
      <c r="E93" s="70"/>
      <c r="F93" s="70"/>
      <c r="G93" s="70"/>
    </row>
    <row r="94" spans="2:7">
      <c r="B94" s="70"/>
      <c r="C94" s="70"/>
      <c r="D94" s="70"/>
      <c r="E94" s="70"/>
      <c r="F94" s="70"/>
      <c r="G94" s="70"/>
    </row>
    <row r="95" spans="2:7">
      <c r="B95" s="70"/>
      <c r="C95" s="70"/>
      <c r="D95" s="70"/>
      <c r="E95" s="70"/>
      <c r="F95" s="70"/>
      <c r="G95" s="70"/>
    </row>
    <row r="96" spans="2:7">
      <c r="B96" s="70"/>
      <c r="C96" s="70"/>
      <c r="D96" s="70"/>
      <c r="E96" s="70"/>
      <c r="F96" s="70"/>
      <c r="G96" s="70"/>
    </row>
    <row r="97" spans="2:7">
      <c r="B97" s="70"/>
      <c r="C97" s="70"/>
      <c r="D97" s="70"/>
      <c r="E97" s="70"/>
      <c r="F97" s="70"/>
      <c r="G97" s="70"/>
    </row>
    <row r="98" spans="2:7">
      <c r="B98" s="70"/>
      <c r="C98" s="70"/>
      <c r="D98" s="70"/>
      <c r="E98" s="70"/>
      <c r="F98" s="70"/>
      <c r="G98" s="70"/>
    </row>
    <row r="99" spans="2:7">
      <c r="B99" s="70"/>
      <c r="C99" s="70"/>
      <c r="D99" s="70"/>
      <c r="E99" s="70"/>
      <c r="F99" s="70"/>
      <c r="G99" s="70"/>
    </row>
    <row r="100" spans="2:7">
      <c r="B100" s="70"/>
      <c r="C100" s="70"/>
      <c r="D100" s="70"/>
      <c r="E100" s="70"/>
      <c r="F100" s="70"/>
      <c r="G100" s="70"/>
    </row>
    <row r="101" spans="2:7">
      <c r="B101" s="70"/>
      <c r="C101" s="70"/>
      <c r="D101" s="70"/>
      <c r="E101" s="70"/>
      <c r="F101" s="70"/>
      <c r="G101" s="70"/>
    </row>
    <row r="102" spans="2:7">
      <c r="B102" s="70"/>
      <c r="C102" s="70"/>
      <c r="D102" s="70"/>
      <c r="E102" s="70"/>
      <c r="F102" s="70"/>
      <c r="G102" s="70"/>
    </row>
    <row r="103" spans="2:7">
      <c r="B103" s="70"/>
      <c r="C103" s="70"/>
      <c r="D103" s="70"/>
      <c r="E103" s="70"/>
      <c r="F103" s="70"/>
      <c r="G103" s="70"/>
    </row>
    <row r="104" spans="2:7">
      <c r="B104" s="70"/>
      <c r="C104" s="70"/>
      <c r="D104" s="70"/>
      <c r="E104" s="70"/>
      <c r="F104" s="70"/>
      <c r="G104" s="70"/>
    </row>
    <row r="105" spans="2:7">
      <c r="B105" s="70"/>
      <c r="C105" s="70"/>
      <c r="D105" s="70"/>
      <c r="E105" s="70"/>
      <c r="F105" s="70"/>
      <c r="G105" s="70"/>
    </row>
    <row r="106" spans="2:7">
      <c r="B106" s="70"/>
      <c r="C106" s="70"/>
      <c r="D106" s="70"/>
      <c r="E106" s="70"/>
      <c r="F106" s="70"/>
      <c r="G106" s="70"/>
    </row>
    <row r="107" spans="2:7">
      <c r="B107" s="70"/>
      <c r="C107" s="70"/>
      <c r="D107" s="70"/>
      <c r="E107" s="70"/>
      <c r="F107" s="70"/>
      <c r="G107" s="70"/>
    </row>
    <row r="108" spans="2:7">
      <c r="B108" s="70"/>
      <c r="C108" s="70"/>
      <c r="D108" s="70"/>
      <c r="E108" s="70"/>
      <c r="F108" s="70"/>
      <c r="G108" s="70"/>
    </row>
    <row r="109" spans="2:7">
      <c r="B109" s="70"/>
      <c r="C109" s="70"/>
      <c r="D109" s="70"/>
      <c r="E109" s="70"/>
      <c r="F109" s="70"/>
      <c r="G109" s="70"/>
    </row>
    <row r="110" spans="2:7">
      <c r="B110" s="70"/>
      <c r="C110" s="70"/>
      <c r="D110" s="70"/>
      <c r="E110" s="70"/>
      <c r="F110" s="70"/>
      <c r="G110" s="70"/>
    </row>
    <row r="111" spans="2:7">
      <c r="B111" s="70"/>
      <c r="C111" s="70"/>
      <c r="D111" s="70"/>
      <c r="E111" s="70"/>
      <c r="F111" s="70"/>
      <c r="G111" s="70"/>
    </row>
    <row r="112" spans="2:7">
      <c r="B112" s="70"/>
      <c r="C112" s="70"/>
      <c r="D112" s="70"/>
      <c r="E112" s="70"/>
      <c r="F112" s="70"/>
      <c r="G112" s="70"/>
    </row>
    <row r="113" spans="2:7">
      <c r="B113" s="70"/>
      <c r="C113" s="70"/>
      <c r="D113" s="70"/>
      <c r="E113" s="70"/>
      <c r="F113" s="70"/>
      <c r="G113" s="70"/>
    </row>
    <row r="114" spans="2:7">
      <c r="B114" s="70"/>
      <c r="C114" s="70"/>
      <c r="D114" s="70"/>
      <c r="E114" s="70"/>
      <c r="F114" s="70"/>
      <c r="G114" s="70"/>
    </row>
    <row r="115" spans="2:7">
      <c r="B115" s="70"/>
      <c r="C115" s="70"/>
      <c r="D115" s="70"/>
      <c r="E115" s="70"/>
      <c r="F115" s="70"/>
      <c r="G115" s="70"/>
    </row>
    <row r="116" spans="2:7">
      <c r="B116" s="70"/>
      <c r="C116" s="70"/>
      <c r="D116" s="70"/>
      <c r="E116" s="70"/>
      <c r="F116" s="70"/>
      <c r="G116" s="70"/>
    </row>
    <row r="117" spans="2:7">
      <c r="B117" s="70"/>
      <c r="C117" s="70"/>
      <c r="D117" s="70"/>
      <c r="E117" s="70"/>
      <c r="F117" s="70"/>
      <c r="G117" s="70"/>
    </row>
    <row r="118" spans="2:7">
      <c r="B118" s="70"/>
      <c r="C118" s="70"/>
      <c r="D118" s="70"/>
      <c r="E118" s="70"/>
      <c r="F118" s="70"/>
      <c r="G118" s="70"/>
    </row>
    <row r="119" spans="2:7">
      <c r="B119" s="70"/>
      <c r="C119" s="70"/>
      <c r="D119" s="70"/>
      <c r="E119" s="70"/>
      <c r="F119" s="70"/>
      <c r="G119" s="70"/>
    </row>
  </sheetData>
  <mergeCells count="1">
    <mergeCell ref="B2:G2"/>
  </mergeCells>
  <phoneticPr fontId="0" type="noConversion"/>
  <pageMargins left="0.9055118110236221" right="0.31496062992125984" top="0.35433070866141736" bottom="0.51181102362204722" header="0.39370078740157483" footer="0.31496062992125984"/>
  <pageSetup paperSize="9" scale="88" firstPageNumber="46" orientation="landscape" r:id="rId1"/>
  <headerFooter alignWithMargins="0">
    <oddFooter>&amp;R&amp;P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 codeName="List7"/>
  <dimension ref="A2:F45"/>
  <sheetViews>
    <sheetView zoomScaleNormal="100" workbookViewId="0">
      <selection activeCell="L24" sqref="L24"/>
    </sheetView>
  </sheetViews>
  <sheetFormatPr defaultRowHeight="12.75"/>
  <cols>
    <col min="1" max="1" width="15.7109375" style="39" customWidth="1"/>
    <col min="2" max="2" width="82.28515625" customWidth="1"/>
    <col min="3" max="6" width="18.7109375" customWidth="1"/>
  </cols>
  <sheetData>
    <row r="2" spans="1:6" ht="15.75">
      <c r="A2" s="927" t="s">
        <v>698</v>
      </c>
      <c r="B2" s="928"/>
      <c r="C2" s="928"/>
      <c r="D2" s="928"/>
      <c r="E2" s="928"/>
      <c r="F2" s="928"/>
    </row>
    <row r="4" spans="1:6" s="45" customFormat="1">
      <c r="A4" s="933" t="s">
        <v>342</v>
      </c>
      <c r="B4" s="933" t="s">
        <v>350</v>
      </c>
      <c r="C4" s="933" t="s">
        <v>883</v>
      </c>
      <c r="D4" s="930" t="s">
        <v>357</v>
      </c>
      <c r="E4" s="931"/>
      <c r="F4" s="932"/>
    </row>
    <row r="5" spans="1:6" s="45" customFormat="1" ht="39" customHeight="1">
      <c r="A5" s="934"/>
      <c r="B5" s="934"/>
      <c r="C5" s="934"/>
      <c r="D5" s="161" t="s">
        <v>356</v>
      </c>
      <c r="E5" s="161" t="s">
        <v>469</v>
      </c>
      <c r="F5" s="161" t="s">
        <v>470</v>
      </c>
    </row>
    <row r="6" spans="1:6" s="45" customFormat="1">
      <c r="A6" s="161">
        <v>1</v>
      </c>
      <c r="B6" s="162">
        <v>2</v>
      </c>
      <c r="C6" s="161" t="s">
        <v>358</v>
      </c>
      <c r="D6" s="161">
        <v>4</v>
      </c>
      <c r="E6" s="161">
        <v>5</v>
      </c>
      <c r="F6" s="161">
        <v>6</v>
      </c>
    </row>
    <row r="7" spans="1:6" ht="15.95" customHeight="1">
      <c r="A7" s="155">
        <v>10010001</v>
      </c>
      <c r="B7" s="23" t="s">
        <v>207</v>
      </c>
      <c r="C7" s="153">
        <f>D7+E7+F7</f>
        <v>3000</v>
      </c>
      <c r="D7" s="153">
        <f>'1'!N28-E7-F7</f>
        <v>3000</v>
      </c>
      <c r="E7" s="153">
        <v>0</v>
      </c>
      <c r="F7" s="153">
        <v>0</v>
      </c>
    </row>
    <row r="8" spans="1:6" ht="15.95" customHeight="1">
      <c r="A8" s="155">
        <v>11010001</v>
      </c>
      <c r="B8" s="23" t="s">
        <v>208</v>
      </c>
      <c r="C8" s="153">
        <f t="shared" ref="C8:C43" si="0">D8+E8+F8</f>
        <v>30000</v>
      </c>
      <c r="D8" s="153">
        <f>'3'!N49-E8-F8</f>
        <v>30000</v>
      </c>
      <c r="E8" s="153">
        <v>0</v>
      </c>
      <c r="F8" s="153">
        <v>0</v>
      </c>
    </row>
    <row r="9" spans="1:6" ht="15.95" customHeight="1">
      <c r="A9" s="155">
        <v>11010002</v>
      </c>
      <c r="B9" s="546" t="s">
        <v>792</v>
      </c>
      <c r="C9" s="153">
        <f t="shared" si="0"/>
        <v>0</v>
      </c>
      <c r="D9" s="153">
        <f>'4 (S)'!N31-E9-F9</f>
        <v>0</v>
      </c>
      <c r="E9" s="153">
        <v>0</v>
      </c>
      <c r="F9" s="153">
        <v>0</v>
      </c>
    </row>
    <row r="10" spans="1:6" ht="15.95" customHeight="1">
      <c r="A10" s="155">
        <v>11010003</v>
      </c>
      <c r="B10" s="23" t="s">
        <v>743</v>
      </c>
      <c r="C10" s="153">
        <f t="shared" si="0"/>
        <v>1500</v>
      </c>
      <c r="D10" s="153">
        <f>'5'!N28-E10-F10</f>
        <v>1500</v>
      </c>
      <c r="E10" s="153">
        <v>0</v>
      </c>
      <c r="F10" s="153">
        <v>0</v>
      </c>
    </row>
    <row r="11" spans="1:6" ht="15.95" customHeight="1">
      <c r="A11" s="155">
        <v>11010004</v>
      </c>
      <c r="B11" s="23" t="s">
        <v>741</v>
      </c>
      <c r="C11" s="153">
        <f t="shared" si="0"/>
        <v>1500</v>
      </c>
      <c r="D11" s="153">
        <f>'6'!N28-E11-F11</f>
        <v>1500</v>
      </c>
      <c r="E11" s="153">
        <v>0</v>
      </c>
      <c r="F11" s="153">
        <v>0</v>
      </c>
    </row>
    <row r="12" spans="1:6" ht="15.95" customHeight="1">
      <c r="A12" s="155">
        <v>11010005</v>
      </c>
      <c r="B12" s="264" t="s">
        <v>526</v>
      </c>
      <c r="C12" s="153">
        <f t="shared" si="0"/>
        <v>3000</v>
      </c>
      <c r="D12" s="153">
        <f>'7'!N28-E12-F12</f>
        <v>3000</v>
      </c>
      <c r="E12" s="153">
        <v>0</v>
      </c>
      <c r="F12" s="153">
        <v>0</v>
      </c>
    </row>
    <row r="13" spans="1:6" s="656" customFormat="1" ht="15.95" customHeight="1">
      <c r="A13" s="155">
        <v>11010006</v>
      </c>
      <c r="B13" s="546" t="s">
        <v>765</v>
      </c>
      <c r="C13" s="153">
        <f t="shared" ref="C13" si="1">D13+E13+F13</f>
        <v>1000</v>
      </c>
      <c r="D13" s="153">
        <f>'4 (N)'!N31-E13-F13</f>
        <v>1000</v>
      </c>
      <c r="E13" s="153">
        <v>0</v>
      </c>
      <c r="F13" s="153">
        <v>0</v>
      </c>
    </row>
    <row r="14" spans="1:6" ht="15.95" customHeight="1">
      <c r="A14" s="155">
        <v>12010001</v>
      </c>
      <c r="B14" s="23" t="s">
        <v>739</v>
      </c>
      <c r="C14" s="153">
        <f t="shared" si="0"/>
        <v>40000</v>
      </c>
      <c r="D14" s="153">
        <f>'8'!N28-E14-F14</f>
        <v>40000</v>
      </c>
      <c r="E14" s="153">
        <v>0</v>
      </c>
      <c r="F14" s="153">
        <v>0</v>
      </c>
    </row>
    <row r="15" spans="1:6" ht="15.95" customHeight="1">
      <c r="A15" s="155">
        <v>13010001</v>
      </c>
      <c r="B15" s="546" t="s">
        <v>209</v>
      </c>
      <c r="C15" s="153">
        <f t="shared" si="0"/>
        <v>75000</v>
      </c>
      <c r="D15" s="153">
        <f>'9'!N28-E15-F15</f>
        <v>75000</v>
      </c>
      <c r="E15" s="153">
        <v>0</v>
      </c>
      <c r="F15" s="153">
        <v>0</v>
      </c>
    </row>
    <row r="16" spans="1:6" ht="15.95" customHeight="1">
      <c r="A16" s="155">
        <v>14010001</v>
      </c>
      <c r="B16" s="546" t="s">
        <v>745</v>
      </c>
      <c r="C16" s="153">
        <f t="shared" si="0"/>
        <v>5000</v>
      </c>
      <c r="D16" s="153">
        <f>'10'!N30-E16-F16</f>
        <v>5000</v>
      </c>
      <c r="E16" s="153">
        <v>0</v>
      </c>
      <c r="F16" s="153">
        <v>0</v>
      </c>
    </row>
    <row r="17" spans="1:6" ht="15.95" customHeight="1">
      <c r="A17" s="155">
        <v>14020003</v>
      </c>
      <c r="B17" s="546" t="s">
        <v>773</v>
      </c>
      <c r="C17" s="153">
        <f t="shared" si="0"/>
        <v>5000</v>
      </c>
      <c r="D17" s="153">
        <f>'11'!N29-E17-F17</f>
        <v>5000</v>
      </c>
      <c r="E17" s="153">
        <v>0</v>
      </c>
      <c r="F17" s="153">
        <v>0</v>
      </c>
    </row>
    <row r="18" spans="1:6" ht="15.95" customHeight="1">
      <c r="A18" s="155">
        <v>14050001</v>
      </c>
      <c r="B18" s="546" t="s">
        <v>769</v>
      </c>
      <c r="C18" s="153">
        <f t="shared" si="0"/>
        <v>0</v>
      </c>
      <c r="D18" s="153">
        <f>'12'!N28-E18-F18</f>
        <v>0</v>
      </c>
      <c r="E18" s="153">
        <v>0</v>
      </c>
      <c r="F18" s="153">
        <v>0</v>
      </c>
    </row>
    <row r="19" spans="1:6" ht="15.95" customHeight="1">
      <c r="A19" s="155">
        <v>14050002</v>
      </c>
      <c r="B19" s="546" t="s">
        <v>770</v>
      </c>
      <c r="C19" s="153">
        <f t="shared" si="0"/>
        <v>500</v>
      </c>
      <c r="D19" s="153">
        <f>'13'!N28-E19-F19</f>
        <v>500</v>
      </c>
      <c r="E19" s="153">
        <v>0</v>
      </c>
      <c r="F19" s="153">
        <v>0</v>
      </c>
    </row>
    <row r="20" spans="1:6" ht="15.95" customHeight="1">
      <c r="A20" s="155">
        <v>14060001</v>
      </c>
      <c r="B20" s="546" t="s">
        <v>771</v>
      </c>
      <c r="C20" s="153">
        <f t="shared" si="0"/>
        <v>500</v>
      </c>
      <c r="D20" s="153">
        <f>'14'!N28-E20-F20</f>
        <v>500</v>
      </c>
      <c r="E20" s="153">
        <v>0</v>
      </c>
      <c r="F20" s="153">
        <v>0</v>
      </c>
    </row>
    <row r="21" spans="1:6" ht="15.95" customHeight="1">
      <c r="A21" s="155">
        <v>15010001</v>
      </c>
      <c r="B21" s="546" t="s">
        <v>746</v>
      </c>
      <c r="C21" s="153">
        <f t="shared" si="0"/>
        <v>1000</v>
      </c>
      <c r="D21" s="153">
        <f>'15'!N36-E21-F21</f>
        <v>1000</v>
      </c>
      <c r="E21" s="153">
        <v>0</v>
      </c>
      <c r="F21" s="153">
        <v>0</v>
      </c>
    </row>
    <row r="22" spans="1:6" ht="15.95" customHeight="1">
      <c r="A22" s="155">
        <v>16010001</v>
      </c>
      <c r="B22" s="546" t="s">
        <v>747</v>
      </c>
      <c r="C22" s="153">
        <f t="shared" si="0"/>
        <v>2000</v>
      </c>
      <c r="D22" s="153">
        <f>'16'!N43-E22-F22</f>
        <v>2000</v>
      </c>
      <c r="E22" s="153">
        <v>0</v>
      </c>
      <c r="F22" s="153">
        <v>0</v>
      </c>
    </row>
    <row r="23" spans="1:6" ht="15.95" customHeight="1">
      <c r="A23" s="155">
        <v>17010001</v>
      </c>
      <c r="B23" s="546" t="s">
        <v>748</v>
      </c>
      <c r="C23" s="153">
        <f t="shared" si="0"/>
        <v>1500</v>
      </c>
      <c r="D23" s="153">
        <f>'17'!N33-E23-F23</f>
        <v>1500</v>
      </c>
      <c r="E23" s="153">
        <v>0</v>
      </c>
      <c r="F23" s="153">
        <v>0</v>
      </c>
    </row>
    <row r="24" spans="1:6" ht="15.95" customHeight="1">
      <c r="A24" s="155">
        <v>18010001</v>
      </c>
      <c r="B24" s="546" t="s">
        <v>749</v>
      </c>
      <c r="C24" s="153">
        <f t="shared" si="0"/>
        <v>1155000</v>
      </c>
      <c r="D24" s="153">
        <f>'18'!N33-E24-F24</f>
        <v>5000</v>
      </c>
      <c r="E24" s="153">
        <v>1150000</v>
      </c>
      <c r="F24" s="153">
        <v>0</v>
      </c>
    </row>
    <row r="25" spans="1:6" ht="15.95" customHeight="1">
      <c r="A25" s="155">
        <v>19010001</v>
      </c>
      <c r="B25" s="546" t="s">
        <v>750</v>
      </c>
      <c r="C25" s="153">
        <f t="shared" si="0"/>
        <v>35000</v>
      </c>
      <c r="D25" s="153">
        <f>'19'!N38-E25-F25</f>
        <v>5000</v>
      </c>
      <c r="E25" s="153">
        <v>30000</v>
      </c>
      <c r="F25" s="153">
        <v>0</v>
      </c>
    </row>
    <row r="26" spans="1:6" ht="15.95" customHeight="1">
      <c r="A26" s="155">
        <v>20010001</v>
      </c>
      <c r="B26" s="546" t="s">
        <v>751</v>
      </c>
      <c r="C26" s="153">
        <f t="shared" si="0"/>
        <v>504910</v>
      </c>
      <c r="D26" s="153">
        <f>'20'!N45-E26-F26</f>
        <v>154517</v>
      </c>
      <c r="E26" s="153">
        <v>0</v>
      </c>
      <c r="F26" s="153">
        <v>350393</v>
      </c>
    </row>
    <row r="27" spans="1:6" ht="15.95" customHeight="1">
      <c r="A27" s="155">
        <v>20020002</v>
      </c>
      <c r="B27" s="546" t="s">
        <v>808</v>
      </c>
      <c r="C27" s="153">
        <f t="shared" si="0"/>
        <v>5000</v>
      </c>
      <c r="D27" s="153">
        <f>'21'!N28-E27-F27</f>
        <v>5000</v>
      </c>
      <c r="E27" s="153">
        <v>0</v>
      </c>
      <c r="F27" s="153">
        <v>0</v>
      </c>
    </row>
    <row r="28" spans="1:6" ht="15.95" customHeight="1">
      <c r="A28" s="155">
        <v>20020003</v>
      </c>
      <c r="B28" s="546" t="s">
        <v>809</v>
      </c>
      <c r="C28" s="153">
        <f t="shared" si="0"/>
        <v>9000</v>
      </c>
      <c r="D28" s="153">
        <f>'22'!N28-E28-F28</f>
        <v>9000</v>
      </c>
      <c r="E28" s="153">
        <v>0</v>
      </c>
      <c r="F28" s="153">
        <v>0</v>
      </c>
    </row>
    <row r="29" spans="1:6" ht="15.95" customHeight="1">
      <c r="A29" s="155">
        <v>20020004</v>
      </c>
      <c r="B29" s="546" t="s">
        <v>810</v>
      </c>
      <c r="C29" s="153">
        <f t="shared" si="0"/>
        <v>5000</v>
      </c>
      <c r="D29" s="153">
        <f>'23'!N28-E29-F29</f>
        <v>5000</v>
      </c>
      <c r="E29" s="153">
        <v>0</v>
      </c>
      <c r="F29" s="296">
        <v>0</v>
      </c>
    </row>
    <row r="30" spans="1:6" ht="15.95" customHeight="1">
      <c r="A30" s="155">
        <v>20030001</v>
      </c>
      <c r="B30" s="546" t="s">
        <v>779</v>
      </c>
      <c r="C30" s="153">
        <f t="shared" si="0"/>
        <v>5000</v>
      </c>
      <c r="D30" s="153">
        <f>'24'!N28-E30-F30</f>
        <v>5000</v>
      </c>
      <c r="E30" s="153">
        <v>0</v>
      </c>
      <c r="F30" s="153">
        <v>0</v>
      </c>
    </row>
    <row r="31" spans="1:6" ht="15.95" customHeight="1">
      <c r="A31" s="155">
        <v>20030002</v>
      </c>
      <c r="B31" s="546" t="s">
        <v>811</v>
      </c>
      <c r="C31" s="153">
        <f t="shared" si="0"/>
        <v>7000</v>
      </c>
      <c r="D31" s="153">
        <f>'25'!N28-E31-F31</f>
        <v>7000</v>
      </c>
      <c r="E31" s="153">
        <v>0</v>
      </c>
      <c r="F31" s="153">
        <v>0</v>
      </c>
    </row>
    <row r="32" spans="1:6" ht="15.95" customHeight="1">
      <c r="A32" s="155">
        <v>20030003</v>
      </c>
      <c r="B32" s="546" t="s">
        <v>812</v>
      </c>
      <c r="C32" s="153">
        <f t="shared" si="0"/>
        <v>4000</v>
      </c>
      <c r="D32" s="153">
        <f>'26'!N28-E32-F32</f>
        <v>4000</v>
      </c>
      <c r="E32" s="153">
        <v>0</v>
      </c>
      <c r="F32" s="153">
        <v>0</v>
      </c>
    </row>
    <row r="33" spans="1:6" ht="15.95" customHeight="1">
      <c r="A33" s="155">
        <v>20030004</v>
      </c>
      <c r="B33" s="546" t="s">
        <v>813</v>
      </c>
      <c r="C33" s="153">
        <f t="shared" si="0"/>
        <v>15000</v>
      </c>
      <c r="D33" s="153">
        <f>'27'!N28-E33-F33</f>
        <v>15000</v>
      </c>
      <c r="E33" s="153">
        <v>0</v>
      </c>
      <c r="F33" s="153">
        <v>0</v>
      </c>
    </row>
    <row r="34" spans="1:6" ht="15.95" customHeight="1">
      <c r="A34" s="155">
        <v>20030005</v>
      </c>
      <c r="B34" s="546" t="s">
        <v>818</v>
      </c>
      <c r="C34" s="153">
        <f t="shared" si="0"/>
        <v>18000</v>
      </c>
      <c r="D34" s="153">
        <f>'28'!N28-E34-F34</f>
        <v>18000</v>
      </c>
      <c r="E34" s="153">
        <v>0</v>
      </c>
      <c r="F34" s="153">
        <v>0</v>
      </c>
    </row>
    <row r="35" spans="1:6" ht="15.95" customHeight="1">
      <c r="A35" s="155">
        <v>20030006</v>
      </c>
      <c r="B35" s="546" t="s">
        <v>815</v>
      </c>
      <c r="C35" s="153">
        <f t="shared" si="0"/>
        <v>2000</v>
      </c>
      <c r="D35" s="153">
        <f>'29'!N28-E35-F35</f>
        <v>2000</v>
      </c>
      <c r="E35" s="153">
        <v>0</v>
      </c>
      <c r="F35" s="153">
        <v>0</v>
      </c>
    </row>
    <row r="36" spans="1:6" ht="15.95" customHeight="1">
      <c r="A36" s="155">
        <v>20030007</v>
      </c>
      <c r="B36" s="546" t="s">
        <v>816</v>
      </c>
      <c r="C36" s="153">
        <f t="shared" si="0"/>
        <v>3000</v>
      </c>
      <c r="D36" s="153">
        <f>'30'!N28-E36-F36</f>
        <v>3000</v>
      </c>
      <c r="E36" s="153">
        <v>0</v>
      </c>
      <c r="F36" s="153">
        <v>0</v>
      </c>
    </row>
    <row r="37" spans="1:6" ht="15.95" customHeight="1">
      <c r="A37" s="155">
        <v>21010001</v>
      </c>
      <c r="B37" s="546" t="s">
        <v>752</v>
      </c>
      <c r="C37" s="153">
        <f t="shared" si="0"/>
        <v>3000</v>
      </c>
      <c r="D37" s="153">
        <f>'31'!N31-E37-F37</f>
        <v>3000</v>
      </c>
      <c r="E37" s="153">
        <v>0</v>
      </c>
      <c r="F37" s="153">
        <v>0</v>
      </c>
    </row>
    <row r="38" spans="1:6" ht="15.95" customHeight="1">
      <c r="A38" s="155">
        <v>22010001</v>
      </c>
      <c r="B38" s="546" t="s">
        <v>766</v>
      </c>
      <c r="C38" s="153">
        <f t="shared" si="0"/>
        <v>2500</v>
      </c>
      <c r="D38" s="153">
        <f>'32'!N28-E38-F38</f>
        <v>2500</v>
      </c>
      <c r="E38" s="153">
        <v>0</v>
      </c>
      <c r="F38" s="153">
        <v>0</v>
      </c>
    </row>
    <row r="39" spans="1:6" ht="15.95" customHeight="1">
      <c r="A39" s="155">
        <v>23010001</v>
      </c>
      <c r="B39" s="546" t="s">
        <v>764</v>
      </c>
      <c r="C39" s="153">
        <f t="shared" si="0"/>
        <v>5000</v>
      </c>
      <c r="D39" s="153">
        <f>'33'!N32-E39-F39</f>
        <v>0</v>
      </c>
      <c r="E39" s="153">
        <v>5000</v>
      </c>
      <c r="F39" s="153">
        <v>0</v>
      </c>
    </row>
    <row r="40" spans="1:6" ht="15.95" customHeight="1">
      <c r="A40" s="155">
        <v>24010001</v>
      </c>
      <c r="B40" s="23" t="s">
        <v>211</v>
      </c>
      <c r="C40" s="153">
        <f t="shared" si="0"/>
        <v>4900</v>
      </c>
      <c r="D40" s="153">
        <f>'34'!N28-E40-F40</f>
        <v>4900</v>
      </c>
      <c r="E40" s="153">
        <v>0</v>
      </c>
      <c r="F40" s="153">
        <v>0</v>
      </c>
    </row>
    <row r="41" spans="1:6" ht="15.95" customHeight="1">
      <c r="A41" s="155">
        <v>26010001</v>
      </c>
      <c r="B41" s="23" t="s">
        <v>212</v>
      </c>
      <c r="C41" s="153">
        <f t="shared" si="0"/>
        <v>500</v>
      </c>
      <c r="D41" s="153">
        <f>'35'!N28-E41-F41</f>
        <v>500</v>
      </c>
      <c r="E41" s="153">
        <v>0</v>
      </c>
      <c r="F41" s="153">
        <v>0</v>
      </c>
    </row>
    <row r="42" spans="1:6" ht="15.95" customHeight="1">
      <c r="A42" s="155">
        <v>27010001</v>
      </c>
      <c r="B42" s="546" t="s">
        <v>772</v>
      </c>
      <c r="C42" s="153">
        <f t="shared" si="0"/>
        <v>3000</v>
      </c>
      <c r="D42" s="153">
        <f>'36'!N28-E42-F42</f>
        <v>3000</v>
      </c>
      <c r="E42" s="153">
        <v>0</v>
      </c>
      <c r="F42" s="153">
        <v>0</v>
      </c>
    </row>
    <row r="43" spans="1:6" ht="15.95" customHeight="1">
      <c r="A43" s="155">
        <v>28010001</v>
      </c>
      <c r="B43" s="23" t="s">
        <v>213</v>
      </c>
      <c r="C43" s="153">
        <f t="shared" si="0"/>
        <v>2000</v>
      </c>
      <c r="D43" s="153">
        <f>'37'!N28-E43-F43</f>
        <v>2000</v>
      </c>
      <c r="E43" s="153">
        <v>0</v>
      </c>
      <c r="F43" s="153">
        <v>0</v>
      </c>
    </row>
    <row r="44" spans="1:6" s="45" customFormat="1" ht="15.95" customHeight="1">
      <c r="A44" s="88"/>
      <c r="B44" s="159" t="s">
        <v>354</v>
      </c>
      <c r="C44" s="160">
        <f>SUM(C7:C43)</f>
        <v>1959310</v>
      </c>
      <c r="D44" s="160">
        <f>SUM(D7:D43)</f>
        <v>423917</v>
      </c>
      <c r="E44" s="160">
        <f>SUM(E7:E43)</f>
        <v>1185000</v>
      </c>
      <c r="F44" s="160">
        <f>SUM(F7:F43)</f>
        <v>350393</v>
      </c>
    </row>
    <row r="45" spans="1:6" ht="18" customHeight="1"/>
  </sheetData>
  <mergeCells count="5">
    <mergeCell ref="A2:F2"/>
    <mergeCell ref="D4:F4"/>
    <mergeCell ref="A4:A5"/>
    <mergeCell ref="B4:B5"/>
    <mergeCell ref="C4:C5"/>
  </mergeCells>
  <phoneticPr fontId="0" type="noConversion"/>
  <pageMargins left="0.9055118110236221" right="0.31496062992125984" top="0.35433070866141736" bottom="0.33" header="0.39370078740157483" footer="0.31496062992125984"/>
  <pageSetup paperSize="9" scale="78" orientation="landscape" r:id="rId1"/>
  <headerFooter alignWithMargins="0">
    <oddFooter>&amp;R&amp;P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 codeName="Sheet47"/>
  <dimension ref="A1:H38"/>
  <sheetViews>
    <sheetView zoomScaleNormal="100" workbookViewId="0">
      <selection activeCell="H31" sqref="H31"/>
    </sheetView>
  </sheetViews>
  <sheetFormatPr defaultRowHeight="15" customHeight="1"/>
  <cols>
    <col min="1" max="1" width="9.140625" style="684"/>
    <col min="2" max="2" width="46.7109375" style="684" customWidth="1"/>
    <col min="3" max="3" width="18" style="684" customWidth="1"/>
    <col min="4" max="4" width="12.42578125" style="684" customWidth="1"/>
    <col min="5" max="6" width="9.140625" style="684"/>
    <col min="7" max="8" width="15.7109375" style="684" customWidth="1"/>
    <col min="9" max="9" width="8.7109375" style="684" customWidth="1"/>
    <col min="10" max="257" width="9.140625" style="684"/>
    <col min="258" max="258" width="46.7109375" style="684" customWidth="1"/>
    <col min="259" max="259" width="18" style="684" customWidth="1"/>
    <col min="260" max="260" width="12.42578125" style="684" customWidth="1"/>
    <col min="261" max="262" width="9.140625" style="684"/>
    <col min="263" max="264" width="15.7109375" style="684" customWidth="1"/>
    <col min="265" max="265" width="8.7109375" style="684" customWidth="1"/>
    <col min="266" max="513" width="9.140625" style="684"/>
    <col min="514" max="514" width="46.7109375" style="684" customWidth="1"/>
    <col min="515" max="515" width="18" style="684" customWidth="1"/>
    <col min="516" max="516" width="12.42578125" style="684" customWidth="1"/>
    <col min="517" max="518" width="9.140625" style="684"/>
    <col min="519" max="520" width="15.7109375" style="684" customWidth="1"/>
    <col min="521" max="521" width="8.7109375" style="684" customWidth="1"/>
    <col min="522" max="769" width="9.140625" style="684"/>
    <col min="770" max="770" width="46.7109375" style="684" customWidth="1"/>
    <col min="771" max="771" width="18" style="684" customWidth="1"/>
    <col min="772" max="772" width="12.42578125" style="684" customWidth="1"/>
    <col min="773" max="774" width="9.140625" style="684"/>
    <col min="775" max="776" width="15.7109375" style="684" customWidth="1"/>
    <col min="777" max="777" width="8.7109375" style="684" customWidth="1"/>
    <col min="778" max="1025" width="9.140625" style="684"/>
    <col min="1026" max="1026" width="46.7109375" style="684" customWidth="1"/>
    <col min="1027" max="1027" width="18" style="684" customWidth="1"/>
    <col min="1028" max="1028" width="12.42578125" style="684" customWidth="1"/>
    <col min="1029" max="1030" width="9.140625" style="684"/>
    <col min="1031" max="1032" width="15.7109375" style="684" customWidth="1"/>
    <col min="1033" max="1033" width="8.7109375" style="684" customWidth="1"/>
    <col min="1034" max="1281" width="9.140625" style="684"/>
    <col min="1282" max="1282" width="46.7109375" style="684" customWidth="1"/>
    <col min="1283" max="1283" width="18" style="684" customWidth="1"/>
    <col min="1284" max="1284" width="12.42578125" style="684" customWidth="1"/>
    <col min="1285" max="1286" width="9.140625" style="684"/>
    <col min="1287" max="1288" width="15.7109375" style="684" customWidth="1"/>
    <col min="1289" max="1289" width="8.7109375" style="684" customWidth="1"/>
    <col min="1290" max="1537" width="9.140625" style="684"/>
    <col min="1538" max="1538" width="46.7109375" style="684" customWidth="1"/>
    <col min="1539" max="1539" width="18" style="684" customWidth="1"/>
    <col min="1540" max="1540" width="12.42578125" style="684" customWidth="1"/>
    <col min="1541" max="1542" width="9.140625" style="684"/>
    <col min="1543" max="1544" width="15.7109375" style="684" customWidth="1"/>
    <col min="1545" max="1545" width="8.7109375" style="684" customWidth="1"/>
    <col min="1546" max="1793" width="9.140625" style="684"/>
    <col min="1794" max="1794" width="46.7109375" style="684" customWidth="1"/>
    <col min="1795" max="1795" width="18" style="684" customWidth="1"/>
    <col min="1796" max="1796" width="12.42578125" style="684" customWidth="1"/>
    <col min="1797" max="1798" width="9.140625" style="684"/>
    <col min="1799" max="1800" width="15.7109375" style="684" customWidth="1"/>
    <col min="1801" max="1801" width="8.7109375" style="684" customWidth="1"/>
    <col min="1802" max="2049" width="9.140625" style="684"/>
    <col min="2050" max="2050" width="46.7109375" style="684" customWidth="1"/>
    <col min="2051" max="2051" width="18" style="684" customWidth="1"/>
    <col min="2052" max="2052" width="12.42578125" style="684" customWidth="1"/>
    <col min="2053" max="2054" width="9.140625" style="684"/>
    <col min="2055" max="2056" width="15.7109375" style="684" customWidth="1"/>
    <col min="2057" max="2057" width="8.7109375" style="684" customWidth="1"/>
    <col min="2058" max="2305" width="9.140625" style="684"/>
    <col min="2306" max="2306" width="46.7109375" style="684" customWidth="1"/>
    <col min="2307" max="2307" width="18" style="684" customWidth="1"/>
    <col min="2308" max="2308" width="12.42578125" style="684" customWidth="1"/>
    <col min="2309" max="2310" width="9.140625" style="684"/>
    <col min="2311" max="2312" width="15.7109375" style="684" customWidth="1"/>
    <col min="2313" max="2313" width="8.7109375" style="684" customWidth="1"/>
    <col min="2314" max="2561" width="9.140625" style="684"/>
    <col min="2562" max="2562" width="46.7109375" style="684" customWidth="1"/>
    <col min="2563" max="2563" width="18" style="684" customWidth="1"/>
    <col min="2564" max="2564" width="12.42578125" style="684" customWidth="1"/>
    <col min="2565" max="2566" width="9.140625" style="684"/>
    <col min="2567" max="2568" width="15.7109375" style="684" customWidth="1"/>
    <col min="2569" max="2569" width="8.7109375" style="684" customWidth="1"/>
    <col min="2570" max="2817" width="9.140625" style="684"/>
    <col min="2818" max="2818" width="46.7109375" style="684" customWidth="1"/>
    <col min="2819" max="2819" width="18" style="684" customWidth="1"/>
    <col min="2820" max="2820" width="12.42578125" style="684" customWidth="1"/>
    <col min="2821" max="2822" width="9.140625" style="684"/>
    <col min="2823" max="2824" width="15.7109375" style="684" customWidth="1"/>
    <col min="2825" max="2825" width="8.7109375" style="684" customWidth="1"/>
    <col min="2826" max="3073" width="9.140625" style="684"/>
    <col min="3074" max="3074" width="46.7109375" style="684" customWidth="1"/>
    <col min="3075" max="3075" width="18" style="684" customWidth="1"/>
    <col min="3076" max="3076" width="12.42578125" style="684" customWidth="1"/>
    <col min="3077" max="3078" width="9.140625" style="684"/>
    <col min="3079" max="3080" width="15.7109375" style="684" customWidth="1"/>
    <col min="3081" max="3081" width="8.7109375" style="684" customWidth="1"/>
    <col min="3082" max="3329" width="9.140625" style="684"/>
    <col min="3330" max="3330" width="46.7109375" style="684" customWidth="1"/>
    <col min="3331" max="3331" width="18" style="684" customWidth="1"/>
    <col min="3332" max="3332" width="12.42578125" style="684" customWidth="1"/>
    <col min="3333" max="3334" width="9.140625" style="684"/>
    <col min="3335" max="3336" width="15.7109375" style="684" customWidth="1"/>
    <col min="3337" max="3337" width="8.7109375" style="684" customWidth="1"/>
    <col min="3338" max="3585" width="9.140625" style="684"/>
    <col min="3586" max="3586" width="46.7109375" style="684" customWidth="1"/>
    <col min="3587" max="3587" width="18" style="684" customWidth="1"/>
    <col min="3588" max="3588" width="12.42578125" style="684" customWidth="1"/>
    <col min="3589" max="3590" width="9.140625" style="684"/>
    <col min="3591" max="3592" width="15.7109375" style="684" customWidth="1"/>
    <col min="3593" max="3593" width="8.7109375" style="684" customWidth="1"/>
    <col min="3594" max="3841" width="9.140625" style="684"/>
    <col min="3842" max="3842" width="46.7109375" style="684" customWidth="1"/>
    <col min="3843" max="3843" width="18" style="684" customWidth="1"/>
    <col min="3844" max="3844" width="12.42578125" style="684" customWidth="1"/>
    <col min="3845" max="3846" width="9.140625" style="684"/>
    <col min="3847" max="3848" width="15.7109375" style="684" customWidth="1"/>
    <col min="3849" max="3849" width="8.7109375" style="684" customWidth="1"/>
    <col min="3850" max="4097" width="9.140625" style="684"/>
    <col min="4098" max="4098" width="46.7109375" style="684" customWidth="1"/>
    <col min="4099" max="4099" width="18" style="684" customWidth="1"/>
    <col min="4100" max="4100" width="12.42578125" style="684" customWidth="1"/>
    <col min="4101" max="4102" width="9.140625" style="684"/>
    <col min="4103" max="4104" width="15.7109375" style="684" customWidth="1"/>
    <col min="4105" max="4105" width="8.7109375" style="684" customWidth="1"/>
    <col min="4106" max="4353" width="9.140625" style="684"/>
    <col min="4354" max="4354" width="46.7109375" style="684" customWidth="1"/>
    <col min="4355" max="4355" width="18" style="684" customWidth="1"/>
    <col min="4356" max="4356" width="12.42578125" style="684" customWidth="1"/>
    <col min="4357" max="4358" width="9.140625" style="684"/>
    <col min="4359" max="4360" width="15.7109375" style="684" customWidth="1"/>
    <col min="4361" max="4361" width="8.7109375" style="684" customWidth="1"/>
    <col min="4362" max="4609" width="9.140625" style="684"/>
    <col min="4610" max="4610" width="46.7109375" style="684" customWidth="1"/>
    <col min="4611" max="4611" width="18" style="684" customWidth="1"/>
    <col min="4612" max="4612" width="12.42578125" style="684" customWidth="1"/>
    <col min="4613" max="4614" width="9.140625" style="684"/>
    <col min="4615" max="4616" width="15.7109375" style="684" customWidth="1"/>
    <col min="4617" max="4617" width="8.7109375" style="684" customWidth="1"/>
    <col min="4618" max="4865" width="9.140625" style="684"/>
    <col min="4866" max="4866" width="46.7109375" style="684" customWidth="1"/>
    <col min="4867" max="4867" width="18" style="684" customWidth="1"/>
    <col min="4868" max="4868" width="12.42578125" style="684" customWidth="1"/>
    <col min="4869" max="4870" width="9.140625" style="684"/>
    <col min="4871" max="4872" width="15.7109375" style="684" customWidth="1"/>
    <col min="4873" max="4873" width="8.7109375" style="684" customWidth="1"/>
    <col min="4874" max="5121" width="9.140625" style="684"/>
    <col min="5122" max="5122" width="46.7109375" style="684" customWidth="1"/>
    <col min="5123" max="5123" width="18" style="684" customWidth="1"/>
    <col min="5124" max="5124" width="12.42578125" style="684" customWidth="1"/>
    <col min="5125" max="5126" width="9.140625" style="684"/>
    <col min="5127" max="5128" width="15.7109375" style="684" customWidth="1"/>
    <col min="5129" max="5129" width="8.7109375" style="684" customWidth="1"/>
    <col min="5130" max="5377" width="9.140625" style="684"/>
    <col min="5378" max="5378" width="46.7109375" style="684" customWidth="1"/>
    <col min="5379" max="5379" width="18" style="684" customWidth="1"/>
    <col min="5380" max="5380" width="12.42578125" style="684" customWidth="1"/>
    <col min="5381" max="5382" width="9.140625" style="684"/>
    <col min="5383" max="5384" width="15.7109375" style="684" customWidth="1"/>
    <col min="5385" max="5385" width="8.7109375" style="684" customWidth="1"/>
    <col min="5386" max="5633" width="9.140625" style="684"/>
    <col min="5634" max="5634" width="46.7109375" style="684" customWidth="1"/>
    <col min="5635" max="5635" width="18" style="684" customWidth="1"/>
    <col min="5636" max="5636" width="12.42578125" style="684" customWidth="1"/>
    <col min="5637" max="5638" width="9.140625" style="684"/>
    <col min="5639" max="5640" width="15.7109375" style="684" customWidth="1"/>
    <col min="5641" max="5641" width="8.7109375" style="684" customWidth="1"/>
    <col min="5642" max="5889" width="9.140625" style="684"/>
    <col min="5890" max="5890" width="46.7109375" style="684" customWidth="1"/>
    <col min="5891" max="5891" width="18" style="684" customWidth="1"/>
    <col min="5892" max="5892" width="12.42578125" style="684" customWidth="1"/>
    <col min="5893" max="5894" width="9.140625" style="684"/>
    <col min="5895" max="5896" width="15.7109375" style="684" customWidth="1"/>
    <col min="5897" max="5897" width="8.7109375" style="684" customWidth="1"/>
    <col min="5898" max="6145" width="9.140625" style="684"/>
    <col min="6146" max="6146" width="46.7109375" style="684" customWidth="1"/>
    <col min="6147" max="6147" width="18" style="684" customWidth="1"/>
    <col min="6148" max="6148" width="12.42578125" style="684" customWidth="1"/>
    <col min="6149" max="6150" width="9.140625" style="684"/>
    <col min="6151" max="6152" width="15.7109375" style="684" customWidth="1"/>
    <col min="6153" max="6153" width="8.7109375" style="684" customWidth="1"/>
    <col min="6154" max="6401" width="9.140625" style="684"/>
    <col min="6402" max="6402" width="46.7109375" style="684" customWidth="1"/>
    <col min="6403" max="6403" width="18" style="684" customWidth="1"/>
    <col min="6404" max="6404" width="12.42578125" style="684" customWidth="1"/>
    <col min="6405" max="6406" width="9.140625" style="684"/>
    <col min="6407" max="6408" width="15.7109375" style="684" customWidth="1"/>
    <col min="6409" max="6409" width="8.7109375" style="684" customWidth="1"/>
    <col min="6410" max="6657" width="9.140625" style="684"/>
    <col min="6658" max="6658" width="46.7109375" style="684" customWidth="1"/>
    <col min="6659" max="6659" width="18" style="684" customWidth="1"/>
    <col min="6660" max="6660" width="12.42578125" style="684" customWidth="1"/>
    <col min="6661" max="6662" width="9.140625" style="684"/>
    <col min="6663" max="6664" width="15.7109375" style="684" customWidth="1"/>
    <col min="6665" max="6665" width="8.7109375" style="684" customWidth="1"/>
    <col min="6666" max="6913" width="9.140625" style="684"/>
    <col min="6914" max="6914" width="46.7109375" style="684" customWidth="1"/>
    <col min="6915" max="6915" width="18" style="684" customWidth="1"/>
    <col min="6916" max="6916" width="12.42578125" style="684" customWidth="1"/>
    <col min="6917" max="6918" width="9.140625" style="684"/>
    <col min="6919" max="6920" width="15.7109375" style="684" customWidth="1"/>
    <col min="6921" max="6921" width="8.7109375" style="684" customWidth="1"/>
    <col min="6922" max="7169" width="9.140625" style="684"/>
    <col min="7170" max="7170" width="46.7109375" style="684" customWidth="1"/>
    <col min="7171" max="7171" width="18" style="684" customWidth="1"/>
    <col min="7172" max="7172" width="12.42578125" style="684" customWidth="1"/>
    <col min="7173" max="7174" width="9.140625" style="684"/>
    <col min="7175" max="7176" width="15.7109375" style="684" customWidth="1"/>
    <col min="7177" max="7177" width="8.7109375" style="684" customWidth="1"/>
    <col min="7178" max="7425" width="9.140625" style="684"/>
    <col min="7426" max="7426" width="46.7109375" style="684" customWidth="1"/>
    <col min="7427" max="7427" width="18" style="684" customWidth="1"/>
    <col min="7428" max="7428" width="12.42578125" style="684" customWidth="1"/>
    <col min="7429" max="7430" width="9.140625" style="684"/>
    <col min="7431" max="7432" width="15.7109375" style="684" customWidth="1"/>
    <col min="7433" max="7433" width="8.7109375" style="684" customWidth="1"/>
    <col min="7434" max="7681" width="9.140625" style="684"/>
    <col min="7682" max="7682" width="46.7109375" style="684" customWidth="1"/>
    <col min="7683" max="7683" width="18" style="684" customWidth="1"/>
    <col min="7684" max="7684" width="12.42578125" style="684" customWidth="1"/>
    <col min="7685" max="7686" width="9.140625" style="684"/>
    <col min="7687" max="7688" width="15.7109375" style="684" customWidth="1"/>
    <col min="7689" max="7689" width="8.7109375" style="684" customWidth="1"/>
    <col min="7690" max="7937" width="9.140625" style="684"/>
    <col min="7938" max="7938" width="46.7109375" style="684" customWidth="1"/>
    <col min="7939" max="7939" width="18" style="684" customWidth="1"/>
    <col min="7940" max="7940" width="12.42578125" style="684" customWidth="1"/>
    <col min="7941" max="7942" width="9.140625" style="684"/>
    <col min="7943" max="7944" width="15.7109375" style="684" customWidth="1"/>
    <col min="7945" max="7945" width="8.7109375" style="684" customWidth="1"/>
    <col min="7946" max="8193" width="9.140625" style="684"/>
    <col min="8194" max="8194" width="46.7109375" style="684" customWidth="1"/>
    <col min="8195" max="8195" width="18" style="684" customWidth="1"/>
    <col min="8196" max="8196" width="12.42578125" style="684" customWidth="1"/>
    <col min="8197" max="8198" width="9.140625" style="684"/>
    <col min="8199" max="8200" width="15.7109375" style="684" customWidth="1"/>
    <col min="8201" max="8201" width="8.7109375" style="684" customWidth="1"/>
    <col min="8202" max="8449" width="9.140625" style="684"/>
    <col min="8450" max="8450" width="46.7109375" style="684" customWidth="1"/>
    <col min="8451" max="8451" width="18" style="684" customWidth="1"/>
    <col min="8452" max="8452" width="12.42578125" style="684" customWidth="1"/>
    <col min="8453" max="8454" width="9.140625" style="684"/>
    <col min="8455" max="8456" width="15.7109375" style="684" customWidth="1"/>
    <col min="8457" max="8457" width="8.7109375" style="684" customWidth="1"/>
    <col min="8458" max="8705" width="9.140625" style="684"/>
    <col min="8706" max="8706" width="46.7109375" style="684" customWidth="1"/>
    <col min="8707" max="8707" width="18" style="684" customWidth="1"/>
    <col min="8708" max="8708" width="12.42578125" style="684" customWidth="1"/>
    <col min="8709" max="8710" width="9.140625" style="684"/>
    <col min="8711" max="8712" width="15.7109375" style="684" customWidth="1"/>
    <col min="8713" max="8713" width="8.7109375" style="684" customWidth="1"/>
    <col min="8714" max="8961" width="9.140625" style="684"/>
    <col min="8962" max="8962" width="46.7109375" style="684" customWidth="1"/>
    <col min="8963" max="8963" width="18" style="684" customWidth="1"/>
    <col min="8964" max="8964" width="12.42578125" style="684" customWidth="1"/>
    <col min="8965" max="8966" width="9.140625" style="684"/>
    <col min="8967" max="8968" width="15.7109375" style="684" customWidth="1"/>
    <col min="8969" max="8969" width="8.7109375" style="684" customWidth="1"/>
    <col min="8970" max="9217" width="9.140625" style="684"/>
    <col min="9218" max="9218" width="46.7109375" style="684" customWidth="1"/>
    <col min="9219" max="9219" width="18" style="684" customWidth="1"/>
    <col min="9220" max="9220" width="12.42578125" style="684" customWidth="1"/>
    <col min="9221" max="9222" width="9.140625" style="684"/>
    <col min="9223" max="9224" width="15.7109375" style="684" customWidth="1"/>
    <col min="9225" max="9225" width="8.7109375" style="684" customWidth="1"/>
    <col min="9226" max="9473" width="9.140625" style="684"/>
    <col min="9474" max="9474" width="46.7109375" style="684" customWidth="1"/>
    <col min="9475" max="9475" width="18" style="684" customWidth="1"/>
    <col min="9476" max="9476" width="12.42578125" style="684" customWidth="1"/>
    <col min="9477" max="9478" width="9.140625" style="684"/>
    <col min="9479" max="9480" width="15.7109375" style="684" customWidth="1"/>
    <col min="9481" max="9481" width="8.7109375" style="684" customWidth="1"/>
    <col min="9482" max="9729" width="9.140625" style="684"/>
    <col min="9730" max="9730" width="46.7109375" style="684" customWidth="1"/>
    <col min="9731" max="9731" width="18" style="684" customWidth="1"/>
    <col min="9732" max="9732" width="12.42578125" style="684" customWidth="1"/>
    <col min="9733" max="9734" width="9.140625" style="684"/>
    <col min="9735" max="9736" width="15.7109375" style="684" customWidth="1"/>
    <col min="9737" max="9737" width="8.7109375" style="684" customWidth="1"/>
    <col min="9738" max="9985" width="9.140625" style="684"/>
    <col min="9986" max="9986" width="46.7109375" style="684" customWidth="1"/>
    <col min="9987" max="9987" width="18" style="684" customWidth="1"/>
    <col min="9988" max="9988" width="12.42578125" style="684" customWidth="1"/>
    <col min="9989" max="9990" width="9.140625" style="684"/>
    <col min="9991" max="9992" width="15.7109375" style="684" customWidth="1"/>
    <col min="9993" max="9993" width="8.7109375" style="684" customWidth="1"/>
    <col min="9994" max="10241" width="9.140625" style="684"/>
    <col min="10242" max="10242" width="46.7109375" style="684" customWidth="1"/>
    <col min="10243" max="10243" width="18" style="684" customWidth="1"/>
    <col min="10244" max="10244" width="12.42578125" style="684" customWidth="1"/>
    <col min="10245" max="10246" width="9.140625" style="684"/>
    <col min="10247" max="10248" width="15.7109375" style="684" customWidth="1"/>
    <col min="10249" max="10249" width="8.7109375" style="684" customWidth="1"/>
    <col min="10250" max="10497" width="9.140625" style="684"/>
    <col min="10498" max="10498" width="46.7109375" style="684" customWidth="1"/>
    <col min="10499" max="10499" width="18" style="684" customWidth="1"/>
    <col min="10500" max="10500" width="12.42578125" style="684" customWidth="1"/>
    <col min="10501" max="10502" width="9.140625" style="684"/>
    <col min="10503" max="10504" width="15.7109375" style="684" customWidth="1"/>
    <col min="10505" max="10505" width="8.7109375" style="684" customWidth="1"/>
    <col min="10506" max="10753" width="9.140625" style="684"/>
    <col min="10754" max="10754" width="46.7109375" style="684" customWidth="1"/>
    <col min="10755" max="10755" width="18" style="684" customWidth="1"/>
    <col min="10756" max="10756" width="12.42578125" style="684" customWidth="1"/>
    <col min="10757" max="10758" width="9.140625" style="684"/>
    <col min="10759" max="10760" width="15.7109375" style="684" customWidth="1"/>
    <col min="10761" max="10761" width="8.7109375" style="684" customWidth="1"/>
    <col min="10762" max="11009" width="9.140625" style="684"/>
    <col min="11010" max="11010" width="46.7109375" style="684" customWidth="1"/>
    <col min="11011" max="11011" width="18" style="684" customWidth="1"/>
    <col min="11012" max="11012" width="12.42578125" style="684" customWidth="1"/>
    <col min="11013" max="11014" width="9.140625" style="684"/>
    <col min="11015" max="11016" width="15.7109375" style="684" customWidth="1"/>
    <col min="11017" max="11017" width="8.7109375" style="684" customWidth="1"/>
    <col min="11018" max="11265" width="9.140625" style="684"/>
    <col min="11266" max="11266" width="46.7109375" style="684" customWidth="1"/>
    <col min="11267" max="11267" width="18" style="684" customWidth="1"/>
    <col min="11268" max="11268" width="12.42578125" style="684" customWidth="1"/>
    <col min="11269" max="11270" width="9.140625" style="684"/>
    <col min="11271" max="11272" width="15.7109375" style="684" customWidth="1"/>
    <col min="11273" max="11273" width="8.7109375" style="684" customWidth="1"/>
    <col min="11274" max="11521" width="9.140625" style="684"/>
    <col min="11522" max="11522" width="46.7109375" style="684" customWidth="1"/>
    <col min="11523" max="11523" width="18" style="684" customWidth="1"/>
    <col min="11524" max="11524" width="12.42578125" style="684" customWidth="1"/>
    <col min="11525" max="11526" width="9.140625" style="684"/>
    <col min="11527" max="11528" width="15.7109375" style="684" customWidth="1"/>
    <col min="11529" max="11529" width="8.7109375" style="684" customWidth="1"/>
    <col min="11530" max="11777" width="9.140625" style="684"/>
    <col min="11778" max="11778" width="46.7109375" style="684" customWidth="1"/>
    <col min="11779" max="11779" width="18" style="684" customWidth="1"/>
    <col min="11780" max="11780" width="12.42578125" style="684" customWidth="1"/>
    <col min="11781" max="11782" width="9.140625" style="684"/>
    <col min="11783" max="11784" width="15.7109375" style="684" customWidth="1"/>
    <col min="11785" max="11785" width="8.7109375" style="684" customWidth="1"/>
    <col min="11786" max="12033" width="9.140625" style="684"/>
    <col min="12034" max="12034" width="46.7109375" style="684" customWidth="1"/>
    <col min="12035" max="12035" width="18" style="684" customWidth="1"/>
    <col min="12036" max="12036" width="12.42578125" style="684" customWidth="1"/>
    <col min="12037" max="12038" width="9.140625" style="684"/>
    <col min="12039" max="12040" width="15.7109375" style="684" customWidth="1"/>
    <col min="12041" max="12041" width="8.7109375" style="684" customWidth="1"/>
    <col min="12042" max="12289" width="9.140625" style="684"/>
    <col min="12290" max="12290" width="46.7109375" style="684" customWidth="1"/>
    <col min="12291" max="12291" width="18" style="684" customWidth="1"/>
    <col min="12292" max="12292" width="12.42578125" style="684" customWidth="1"/>
    <col min="12293" max="12294" width="9.140625" style="684"/>
    <col min="12295" max="12296" width="15.7109375" style="684" customWidth="1"/>
    <col min="12297" max="12297" width="8.7109375" style="684" customWidth="1"/>
    <col min="12298" max="12545" width="9.140625" style="684"/>
    <col min="12546" max="12546" width="46.7109375" style="684" customWidth="1"/>
    <col min="12547" max="12547" width="18" style="684" customWidth="1"/>
    <col min="12548" max="12548" width="12.42578125" style="684" customWidth="1"/>
    <col min="12549" max="12550" width="9.140625" style="684"/>
    <col min="12551" max="12552" width="15.7109375" style="684" customWidth="1"/>
    <col min="12553" max="12553" width="8.7109375" style="684" customWidth="1"/>
    <col min="12554" max="12801" width="9.140625" style="684"/>
    <col min="12802" max="12802" width="46.7109375" style="684" customWidth="1"/>
    <col min="12803" max="12803" width="18" style="684" customWidth="1"/>
    <col min="12804" max="12804" width="12.42578125" style="684" customWidth="1"/>
    <col min="12805" max="12806" width="9.140625" style="684"/>
    <col min="12807" max="12808" width="15.7109375" style="684" customWidth="1"/>
    <col min="12809" max="12809" width="8.7109375" style="684" customWidth="1"/>
    <col min="12810" max="13057" width="9.140625" style="684"/>
    <col min="13058" max="13058" width="46.7109375" style="684" customWidth="1"/>
    <col min="13059" max="13059" width="18" style="684" customWidth="1"/>
    <col min="13060" max="13060" width="12.42578125" style="684" customWidth="1"/>
    <col min="13061" max="13062" width="9.140625" style="684"/>
    <col min="13063" max="13064" width="15.7109375" style="684" customWidth="1"/>
    <col min="13065" max="13065" width="8.7109375" style="684" customWidth="1"/>
    <col min="13066" max="13313" width="9.140625" style="684"/>
    <col min="13314" max="13314" width="46.7109375" style="684" customWidth="1"/>
    <col min="13315" max="13315" width="18" style="684" customWidth="1"/>
    <col min="13316" max="13316" width="12.42578125" style="684" customWidth="1"/>
    <col min="13317" max="13318" width="9.140625" style="684"/>
    <col min="13319" max="13320" width="15.7109375" style="684" customWidth="1"/>
    <col min="13321" max="13321" width="8.7109375" style="684" customWidth="1"/>
    <col min="13322" max="13569" width="9.140625" style="684"/>
    <col min="13570" max="13570" width="46.7109375" style="684" customWidth="1"/>
    <col min="13571" max="13571" width="18" style="684" customWidth="1"/>
    <col min="13572" max="13572" width="12.42578125" style="684" customWidth="1"/>
    <col min="13573" max="13574" width="9.140625" style="684"/>
    <col min="13575" max="13576" width="15.7109375" style="684" customWidth="1"/>
    <col min="13577" max="13577" width="8.7109375" style="684" customWidth="1"/>
    <col min="13578" max="13825" width="9.140625" style="684"/>
    <col min="13826" max="13826" width="46.7109375" style="684" customWidth="1"/>
    <col min="13827" max="13827" width="18" style="684" customWidth="1"/>
    <col min="13828" max="13828" width="12.42578125" style="684" customWidth="1"/>
    <col min="13829" max="13830" width="9.140625" style="684"/>
    <col min="13831" max="13832" width="15.7109375" style="684" customWidth="1"/>
    <col min="13833" max="13833" width="8.7109375" style="684" customWidth="1"/>
    <col min="13834" max="14081" width="9.140625" style="684"/>
    <col min="14082" max="14082" width="46.7109375" style="684" customWidth="1"/>
    <col min="14083" max="14083" width="18" style="684" customWidth="1"/>
    <col min="14084" max="14084" width="12.42578125" style="684" customWidth="1"/>
    <col min="14085" max="14086" width="9.140625" style="684"/>
    <col min="14087" max="14088" width="15.7109375" style="684" customWidth="1"/>
    <col min="14089" max="14089" width="8.7109375" style="684" customWidth="1"/>
    <col min="14090" max="14337" width="9.140625" style="684"/>
    <col min="14338" max="14338" width="46.7109375" style="684" customWidth="1"/>
    <col min="14339" max="14339" width="18" style="684" customWidth="1"/>
    <col min="14340" max="14340" width="12.42578125" style="684" customWidth="1"/>
    <col min="14341" max="14342" width="9.140625" style="684"/>
    <col min="14343" max="14344" width="15.7109375" style="684" customWidth="1"/>
    <col min="14345" max="14345" width="8.7109375" style="684" customWidth="1"/>
    <col min="14346" max="14593" width="9.140625" style="684"/>
    <col min="14594" max="14594" width="46.7109375" style="684" customWidth="1"/>
    <col min="14595" max="14595" width="18" style="684" customWidth="1"/>
    <col min="14596" max="14596" width="12.42578125" style="684" customWidth="1"/>
    <col min="14597" max="14598" width="9.140625" style="684"/>
    <col min="14599" max="14600" width="15.7109375" style="684" customWidth="1"/>
    <col min="14601" max="14601" width="8.7109375" style="684" customWidth="1"/>
    <col min="14602" max="14849" width="9.140625" style="684"/>
    <col min="14850" max="14850" width="46.7109375" style="684" customWidth="1"/>
    <col min="14851" max="14851" width="18" style="684" customWidth="1"/>
    <col min="14852" max="14852" width="12.42578125" style="684" customWidth="1"/>
    <col min="14853" max="14854" width="9.140625" style="684"/>
    <col min="14855" max="14856" width="15.7109375" style="684" customWidth="1"/>
    <col min="14857" max="14857" width="8.7109375" style="684" customWidth="1"/>
    <col min="14858" max="15105" width="9.140625" style="684"/>
    <col min="15106" max="15106" width="46.7109375" style="684" customWidth="1"/>
    <col min="15107" max="15107" width="18" style="684" customWidth="1"/>
    <col min="15108" max="15108" width="12.42578125" style="684" customWidth="1"/>
    <col min="15109" max="15110" width="9.140625" style="684"/>
    <col min="15111" max="15112" width="15.7109375" style="684" customWidth="1"/>
    <col min="15113" max="15113" width="8.7109375" style="684" customWidth="1"/>
    <col min="15114" max="15361" width="9.140625" style="684"/>
    <col min="15362" max="15362" width="46.7109375" style="684" customWidth="1"/>
    <col min="15363" max="15363" width="18" style="684" customWidth="1"/>
    <col min="15364" max="15364" width="12.42578125" style="684" customWidth="1"/>
    <col min="15365" max="15366" width="9.140625" style="684"/>
    <col min="15367" max="15368" width="15.7109375" style="684" customWidth="1"/>
    <col min="15369" max="15369" width="8.7109375" style="684" customWidth="1"/>
    <col min="15370" max="15617" width="9.140625" style="684"/>
    <col min="15618" max="15618" width="46.7109375" style="684" customWidth="1"/>
    <col min="15619" max="15619" width="18" style="684" customWidth="1"/>
    <col min="15620" max="15620" width="12.42578125" style="684" customWidth="1"/>
    <col min="15621" max="15622" width="9.140625" style="684"/>
    <col min="15623" max="15624" width="15.7109375" style="684" customWidth="1"/>
    <col min="15625" max="15625" width="8.7109375" style="684" customWidth="1"/>
    <col min="15626" max="15873" width="9.140625" style="684"/>
    <col min="15874" max="15874" width="46.7109375" style="684" customWidth="1"/>
    <col min="15875" max="15875" width="18" style="684" customWidth="1"/>
    <col min="15876" max="15876" width="12.42578125" style="684" customWidth="1"/>
    <col min="15877" max="15878" width="9.140625" style="684"/>
    <col min="15879" max="15880" width="15.7109375" style="684" customWidth="1"/>
    <col min="15881" max="15881" width="8.7109375" style="684" customWidth="1"/>
    <col min="15882" max="16129" width="9.140625" style="684"/>
    <col min="16130" max="16130" width="46.7109375" style="684" customWidth="1"/>
    <col min="16131" max="16131" width="18" style="684" customWidth="1"/>
    <col min="16132" max="16132" width="12.42578125" style="684" customWidth="1"/>
    <col min="16133" max="16134" width="9.140625" style="684"/>
    <col min="16135" max="16136" width="15.7109375" style="684" customWidth="1"/>
    <col min="16137" max="16137" width="8.7109375" style="684" customWidth="1"/>
    <col min="16138" max="16384" width="9.140625" style="684"/>
  </cols>
  <sheetData>
    <row r="1" spans="1:8" ht="15" customHeight="1">
      <c r="A1" s="38" t="s">
        <v>221</v>
      </c>
      <c r="C1" s="38"/>
    </row>
    <row r="2" spans="1:8" ht="15" customHeight="1">
      <c r="A2" s="38"/>
      <c r="C2" s="214">
        <f>Rashodi!I9/(Prihodi!G234-Prihodi!G48-Prihodi!G52-Prihodi!G58-Prihodi!G59-Prihodi!G65-Prihodi!G84-Prihodi!G89-Prihodi!G92-Prihodi!G104-Prihodi!G115-Prihodi!G120-Prihodi!G122-Prihodi!G132-Prihodi!G164-Prihodi!G174-Prihodi!G181-Prihodi!G190)*100</f>
        <v>1.2647654380748747</v>
      </c>
    </row>
    <row r="3" spans="1:8" ht="15" customHeight="1">
      <c r="A3" s="693" t="s">
        <v>884</v>
      </c>
      <c r="C3" s="214"/>
    </row>
    <row r="4" spans="1:8" ht="17.25" customHeight="1">
      <c r="A4" s="939" t="str">
        <f>CONCATENATE("     U tekuću pričuvu Vlade izdvojit će se ",TEXT(C2,"#.##0,00"),"% prihoda bez namjenskih prihoda, vlastitih prihoda i primitaka Proračuna.")</f>
        <v xml:space="preserve">     U tekuću pričuvu Vlade izdvojit će se 1,26% prihoda bez namjenskih prihoda, vlastitih prihoda i primitaka Proračuna.</v>
      </c>
      <c r="B4" s="940"/>
      <c r="C4" s="940"/>
      <c r="D4" s="941"/>
      <c r="E4" s="941"/>
      <c r="F4" s="941"/>
      <c r="G4" s="941"/>
      <c r="H4" s="941"/>
    </row>
    <row r="5" spans="1:8" ht="15" customHeight="1">
      <c r="G5" s="45"/>
      <c r="H5" s="45"/>
    </row>
    <row r="6" spans="1:8" ht="15" customHeight="1">
      <c r="A6" s="38" t="s">
        <v>222</v>
      </c>
      <c r="C6" s="38"/>
    </row>
    <row r="7" spans="1:8" ht="6.75" customHeight="1">
      <c r="A7" s="38"/>
      <c r="C7" s="38"/>
      <c r="E7" s="213"/>
    </row>
    <row r="8" spans="1:8" ht="15" customHeight="1">
      <c r="A8" s="937" t="s">
        <v>886</v>
      </c>
      <c r="B8" s="938"/>
      <c r="C8" s="938"/>
      <c r="D8" s="832"/>
      <c r="E8" s="832"/>
      <c r="F8" s="832"/>
      <c r="G8" s="832"/>
      <c r="H8" s="832"/>
    </row>
    <row r="9" spans="1:8" ht="15" customHeight="1">
      <c r="A9" s="938"/>
      <c r="B9" s="938"/>
      <c r="C9" s="938"/>
      <c r="D9" s="832"/>
      <c r="E9" s="832"/>
      <c r="F9" s="832"/>
      <c r="G9" s="832"/>
      <c r="H9" s="832"/>
    </row>
    <row r="14" spans="1:8" ht="15" customHeight="1">
      <c r="A14" s="684" t="s">
        <v>171</v>
      </c>
    </row>
    <row r="15" spans="1:8" ht="15" customHeight="1">
      <c r="A15" s="684" t="s">
        <v>860</v>
      </c>
    </row>
    <row r="16" spans="1:8" ht="15" customHeight="1">
      <c r="A16" s="684" t="s">
        <v>172</v>
      </c>
    </row>
    <row r="17" spans="1:8" ht="15" customHeight="1">
      <c r="A17" s="684" t="s">
        <v>173</v>
      </c>
    </row>
    <row r="18" spans="1:8" ht="15" customHeight="1">
      <c r="A18" s="545" t="s">
        <v>887</v>
      </c>
    </row>
    <row r="19" spans="1:8" ht="15" customHeight="1">
      <c r="A19" s="545" t="s">
        <v>888</v>
      </c>
    </row>
    <row r="20" spans="1:8" ht="15" customHeight="1">
      <c r="G20" s="942" t="s">
        <v>885</v>
      </c>
      <c r="H20" s="832"/>
    </row>
    <row r="21" spans="1:8" ht="15" customHeight="1">
      <c r="G21" s="935"/>
      <c r="H21" s="935"/>
    </row>
    <row r="22" spans="1:8" ht="15" customHeight="1">
      <c r="G22" s="936" t="s">
        <v>861</v>
      </c>
      <c r="H22" s="935"/>
    </row>
    <row r="25" spans="1:8" ht="15" customHeight="1">
      <c r="C25" s="687"/>
    </row>
    <row r="28" spans="1:8" ht="15" customHeight="1">
      <c r="C28" s="687"/>
    </row>
    <row r="38" ht="12.75"/>
  </sheetData>
  <mergeCells count="5">
    <mergeCell ref="G21:H21"/>
    <mergeCell ref="G22:H22"/>
    <mergeCell ref="A8:H9"/>
    <mergeCell ref="A4:H4"/>
    <mergeCell ref="G20:H20"/>
  </mergeCells>
  <phoneticPr fontId="0" type="noConversion"/>
  <pageMargins left="0.9055118110236221" right="0.31496062992125984" top="0.35433070866141736" bottom="0.51181102362204722" header="0.39370078740157483" footer="0.31496062992125984"/>
  <pageSetup paperSize="9" scale="88" orientation="landscape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4"/>
  <dimension ref="A2:O237"/>
  <sheetViews>
    <sheetView topLeftCell="B1" zoomScale="115" zoomScaleNormal="115" workbookViewId="0">
      <selection activeCell="K27" sqref="K27"/>
    </sheetView>
  </sheetViews>
  <sheetFormatPr defaultRowHeight="14.25"/>
  <cols>
    <col min="1" max="1" width="0.42578125" style="828" hidden="1" customWidth="1"/>
    <col min="2" max="2" width="13.28515625" style="687" customWidth="1"/>
    <col min="3" max="3" width="63.140625" style="828" customWidth="1"/>
    <col min="4" max="6" width="15.7109375" style="828" customWidth="1"/>
    <col min="7" max="7" width="19" style="464" customWidth="1"/>
    <col min="8" max="8" width="9" style="828" customWidth="1"/>
    <col min="9" max="9" width="11" style="185" customWidth="1"/>
    <col min="10" max="10" width="17.28515625" style="185" customWidth="1"/>
    <col min="11" max="11" width="19.85546875" style="185" customWidth="1"/>
    <col min="12" max="12" width="16.42578125" style="185" customWidth="1"/>
    <col min="13" max="13" width="16.42578125" style="828" bestFit="1" customWidth="1"/>
    <col min="14" max="16384" width="9.140625" style="828"/>
  </cols>
  <sheetData>
    <row r="2" spans="2:13" ht="18.75" customHeight="1" thickBot="1">
      <c r="B2" s="864" t="s">
        <v>75</v>
      </c>
      <c r="C2" s="864"/>
      <c r="D2" s="864"/>
      <c r="E2" s="864"/>
      <c r="F2" s="864"/>
      <c r="G2" s="865"/>
      <c r="H2" s="865"/>
    </row>
    <row r="3" spans="2:13" ht="76.5" customHeight="1">
      <c r="B3" s="57" t="s">
        <v>157</v>
      </c>
      <c r="C3" s="58" t="s">
        <v>79</v>
      </c>
      <c r="D3" s="94" t="s">
        <v>697</v>
      </c>
      <c r="E3" s="94" t="s">
        <v>867</v>
      </c>
      <c r="F3" s="94" t="s">
        <v>863</v>
      </c>
      <c r="G3" s="451" t="s">
        <v>868</v>
      </c>
      <c r="H3" s="218" t="s">
        <v>533</v>
      </c>
      <c r="I3" s="285"/>
      <c r="J3" s="550"/>
      <c r="K3" s="551"/>
      <c r="L3" s="551"/>
      <c r="M3" s="545"/>
    </row>
    <row r="4" spans="2:13" ht="12.75" customHeight="1">
      <c r="B4" s="151">
        <v>1</v>
      </c>
      <c r="C4" s="152">
        <v>2</v>
      </c>
      <c r="D4" s="152">
        <v>3</v>
      </c>
      <c r="E4" s="152">
        <v>4</v>
      </c>
      <c r="F4" s="284">
        <v>5</v>
      </c>
      <c r="G4" s="465">
        <v>6</v>
      </c>
      <c r="H4" s="184">
        <v>7</v>
      </c>
    </row>
    <row r="5" spans="2:13" s="36" customFormat="1" ht="17.25" customHeight="1">
      <c r="B5" s="219">
        <v>710000</v>
      </c>
      <c r="C5" s="220" t="s">
        <v>156</v>
      </c>
      <c r="D5" s="452">
        <f>D6+D15+D19+D27+D37+D46+D55</f>
        <v>38168780</v>
      </c>
      <c r="E5" s="452">
        <f>E6+E15+E19+E27+E37+E46+E55</f>
        <v>38168780</v>
      </c>
      <c r="F5" s="452">
        <f>F6+F15+F19+F27+F37+F46+F55</f>
        <v>9119604</v>
      </c>
      <c r="G5" s="452">
        <f>G6+G15+G19+G27+G37+G46+G55</f>
        <v>31336530</v>
      </c>
      <c r="H5" s="204">
        <f t="shared" ref="H5:H68" si="0">IF(E5=0,"",G5/E5*100)</f>
        <v>82.099899446615794</v>
      </c>
      <c r="I5" s="286"/>
      <c r="J5" s="186"/>
      <c r="K5" s="186"/>
      <c r="L5" s="186"/>
    </row>
    <row r="6" spans="2:13" s="124" customFormat="1" ht="17.100000000000001" customHeight="1">
      <c r="B6" s="222">
        <v>711000</v>
      </c>
      <c r="C6" s="223" t="s">
        <v>161</v>
      </c>
      <c r="D6" s="224">
        <f>D7+D12</f>
        <v>3168630</v>
      </c>
      <c r="E6" s="224">
        <f>E7+E12</f>
        <v>3168630</v>
      </c>
      <c r="F6" s="224">
        <f>F7+F12</f>
        <v>607124</v>
      </c>
      <c r="G6" s="453">
        <f>G7+G12</f>
        <v>1191450</v>
      </c>
      <c r="H6" s="205">
        <f t="shared" si="0"/>
        <v>37.601423959250532</v>
      </c>
      <c r="I6" s="287"/>
      <c r="J6" s="187"/>
      <c r="K6" s="188"/>
      <c r="L6" s="188"/>
    </row>
    <row r="7" spans="2:13" s="124" customFormat="1" ht="15" customHeight="1">
      <c r="B7" s="125">
        <v>711100</v>
      </c>
      <c r="C7" s="126" t="s">
        <v>223</v>
      </c>
      <c r="D7" s="122">
        <f>SUM(D8:D11)</f>
        <v>2940</v>
      </c>
      <c r="E7" s="122">
        <f>SUM(E8:E11)</f>
        <v>2940</v>
      </c>
      <c r="F7" s="122">
        <f>SUM(F8:F11)</f>
        <v>319</v>
      </c>
      <c r="G7" s="454">
        <f>SUM(G8:G11)</f>
        <v>1070</v>
      </c>
      <c r="H7" s="135">
        <f t="shared" si="0"/>
        <v>36.394557823129254</v>
      </c>
      <c r="I7" s="287"/>
      <c r="J7" s="188"/>
      <c r="K7" s="188"/>
      <c r="L7" s="188"/>
    </row>
    <row r="8" spans="2:13" ht="15" customHeight="1">
      <c r="B8" s="121">
        <v>711111</v>
      </c>
      <c r="C8" s="189" t="s">
        <v>224</v>
      </c>
      <c r="D8" s="688">
        <v>2870</v>
      </c>
      <c r="E8" s="688">
        <v>2870</v>
      </c>
      <c r="F8" s="688">
        <v>309</v>
      </c>
      <c r="G8" s="455">
        <v>640</v>
      </c>
      <c r="H8" s="127">
        <f t="shared" si="0"/>
        <v>22.299651567944252</v>
      </c>
      <c r="I8" s="287"/>
      <c r="K8" s="241"/>
    </row>
    <row r="9" spans="2:13" ht="15" customHeight="1">
      <c r="B9" s="121">
        <v>711113</v>
      </c>
      <c r="C9" s="189" t="s">
        <v>548</v>
      </c>
      <c r="D9" s="688">
        <v>20</v>
      </c>
      <c r="E9" s="688">
        <v>20</v>
      </c>
      <c r="F9" s="688">
        <v>10</v>
      </c>
      <c r="G9" s="455">
        <v>400</v>
      </c>
      <c r="H9" s="127">
        <f t="shared" si="0"/>
        <v>2000</v>
      </c>
      <c r="I9" s="287"/>
      <c r="K9" s="241"/>
    </row>
    <row r="10" spans="2:13" ht="15" customHeight="1">
      <c r="B10" s="121">
        <v>711114</v>
      </c>
      <c r="C10" s="189" t="s">
        <v>457</v>
      </c>
      <c r="D10" s="688">
        <v>30</v>
      </c>
      <c r="E10" s="688">
        <v>30</v>
      </c>
      <c r="F10" s="688">
        <v>0</v>
      </c>
      <c r="G10" s="455">
        <v>20</v>
      </c>
      <c r="H10" s="127">
        <f t="shared" si="0"/>
        <v>66.666666666666657</v>
      </c>
      <c r="I10" s="287"/>
      <c r="K10" s="241"/>
    </row>
    <row r="11" spans="2:13" ht="15" customHeight="1">
      <c r="B11" s="121">
        <v>711115</v>
      </c>
      <c r="C11" s="189" t="s">
        <v>225</v>
      </c>
      <c r="D11" s="548">
        <v>20</v>
      </c>
      <c r="E11" s="548">
        <v>20</v>
      </c>
      <c r="F11" s="548">
        <v>0</v>
      </c>
      <c r="G11" s="456">
        <v>10</v>
      </c>
      <c r="H11" s="127">
        <f t="shared" si="0"/>
        <v>50</v>
      </c>
      <c r="I11" s="287"/>
      <c r="K11" s="241"/>
    </row>
    <row r="12" spans="2:13" s="124" customFormat="1" ht="15" customHeight="1">
      <c r="B12" s="125">
        <v>711200</v>
      </c>
      <c r="C12" s="126" t="s">
        <v>228</v>
      </c>
      <c r="D12" s="122">
        <f>SUM(D13:D14)</f>
        <v>3165690</v>
      </c>
      <c r="E12" s="122">
        <f>SUM(E13:E14)</f>
        <v>3165690</v>
      </c>
      <c r="F12" s="122">
        <f>SUM(F13:F14)</f>
        <v>606805</v>
      </c>
      <c r="G12" s="457">
        <f>SUM(G13:G14)</f>
        <v>1190380</v>
      </c>
      <c r="H12" s="135">
        <f t="shared" si="0"/>
        <v>37.602544784865231</v>
      </c>
      <c r="I12" s="287"/>
      <c r="J12" s="188"/>
      <c r="K12" s="830"/>
      <c r="L12" s="188"/>
      <c r="M12" s="828"/>
    </row>
    <row r="13" spans="2:13" ht="15" customHeight="1">
      <c r="B13" s="121">
        <v>711211</v>
      </c>
      <c r="C13" s="189" t="s">
        <v>226</v>
      </c>
      <c r="D13" s="548">
        <v>3087650</v>
      </c>
      <c r="E13" s="548">
        <v>3087650</v>
      </c>
      <c r="F13" s="548">
        <v>602453</v>
      </c>
      <c r="G13" s="456">
        <v>1140370</v>
      </c>
      <c r="H13" s="127">
        <f t="shared" si="0"/>
        <v>36.933266400012954</v>
      </c>
      <c r="I13" s="287"/>
      <c r="J13" s="241"/>
      <c r="K13" s="241"/>
    </row>
    <row r="14" spans="2:13" ht="15" customHeight="1">
      <c r="B14" s="121">
        <v>711212</v>
      </c>
      <c r="C14" s="189" t="s">
        <v>227</v>
      </c>
      <c r="D14" s="548">
        <v>78040</v>
      </c>
      <c r="E14" s="548">
        <v>78040</v>
      </c>
      <c r="F14" s="548">
        <v>4352</v>
      </c>
      <c r="G14" s="456">
        <v>50010</v>
      </c>
      <c r="H14" s="127">
        <f t="shared" si="0"/>
        <v>64.082521783700656</v>
      </c>
      <c r="I14" s="287"/>
      <c r="K14" s="241"/>
    </row>
    <row r="15" spans="2:13" s="124" customFormat="1" ht="17.100000000000001" customHeight="1">
      <c r="B15" s="222">
        <v>713000</v>
      </c>
      <c r="C15" s="225" t="s">
        <v>229</v>
      </c>
      <c r="D15" s="224">
        <f>D16</f>
        <v>2290</v>
      </c>
      <c r="E15" s="224">
        <f>E16</f>
        <v>2290</v>
      </c>
      <c r="F15" s="224">
        <f>F16</f>
        <v>352</v>
      </c>
      <c r="G15" s="453">
        <f>G16</f>
        <v>780</v>
      </c>
      <c r="H15" s="205">
        <f t="shared" si="0"/>
        <v>34.061135371179041</v>
      </c>
      <c r="I15" s="287"/>
      <c r="J15" s="188"/>
      <c r="K15" s="241"/>
      <c r="L15" s="188"/>
      <c r="M15" s="828"/>
    </row>
    <row r="16" spans="2:13" s="124" customFormat="1" ht="15" customHeight="1">
      <c r="B16" s="125">
        <v>713100</v>
      </c>
      <c r="C16" s="137" t="s">
        <v>329</v>
      </c>
      <c r="D16" s="138">
        <f>SUM(D17:D18)</f>
        <v>2290</v>
      </c>
      <c r="E16" s="138">
        <f>SUM(E17:E18)</f>
        <v>2290</v>
      </c>
      <c r="F16" s="138">
        <f>SUM(F17:F18)</f>
        <v>352</v>
      </c>
      <c r="G16" s="457">
        <f>SUM(G17:G18)</f>
        <v>780</v>
      </c>
      <c r="H16" s="135">
        <f t="shared" si="0"/>
        <v>34.061135371179041</v>
      </c>
      <c r="I16" s="287"/>
      <c r="J16" s="188"/>
      <c r="K16" s="241"/>
      <c r="L16" s="188"/>
      <c r="M16" s="828"/>
    </row>
    <row r="17" spans="2:13" ht="15" customHeight="1">
      <c r="B17" s="121">
        <v>713111</v>
      </c>
      <c r="C17" s="189" t="s">
        <v>230</v>
      </c>
      <c r="D17" s="688">
        <v>2030</v>
      </c>
      <c r="E17" s="688">
        <v>2030</v>
      </c>
      <c r="F17" s="688">
        <v>214</v>
      </c>
      <c r="G17" s="455">
        <v>470</v>
      </c>
      <c r="H17" s="127">
        <f t="shared" si="0"/>
        <v>23.152709359605911</v>
      </c>
      <c r="I17" s="241"/>
      <c r="K17" s="241"/>
    </row>
    <row r="18" spans="2:13" ht="15" customHeight="1">
      <c r="B18" s="121">
        <v>713113</v>
      </c>
      <c r="C18" s="189" t="s">
        <v>231</v>
      </c>
      <c r="D18" s="688">
        <v>260</v>
      </c>
      <c r="E18" s="688">
        <v>260</v>
      </c>
      <c r="F18" s="688">
        <v>138</v>
      </c>
      <c r="G18" s="455">
        <v>310</v>
      </c>
      <c r="H18" s="127">
        <f t="shared" si="0"/>
        <v>119.23076923076923</v>
      </c>
      <c r="I18" s="241"/>
      <c r="K18" s="241"/>
    </row>
    <row r="19" spans="2:13" s="124" customFormat="1" ht="17.100000000000001" customHeight="1">
      <c r="B19" s="222">
        <v>714000</v>
      </c>
      <c r="C19" s="225" t="s">
        <v>162</v>
      </c>
      <c r="D19" s="224">
        <f>D20</f>
        <v>292780</v>
      </c>
      <c r="E19" s="224">
        <f>E20</f>
        <v>292780</v>
      </c>
      <c r="F19" s="224">
        <f>F20</f>
        <v>69487</v>
      </c>
      <c r="G19" s="453">
        <f>G20</f>
        <v>148430</v>
      </c>
      <c r="H19" s="205">
        <f t="shared" si="0"/>
        <v>50.696768904979848</v>
      </c>
      <c r="I19" s="287"/>
      <c r="J19" s="188"/>
      <c r="K19" s="241"/>
      <c r="L19" s="188"/>
      <c r="M19" s="828"/>
    </row>
    <row r="20" spans="2:13" s="124" customFormat="1" ht="15" customHeight="1">
      <c r="B20" s="125">
        <v>714100</v>
      </c>
      <c r="C20" s="137" t="s">
        <v>328</v>
      </c>
      <c r="D20" s="138">
        <f>SUM(D21:D26)</f>
        <v>292780</v>
      </c>
      <c r="E20" s="138">
        <f>SUM(E21:E26)</f>
        <v>292780</v>
      </c>
      <c r="F20" s="138">
        <f>SUM(F21:F26)</f>
        <v>69487</v>
      </c>
      <c r="G20" s="457">
        <f>SUM(G21:G26)</f>
        <v>148430</v>
      </c>
      <c r="H20" s="135">
        <f t="shared" si="0"/>
        <v>50.696768904979848</v>
      </c>
      <c r="I20" s="287"/>
      <c r="J20" s="188"/>
      <c r="K20" s="241"/>
      <c r="L20" s="188"/>
      <c r="M20" s="828"/>
    </row>
    <row r="21" spans="2:13" ht="15" customHeight="1">
      <c r="B21" s="121">
        <v>714111</v>
      </c>
      <c r="C21" s="189" t="s">
        <v>232</v>
      </c>
      <c r="D21" s="688">
        <v>39040</v>
      </c>
      <c r="E21" s="688">
        <v>39040</v>
      </c>
      <c r="F21" s="688">
        <v>15741</v>
      </c>
      <c r="G21" s="455">
        <v>32090</v>
      </c>
      <c r="H21" s="127">
        <f t="shared" si="0"/>
        <v>82.197745901639337</v>
      </c>
      <c r="I21" s="241"/>
      <c r="K21" s="241"/>
    </row>
    <row r="22" spans="2:13" ht="15" customHeight="1">
      <c r="B22" s="121">
        <v>714112</v>
      </c>
      <c r="C22" s="189" t="s">
        <v>233</v>
      </c>
      <c r="D22" s="548">
        <v>8780</v>
      </c>
      <c r="E22" s="548">
        <v>8780</v>
      </c>
      <c r="F22" s="548">
        <v>4525</v>
      </c>
      <c r="G22" s="456">
        <v>7460</v>
      </c>
      <c r="H22" s="127">
        <f t="shared" si="0"/>
        <v>84.965831435079735</v>
      </c>
      <c r="I22" s="241"/>
      <c r="K22" s="241"/>
    </row>
    <row r="23" spans="2:13" ht="15" customHeight="1">
      <c r="B23" s="121">
        <v>714113</v>
      </c>
      <c r="C23" s="189" t="s">
        <v>234</v>
      </c>
      <c r="D23" s="688">
        <v>2690</v>
      </c>
      <c r="E23" s="688">
        <v>2690</v>
      </c>
      <c r="F23" s="688">
        <v>325</v>
      </c>
      <c r="G23" s="455">
        <v>950</v>
      </c>
      <c r="H23" s="127">
        <f t="shared" si="0"/>
        <v>35.315985130111528</v>
      </c>
      <c r="I23" s="241"/>
      <c r="K23" s="241"/>
    </row>
    <row r="24" spans="2:13" ht="15" customHeight="1">
      <c r="B24" s="121">
        <v>714121</v>
      </c>
      <c r="C24" s="189" t="s">
        <v>235</v>
      </c>
      <c r="D24" s="548">
        <v>13390</v>
      </c>
      <c r="E24" s="548">
        <v>13390</v>
      </c>
      <c r="F24" s="548">
        <v>4856</v>
      </c>
      <c r="G24" s="456">
        <v>10700</v>
      </c>
      <c r="H24" s="127">
        <f t="shared" si="0"/>
        <v>79.910380881254667</v>
      </c>
      <c r="I24" s="241"/>
      <c r="K24" s="241"/>
    </row>
    <row r="25" spans="2:13" ht="15" customHeight="1">
      <c r="B25" s="121">
        <v>714131</v>
      </c>
      <c r="C25" s="189" t="s">
        <v>236</v>
      </c>
      <c r="D25" s="548">
        <v>146280</v>
      </c>
      <c r="E25" s="548">
        <v>146280</v>
      </c>
      <c r="F25" s="548">
        <v>30908</v>
      </c>
      <c r="G25" s="456">
        <v>67180</v>
      </c>
      <c r="H25" s="127">
        <f t="shared" si="0"/>
        <v>45.925622094613075</v>
      </c>
      <c r="I25" s="241"/>
      <c r="K25" s="241"/>
    </row>
    <row r="26" spans="2:13" ht="15" customHeight="1">
      <c r="B26" s="121">
        <v>714132</v>
      </c>
      <c r="C26" s="189" t="s">
        <v>237</v>
      </c>
      <c r="D26" s="688">
        <v>82600</v>
      </c>
      <c r="E26" s="688">
        <v>82600</v>
      </c>
      <c r="F26" s="688">
        <v>13132</v>
      </c>
      <c r="G26" s="455">
        <v>30050</v>
      </c>
      <c r="H26" s="127">
        <f t="shared" si="0"/>
        <v>36.380145278450364</v>
      </c>
      <c r="I26" s="241"/>
      <c r="K26" s="241"/>
    </row>
    <row r="27" spans="2:13" s="124" customFormat="1" ht="25.5" customHeight="1">
      <c r="B27" s="222">
        <v>715000</v>
      </c>
      <c r="C27" s="223" t="s">
        <v>238</v>
      </c>
      <c r="D27" s="224">
        <f>D28+D33+D35</f>
        <v>1850</v>
      </c>
      <c r="E27" s="224">
        <f>E28+E33+E35</f>
        <v>1850</v>
      </c>
      <c r="F27" s="224">
        <f>F28+F33+F35</f>
        <v>774</v>
      </c>
      <c r="G27" s="453">
        <f>G28+G33+G35</f>
        <v>1550</v>
      </c>
      <c r="H27" s="205">
        <f t="shared" si="0"/>
        <v>83.78378378378379</v>
      </c>
      <c r="I27" s="287"/>
      <c r="J27" s="188"/>
      <c r="K27" s="241"/>
      <c r="L27" s="188"/>
      <c r="M27" s="828"/>
    </row>
    <row r="28" spans="2:13" s="124" customFormat="1" ht="26.25" customHeight="1">
      <c r="B28" s="125">
        <v>715100</v>
      </c>
      <c r="C28" s="190" t="s">
        <v>242</v>
      </c>
      <c r="D28" s="122">
        <f>SUM(D29:D32)</f>
        <v>720</v>
      </c>
      <c r="E28" s="122">
        <f>SUM(E29:E32)</f>
        <v>720</v>
      </c>
      <c r="F28" s="122">
        <f>SUM(F29:F32)</f>
        <v>411</v>
      </c>
      <c r="G28" s="454">
        <f>SUM(G29:G32)</f>
        <v>820</v>
      </c>
      <c r="H28" s="135">
        <f t="shared" si="0"/>
        <v>113.88888888888889</v>
      </c>
      <c r="I28" s="287"/>
      <c r="J28" s="188"/>
      <c r="K28" s="241"/>
      <c r="L28" s="188"/>
      <c r="M28" s="828"/>
    </row>
    <row r="29" spans="2:13" ht="15" customHeight="1">
      <c r="B29" s="121">
        <v>715131</v>
      </c>
      <c r="C29" s="189" t="s">
        <v>239</v>
      </c>
      <c r="D29" s="688">
        <v>260</v>
      </c>
      <c r="E29" s="688">
        <v>260</v>
      </c>
      <c r="F29" s="688">
        <v>143</v>
      </c>
      <c r="G29" s="455">
        <v>320</v>
      </c>
      <c r="H29" s="127">
        <f t="shared" si="0"/>
        <v>123.07692307692308</v>
      </c>
      <c r="I29" s="241"/>
      <c r="K29" s="241"/>
    </row>
    <row r="30" spans="2:13" ht="15" customHeight="1">
      <c r="B30" s="121">
        <v>715132</v>
      </c>
      <c r="C30" s="189" t="s">
        <v>458</v>
      </c>
      <c r="D30" s="688">
        <v>30</v>
      </c>
      <c r="E30" s="688">
        <v>30</v>
      </c>
      <c r="F30" s="688">
        <v>0</v>
      </c>
      <c r="G30" s="455">
        <v>30</v>
      </c>
      <c r="H30" s="127">
        <f t="shared" si="0"/>
        <v>100</v>
      </c>
      <c r="I30" s="241"/>
      <c r="K30" s="241"/>
    </row>
    <row r="31" spans="2:13" ht="15" customHeight="1">
      <c r="B31" s="121">
        <v>715137</v>
      </c>
      <c r="C31" s="189" t="s">
        <v>240</v>
      </c>
      <c r="D31" s="688">
        <v>30</v>
      </c>
      <c r="E31" s="688">
        <v>30</v>
      </c>
      <c r="F31" s="688">
        <v>0</v>
      </c>
      <c r="G31" s="455">
        <v>50</v>
      </c>
      <c r="H31" s="127">
        <f t="shared" si="0"/>
        <v>166.66666666666669</v>
      </c>
      <c r="I31" s="241"/>
      <c r="K31" s="241"/>
    </row>
    <row r="32" spans="2:13" ht="15" customHeight="1">
      <c r="B32" s="121">
        <v>715141</v>
      </c>
      <c r="C32" s="189" t="s">
        <v>241</v>
      </c>
      <c r="D32" s="688">
        <v>400</v>
      </c>
      <c r="E32" s="688">
        <v>400</v>
      </c>
      <c r="F32" s="688">
        <v>268</v>
      </c>
      <c r="G32" s="455">
        <v>420</v>
      </c>
      <c r="H32" s="127">
        <f t="shared" si="0"/>
        <v>105</v>
      </c>
      <c r="I32" s="241"/>
      <c r="K32" s="241"/>
    </row>
    <row r="33" spans="2:13" s="124" customFormat="1" ht="15" customHeight="1">
      <c r="B33" s="125">
        <v>715200</v>
      </c>
      <c r="C33" s="191" t="s">
        <v>243</v>
      </c>
      <c r="D33" s="122">
        <f>D34</f>
        <v>1080</v>
      </c>
      <c r="E33" s="122">
        <f>E34</f>
        <v>1080</v>
      </c>
      <c r="F33" s="122">
        <f>F34</f>
        <v>257</v>
      </c>
      <c r="G33" s="454">
        <f>G34</f>
        <v>550</v>
      </c>
      <c r="H33" s="135">
        <f t="shared" si="0"/>
        <v>50.925925925925931</v>
      </c>
      <c r="I33" s="287"/>
      <c r="J33" s="188"/>
      <c r="K33" s="241"/>
      <c r="L33" s="188"/>
      <c r="M33" s="828"/>
    </row>
    <row r="34" spans="2:13" ht="15" customHeight="1">
      <c r="B34" s="121">
        <v>715211</v>
      </c>
      <c r="C34" s="189" t="s">
        <v>244</v>
      </c>
      <c r="D34" s="688">
        <v>1080</v>
      </c>
      <c r="E34" s="688">
        <v>1080</v>
      </c>
      <c r="F34" s="688">
        <v>257</v>
      </c>
      <c r="G34" s="455">
        <v>550</v>
      </c>
      <c r="H34" s="127">
        <f t="shared" si="0"/>
        <v>50.925925925925931</v>
      </c>
      <c r="I34" s="241"/>
      <c r="K34" s="241"/>
    </row>
    <row r="35" spans="2:13" s="124" customFormat="1" ht="15" customHeight="1">
      <c r="B35" s="125">
        <v>715900</v>
      </c>
      <c r="C35" s="191" t="s">
        <v>245</v>
      </c>
      <c r="D35" s="122">
        <f>D36</f>
        <v>50</v>
      </c>
      <c r="E35" s="122">
        <f>E36</f>
        <v>50</v>
      </c>
      <c r="F35" s="122">
        <f>F36</f>
        <v>106</v>
      </c>
      <c r="G35" s="454">
        <f>G36</f>
        <v>180</v>
      </c>
      <c r="H35" s="135">
        <f t="shared" si="0"/>
        <v>360</v>
      </c>
      <c r="I35" s="287"/>
      <c r="J35" s="188"/>
      <c r="K35" s="241"/>
      <c r="L35" s="188"/>
      <c r="M35" s="828"/>
    </row>
    <row r="36" spans="2:13" ht="27" customHeight="1">
      <c r="B36" s="121">
        <v>715914</v>
      </c>
      <c r="C36" s="192" t="s">
        <v>246</v>
      </c>
      <c r="D36" s="548">
        <v>50</v>
      </c>
      <c r="E36" s="548">
        <v>50</v>
      </c>
      <c r="F36" s="548">
        <v>106</v>
      </c>
      <c r="G36" s="456">
        <v>180</v>
      </c>
      <c r="H36" s="127">
        <f t="shared" si="0"/>
        <v>360</v>
      </c>
      <c r="I36" s="241"/>
      <c r="K36" s="241"/>
    </row>
    <row r="37" spans="2:13" s="124" customFormat="1" ht="17.100000000000001" customHeight="1">
      <c r="B37" s="222">
        <v>716000</v>
      </c>
      <c r="C37" s="225" t="s">
        <v>163</v>
      </c>
      <c r="D37" s="224">
        <f>D38</f>
        <v>3200760</v>
      </c>
      <c r="E37" s="224">
        <f>E38</f>
        <v>3200760</v>
      </c>
      <c r="F37" s="224">
        <f>F38</f>
        <v>798496</v>
      </c>
      <c r="G37" s="453">
        <f>G38</f>
        <v>2139070</v>
      </c>
      <c r="H37" s="205">
        <f t="shared" si="0"/>
        <v>66.830065359477118</v>
      </c>
      <c r="I37" s="287"/>
      <c r="J37" s="194"/>
      <c r="K37" s="241"/>
      <c r="L37" s="188"/>
      <c r="M37" s="828"/>
    </row>
    <row r="38" spans="2:13" s="124" customFormat="1" ht="15" customHeight="1">
      <c r="B38" s="125">
        <v>716100</v>
      </c>
      <c r="C38" s="191" t="s">
        <v>247</v>
      </c>
      <c r="D38" s="122">
        <f>SUM(D39:D45)</f>
        <v>3200760</v>
      </c>
      <c r="E38" s="122">
        <f>SUM(E39:E45)</f>
        <v>3200760</v>
      </c>
      <c r="F38" s="122">
        <f>SUM(F39:F45)</f>
        <v>798496</v>
      </c>
      <c r="G38" s="454">
        <f>SUM(G39:G45)</f>
        <v>2139070</v>
      </c>
      <c r="H38" s="135">
        <f t="shared" si="0"/>
        <v>66.830065359477118</v>
      </c>
      <c r="I38" s="288"/>
      <c r="J38" s="193"/>
      <c r="K38" s="241"/>
      <c r="L38" s="188"/>
      <c r="M38" s="828"/>
    </row>
    <row r="39" spans="2:13" ht="15" customHeight="1">
      <c r="B39" s="121">
        <v>716111</v>
      </c>
      <c r="C39" s="189" t="s">
        <v>249</v>
      </c>
      <c r="D39" s="548">
        <v>2253190</v>
      </c>
      <c r="E39" s="548">
        <v>2253190</v>
      </c>
      <c r="F39" s="548">
        <v>538056</v>
      </c>
      <c r="G39" s="456">
        <f>2139070-627910+10000+8000+5000+5000</f>
        <v>1539160</v>
      </c>
      <c r="H39" s="127">
        <f t="shared" si="0"/>
        <v>68.310262339172468</v>
      </c>
      <c r="I39" s="287"/>
      <c r="J39" s="554"/>
      <c r="K39" s="241"/>
    </row>
    <row r="40" spans="2:13" ht="15" customHeight="1">
      <c r="B40" s="121">
        <v>716112</v>
      </c>
      <c r="C40" s="189" t="s">
        <v>250</v>
      </c>
      <c r="D40" s="548">
        <v>110110</v>
      </c>
      <c r="E40" s="548">
        <v>110110</v>
      </c>
      <c r="F40" s="548">
        <v>22805</v>
      </c>
      <c r="G40" s="456">
        <f>69570-8000</f>
        <v>61570</v>
      </c>
      <c r="H40" s="127">
        <f t="shared" si="0"/>
        <v>55.916810462265012</v>
      </c>
      <c r="I40" s="287"/>
      <c r="J40" s="554"/>
      <c r="K40" s="241"/>
    </row>
    <row r="41" spans="2:13" ht="15" customHeight="1">
      <c r="B41" s="121">
        <v>716113</v>
      </c>
      <c r="C41" s="189" t="s">
        <v>251</v>
      </c>
      <c r="D41" s="548">
        <v>173250</v>
      </c>
      <c r="E41" s="548">
        <v>173250</v>
      </c>
      <c r="F41" s="548">
        <v>30530</v>
      </c>
      <c r="G41" s="456">
        <f>99650-5000</f>
        <v>94650</v>
      </c>
      <c r="H41" s="127">
        <f t="shared" si="0"/>
        <v>54.632034632034632</v>
      </c>
      <c r="I41" s="287"/>
      <c r="J41" s="554"/>
      <c r="K41" s="241"/>
    </row>
    <row r="42" spans="2:13" ht="15" customHeight="1">
      <c r="B42" s="121">
        <v>716114</v>
      </c>
      <c r="C42" s="189" t="s">
        <v>252</v>
      </c>
      <c r="D42" s="548">
        <v>30</v>
      </c>
      <c r="E42" s="548">
        <v>30</v>
      </c>
      <c r="F42" s="548">
        <v>0</v>
      </c>
      <c r="G42" s="456">
        <v>700</v>
      </c>
      <c r="H42" s="127">
        <f t="shared" si="0"/>
        <v>2333.333333333333</v>
      </c>
      <c r="I42" s="287"/>
      <c r="J42" s="554"/>
      <c r="K42" s="241"/>
    </row>
    <row r="43" spans="2:13" ht="25.5" customHeight="1">
      <c r="B43" s="121">
        <v>716115</v>
      </c>
      <c r="C43" s="192" t="s">
        <v>253</v>
      </c>
      <c r="D43" s="548">
        <v>301370</v>
      </c>
      <c r="E43" s="548">
        <v>301370</v>
      </c>
      <c r="F43" s="548">
        <v>95827</v>
      </c>
      <c r="G43" s="456">
        <f>97500*2</f>
        <v>195000</v>
      </c>
      <c r="H43" s="127">
        <f t="shared" si="0"/>
        <v>64.704516043401796</v>
      </c>
      <c r="I43" s="287"/>
      <c r="J43" s="554"/>
      <c r="K43" s="241"/>
    </row>
    <row r="44" spans="2:13" ht="15" customHeight="1">
      <c r="B44" s="121">
        <v>716116</v>
      </c>
      <c r="C44" s="189" t="s">
        <v>254</v>
      </c>
      <c r="D44" s="548">
        <v>242820</v>
      </c>
      <c r="E44" s="548">
        <v>242820</v>
      </c>
      <c r="F44" s="548">
        <v>53388</v>
      </c>
      <c r="G44" s="456">
        <f>69200*2.5-7000-10000-5000</f>
        <v>151000</v>
      </c>
      <c r="H44" s="127">
        <f t="shared" si="0"/>
        <v>62.185981385388359</v>
      </c>
      <c r="I44" s="287"/>
      <c r="J44" s="554"/>
      <c r="K44" s="241"/>
    </row>
    <row r="45" spans="2:13" ht="15" customHeight="1">
      <c r="B45" s="121">
        <v>716117</v>
      </c>
      <c r="C45" s="189" t="s">
        <v>248</v>
      </c>
      <c r="D45" s="548">
        <v>119990</v>
      </c>
      <c r="E45" s="548">
        <v>119990</v>
      </c>
      <c r="F45" s="548">
        <v>57890</v>
      </c>
      <c r="G45" s="456">
        <f>89990+7000</f>
        <v>96990</v>
      </c>
      <c r="H45" s="127">
        <f t="shared" si="0"/>
        <v>80.831735977998164</v>
      </c>
      <c r="I45" s="287"/>
      <c r="J45" s="554"/>
      <c r="K45" s="241"/>
    </row>
    <row r="46" spans="2:13" s="124" customFormat="1" ht="17.100000000000001" customHeight="1">
      <c r="B46" s="222">
        <v>717000</v>
      </c>
      <c r="C46" s="225" t="s">
        <v>164</v>
      </c>
      <c r="D46" s="224">
        <f>D47</f>
        <v>31502310</v>
      </c>
      <c r="E46" s="224">
        <f>E47</f>
        <v>31502310</v>
      </c>
      <c r="F46" s="224">
        <f>F47</f>
        <v>7643365</v>
      </c>
      <c r="G46" s="453">
        <f>G47</f>
        <v>27855160</v>
      </c>
      <c r="H46" s="205">
        <f t="shared" si="0"/>
        <v>88.422595041443003</v>
      </c>
      <c r="I46" s="287"/>
      <c r="J46" s="552"/>
      <c r="K46" s="241"/>
      <c r="L46" s="188"/>
      <c r="M46" s="828"/>
    </row>
    <row r="47" spans="2:13" s="124" customFormat="1" ht="15" customHeight="1">
      <c r="B47" s="125">
        <v>717100</v>
      </c>
      <c r="C47" s="191" t="s">
        <v>255</v>
      </c>
      <c r="D47" s="122">
        <f>D48+D51+D52</f>
        <v>31502310</v>
      </c>
      <c r="E47" s="122">
        <f t="shared" ref="E47:G47" si="1">E48+E51+E52</f>
        <v>31502310</v>
      </c>
      <c r="F47" s="122">
        <f t="shared" si="1"/>
        <v>7643365</v>
      </c>
      <c r="G47" s="454">
        <f t="shared" si="1"/>
        <v>27855160</v>
      </c>
      <c r="H47" s="135">
        <f t="shared" si="0"/>
        <v>88.422595041443003</v>
      </c>
      <c r="I47" s="287"/>
      <c r="J47" s="552"/>
      <c r="K47" s="241"/>
      <c r="L47" s="188"/>
      <c r="M47" s="828"/>
    </row>
    <row r="48" spans="2:13" ht="15" customHeight="1">
      <c r="B48" s="121">
        <v>717114</v>
      </c>
      <c r="C48" s="189" t="s">
        <v>549</v>
      </c>
      <c r="D48" s="548">
        <f>SUM(D49:D50)</f>
        <v>352040</v>
      </c>
      <c r="E48" s="548">
        <f t="shared" ref="E48:G48" si="2">SUM(E49:E50)</f>
        <v>352040</v>
      </c>
      <c r="F48" s="548">
        <f t="shared" si="2"/>
        <v>71977</v>
      </c>
      <c r="G48" s="456">
        <f t="shared" si="2"/>
        <v>823760</v>
      </c>
      <c r="H48" s="127">
        <f t="shared" si="0"/>
        <v>233.99613680263607</v>
      </c>
      <c r="I48" s="241"/>
      <c r="J48" s="554"/>
      <c r="K48" s="241"/>
    </row>
    <row r="49" spans="1:13" s="810" customFormat="1" ht="15" customHeight="1">
      <c r="B49" s="811"/>
      <c r="C49" s="812" t="s">
        <v>913</v>
      </c>
      <c r="D49" s="809">
        <v>0</v>
      </c>
      <c r="E49" s="809">
        <v>0</v>
      </c>
      <c r="F49" s="809">
        <v>0</v>
      </c>
      <c r="G49" s="808">
        <v>549390</v>
      </c>
      <c r="H49" s="813" t="str">
        <f t="shared" si="0"/>
        <v/>
      </c>
      <c r="I49" s="814"/>
      <c r="J49" s="815"/>
      <c r="K49" s="814"/>
      <c r="L49" s="816"/>
    </row>
    <row r="50" spans="1:13" s="810" customFormat="1" ht="15" customHeight="1">
      <c r="B50" s="811"/>
      <c r="C50" s="812" t="s">
        <v>911</v>
      </c>
      <c r="D50" s="809">
        <f>326420+25620</f>
        <v>352040</v>
      </c>
      <c r="E50" s="809">
        <f>326420+25620</f>
        <v>352040</v>
      </c>
      <c r="F50" s="809">
        <v>71977</v>
      </c>
      <c r="G50" s="808">
        <v>274370</v>
      </c>
      <c r="H50" s="813">
        <f t="shared" si="0"/>
        <v>77.937166231110098</v>
      </c>
      <c r="I50" s="814"/>
      <c r="J50" s="815"/>
      <c r="K50" s="814"/>
      <c r="L50" s="816"/>
    </row>
    <row r="51" spans="1:13" ht="15" customHeight="1">
      <c r="B51" s="121">
        <v>717121</v>
      </c>
      <c r="C51" s="189" t="s">
        <v>256</v>
      </c>
      <c r="D51" s="548">
        <v>30304550</v>
      </c>
      <c r="E51" s="548">
        <v>30304550</v>
      </c>
      <c r="F51" s="548">
        <v>7365826</v>
      </c>
      <c r="G51" s="456">
        <v>25844280</v>
      </c>
      <c r="H51" s="127">
        <f t="shared" si="0"/>
        <v>85.281847115367157</v>
      </c>
      <c r="I51" s="241"/>
      <c r="J51" s="554"/>
      <c r="K51" s="241"/>
    </row>
    <row r="52" spans="1:13" ht="15" customHeight="1">
      <c r="B52" s="121">
        <v>717131</v>
      </c>
      <c r="C52" s="189" t="s">
        <v>257</v>
      </c>
      <c r="D52" s="548">
        <f>D53+D54</f>
        <v>845720</v>
      </c>
      <c r="E52" s="548">
        <f t="shared" ref="E52:G52" si="3">E53+E54</f>
        <v>845720</v>
      </c>
      <c r="F52" s="548">
        <f t="shared" si="3"/>
        <v>205562</v>
      </c>
      <c r="G52" s="456">
        <f t="shared" si="3"/>
        <v>1187120</v>
      </c>
      <c r="H52" s="127">
        <f t="shared" si="0"/>
        <v>140.36797048668589</v>
      </c>
      <c r="I52" s="241"/>
      <c r="J52" s="552"/>
      <c r="K52" s="241"/>
    </row>
    <row r="53" spans="1:13" s="810" customFormat="1" ht="15" customHeight="1">
      <c r="B53" s="811"/>
      <c r="C53" s="812" t="s">
        <v>914</v>
      </c>
      <c r="D53" s="809">
        <v>0</v>
      </c>
      <c r="E53" s="809">
        <v>0</v>
      </c>
      <c r="F53" s="809">
        <v>0</v>
      </c>
      <c r="G53" s="808">
        <v>465870</v>
      </c>
      <c r="H53" s="813" t="str">
        <f t="shared" si="0"/>
        <v/>
      </c>
      <c r="I53" s="814"/>
      <c r="J53" s="814"/>
      <c r="K53" s="814"/>
      <c r="L53" s="816"/>
    </row>
    <row r="54" spans="1:13" s="810" customFormat="1" ht="15" customHeight="1">
      <c r="B54" s="811"/>
      <c r="C54" s="812" t="s">
        <v>912</v>
      </c>
      <c r="D54" s="809">
        <v>845720</v>
      </c>
      <c r="E54" s="809">
        <v>845720</v>
      </c>
      <c r="F54" s="809">
        <v>205562</v>
      </c>
      <c r="G54" s="808">
        <v>721250</v>
      </c>
      <c r="H54" s="813">
        <f t="shared" si="0"/>
        <v>85.282362957007052</v>
      </c>
      <c r="I54" s="814"/>
      <c r="J54" s="814"/>
      <c r="K54" s="814"/>
      <c r="L54" s="816"/>
    </row>
    <row r="55" spans="1:13" s="124" customFormat="1" ht="17.100000000000001" customHeight="1">
      <c r="B55" s="222">
        <v>719000</v>
      </c>
      <c r="C55" s="225" t="s">
        <v>165</v>
      </c>
      <c r="D55" s="224">
        <f>D56</f>
        <v>160</v>
      </c>
      <c r="E55" s="224">
        <f>E56</f>
        <v>160</v>
      </c>
      <c r="F55" s="224">
        <f>F56</f>
        <v>6</v>
      </c>
      <c r="G55" s="453">
        <f>G56</f>
        <v>90</v>
      </c>
      <c r="H55" s="205">
        <f t="shared" si="0"/>
        <v>56.25</v>
      </c>
      <c r="I55" s="287"/>
      <c r="J55" s="553"/>
      <c r="K55" s="241"/>
      <c r="L55" s="188"/>
      <c r="M55" s="828"/>
    </row>
    <row r="56" spans="1:13" s="124" customFormat="1" ht="15" customHeight="1">
      <c r="B56" s="125">
        <v>719100</v>
      </c>
      <c r="C56" s="191" t="s">
        <v>258</v>
      </c>
      <c r="D56" s="122">
        <f>SUM(D57:D59)</f>
        <v>160</v>
      </c>
      <c r="E56" s="122">
        <f>SUM(E57:E59)</f>
        <v>160</v>
      </c>
      <c r="F56" s="122">
        <f>SUM(F57:F59)</f>
        <v>6</v>
      </c>
      <c r="G56" s="454">
        <f>SUM(G57:G59)</f>
        <v>90</v>
      </c>
      <c r="H56" s="135">
        <f t="shared" si="0"/>
        <v>56.25</v>
      </c>
      <c r="I56" s="287"/>
      <c r="J56" s="552"/>
      <c r="K56" s="241"/>
      <c r="L56" s="188"/>
      <c r="M56" s="828"/>
    </row>
    <row r="57" spans="1:13" ht="15" customHeight="1" thickBot="1">
      <c r="A57" s="164"/>
      <c r="B57" s="121">
        <v>719111</v>
      </c>
      <c r="C57" s="189" t="s">
        <v>258</v>
      </c>
      <c r="D57" s="688">
        <v>90</v>
      </c>
      <c r="E57" s="688">
        <v>90</v>
      </c>
      <c r="F57" s="688">
        <v>0</v>
      </c>
      <c r="G57" s="455">
        <v>50</v>
      </c>
      <c r="H57" s="127">
        <f t="shared" si="0"/>
        <v>55.555555555555557</v>
      </c>
      <c r="I57" s="241"/>
      <c r="J57" s="552"/>
      <c r="K57" s="241"/>
    </row>
    <row r="58" spans="1:13" ht="15" customHeight="1">
      <c r="B58" s="199">
        <v>719114</v>
      </c>
      <c r="C58" s="200" t="s">
        <v>259</v>
      </c>
      <c r="D58" s="549">
        <v>40</v>
      </c>
      <c r="E58" s="549">
        <v>40</v>
      </c>
      <c r="F58" s="549">
        <v>0</v>
      </c>
      <c r="G58" s="458">
        <v>20</v>
      </c>
      <c r="H58" s="206">
        <f t="shared" si="0"/>
        <v>50</v>
      </c>
      <c r="J58" s="552"/>
      <c r="K58" s="241"/>
    </row>
    <row r="59" spans="1:13" ht="25.5">
      <c r="B59" s="121">
        <v>719115</v>
      </c>
      <c r="C59" s="192" t="s">
        <v>260</v>
      </c>
      <c r="D59" s="548">
        <v>30</v>
      </c>
      <c r="E59" s="548">
        <v>30</v>
      </c>
      <c r="F59" s="548">
        <v>6</v>
      </c>
      <c r="G59" s="456">
        <v>20</v>
      </c>
      <c r="H59" s="130">
        <f t="shared" si="0"/>
        <v>66.666666666666657</v>
      </c>
      <c r="I59" s="289"/>
      <c r="J59" s="552"/>
      <c r="K59" s="241"/>
    </row>
    <row r="60" spans="1:13">
      <c r="B60" s="121"/>
      <c r="C60" s="23"/>
      <c r="D60" s="455"/>
      <c r="E60" s="455"/>
      <c r="F60" s="66"/>
      <c r="G60" s="455"/>
      <c r="H60" s="130" t="str">
        <f t="shared" si="0"/>
        <v/>
      </c>
      <c r="I60" s="289"/>
      <c r="J60" s="552"/>
      <c r="K60" s="241"/>
    </row>
    <row r="61" spans="1:13" ht="17.100000000000001" customHeight="1">
      <c r="B61" s="219">
        <v>720000</v>
      </c>
      <c r="C61" s="220" t="s">
        <v>160</v>
      </c>
      <c r="D61" s="452">
        <f>D62+D76+D153</f>
        <v>3076110</v>
      </c>
      <c r="E61" s="452">
        <f>E62+E76+E153</f>
        <v>3136110</v>
      </c>
      <c r="F61" s="452">
        <f>F62+F76+F153</f>
        <v>655642</v>
      </c>
      <c r="G61" s="452">
        <f>G62+G76+G153</f>
        <v>2642220</v>
      </c>
      <c r="H61" s="204">
        <f t="shared" si="0"/>
        <v>84.251509035078485</v>
      </c>
      <c r="I61" s="290"/>
      <c r="J61" s="552"/>
      <c r="K61" s="241"/>
    </row>
    <row r="62" spans="1:13" ht="26.25">
      <c r="B62" s="222">
        <v>721000</v>
      </c>
      <c r="C62" s="226" t="s">
        <v>185</v>
      </c>
      <c r="D62" s="224">
        <f>D63+D67+D71+D74</f>
        <v>115990</v>
      </c>
      <c r="E62" s="224">
        <f>E63+E67+E71+E74</f>
        <v>115990</v>
      </c>
      <c r="F62" s="224">
        <f>F63+F67+F71+F74</f>
        <v>24554</v>
      </c>
      <c r="G62" s="453">
        <f>G63+G67+G71+G74</f>
        <v>115660</v>
      </c>
      <c r="H62" s="205">
        <f t="shared" si="0"/>
        <v>99.715492714889223</v>
      </c>
      <c r="J62" s="552"/>
      <c r="K62" s="241"/>
    </row>
    <row r="63" spans="1:13" ht="15" customHeight="1">
      <c r="B63" s="125">
        <v>721100</v>
      </c>
      <c r="C63" s="191" t="s">
        <v>261</v>
      </c>
      <c r="D63" s="122">
        <f>SUM(D64:D66)</f>
        <v>105170</v>
      </c>
      <c r="E63" s="122">
        <f t="shared" ref="E63:G63" si="4">SUM(E64:E66)</f>
        <v>105170</v>
      </c>
      <c r="F63" s="122">
        <f t="shared" si="4"/>
        <v>22919</v>
      </c>
      <c r="G63" s="454">
        <f t="shared" si="4"/>
        <v>105100</v>
      </c>
      <c r="H63" s="243">
        <f t="shared" si="0"/>
        <v>99.933441095369403</v>
      </c>
      <c r="J63" s="552"/>
      <c r="K63" s="241"/>
    </row>
    <row r="64" spans="1:13" ht="15" customHeight="1">
      <c r="B64" s="121">
        <v>721112</v>
      </c>
      <c r="C64" s="189" t="s">
        <v>262</v>
      </c>
      <c r="D64" s="548">
        <v>170</v>
      </c>
      <c r="E64" s="548">
        <v>170</v>
      </c>
      <c r="F64" s="548">
        <v>23</v>
      </c>
      <c r="G64" s="456">
        <v>50</v>
      </c>
      <c r="H64" s="130">
        <f t="shared" si="0"/>
        <v>29.411764705882355</v>
      </c>
      <c r="I64" s="291"/>
      <c r="J64" s="552"/>
      <c r="K64" s="241"/>
    </row>
    <row r="65" spans="2:12" ht="15" customHeight="1">
      <c r="B65" s="121">
        <v>721121</v>
      </c>
      <c r="C65" s="189" t="s">
        <v>685</v>
      </c>
      <c r="D65" s="548">
        <v>105000</v>
      </c>
      <c r="E65" s="548">
        <v>105000</v>
      </c>
      <c r="F65" s="548">
        <v>22846</v>
      </c>
      <c r="G65" s="456">
        <v>105000</v>
      </c>
      <c r="H65" s="216">
        <f t="shared" si="0"/>
        <v>100</v>
      </c>
      <c r="I65" s="551"/>
      <c r="J65" s="552"/>
      <c r="K65" s="241"/>
    </row>
    <row r="66" spans="2:12" ht="15" customHeight="1">
      <c r="B66" s="121">
        <v>721123</v>
      </c>
      <c r="C66" s="189" t="s">
        <v>902</v>
      </c>
      <c r="D66" s="548">
        <v>0</v>
      </c>
      <c r="E66" s="548">
        <v>0</v>
      </c>
      <c r="F66" s="548">
        <v>50</v>
      </c>
      <c r="G66" s="456">
        <v>50</v>
      </c>
      <c r="H66" s="216" t="str">
        <f t="shared" si="0"/>
        <v/>
      </c>
      <c r="I66" s="551"/>
      <c r="J66" s="552"/>
      <c r="K66" s="241"/>
    </row>
    <row r="67" spans="2:12" ht="15" customHeight="1">
      <c r="B67" s="132">
        <v>721200</v>
      </c>
      <c r="C67" s="191" t="s">
        <v>263</v>
      </c>
      <c r="D67" s="122">
        <f>SUM(D68:D70)</f>
        <v>10500</v>
      </c>
      <c r="E67" s="122">
        <f>SUM(E68:E70)</f>
        <v>10500</v>
      </c>
      <c r="F67" s="122">
        <f>SUM(F68:F70)</f>
        <v>1624</v>
      </c>
      <c r="G67" s="454">
        <f>SUM(G68:G70)</f>
        <v>10500</v>
      </c>
      <c r="H67" s="123">
        <f t="shared" si="0"/>
        <v>100</v>
      </c>
      <c r="J67" s="552"/>
      <c r="K67" s="241"/>
    </row>
    <row r="68" spans="2:12" ht="15" customHeight="1">
      <c r="B68" s="133">
        <v>721211</v>
      </c>
      <c r="C68" s="189" t="s">
        <v>264</v>
      </c>
      <c r="D68" s="688">
        <v>370</v>
      </c>
      <c r="E68" s="688">
        <v>370</v>
      </c>
      <c r="F68" s="688">
        <v>118</v>
      </c>
      <c r="G68" s="456">
        <v>370</v>
      </c>
      <c r="H68" s="130">
        <f t="shared" si="0"/>
        <v>100</v>
      </c>
      <c r="J68" s="552"/>
      <c r="K68" s="241"/>
    </row>
    <row r="69" spans="2:12" ht="15" customHeight="1">
      <c r="B69" s="133">
        <v>721225</v>
      </c>
      <c r="C69" s="189" t="s">
        <v>531</v>
      </c>
      <c r="D69" s="548">
        <v>8010</v>
      </c>
      <c r="E69" s="548">
        <v>8010</v>
      </c>
      <c r="F69" s="548">
        <v>0</v>
      </c>
      <c r="G69" s="456">
        <v>8010</v>
      </c>
      <c r="H69" s="130">
        <f t="shared" ref="H69:H139" si="5">IF(E69=0,"",G69/E69*100)</f>
        <v>100</v>
      </c>
      <c r="J69" s="552"/>
      <c r="K69" s="241"/>
    </row>
    <row r="70" spans="2:12" ht="15" customHeight="1">
      <c r="B70" s="133">
        <v>721227</v>
      </c>
      <c r="C70" s="189" t="s">
        <v>550</v>
      </c>
      <c r="D70" s="548">
        <v>2120</v>
      </c>
      <c r="E70" s="548">
        <v>2120</v>
      </c>
      <c r="F70" s="548">
        <v>1506</v>
      </c>
      <c r="G70" s="456">
        <v>2120</v>
      </c>
      <c r="H70" s="130">
        <f t="shared" si="5"/>
        <v>100</v>
      </c>
      <c r="J70" s="552"/>
      <c r="K70" s="241"/>
    </row>
    <row r="71" spans="2:12" ht="15" customHeight="1">
      <c r="B71" s="132">
        <v>721300</v>
      </c>
      <c r="C71" s="191" t="s">
        <v>265</v>
      </c>
      <c r="D71" s="122">
        <f>SUM(D72:D73)</f>
        <v>50</v>
      </c>
      <c r="E71" s="122">
        <f>SUM(E72:E73)</f>
        <v>50</v>
      </c>
      <c r="F71" s="122">
        <f>SUM(F72:F73)</f>
        <v>0</v>
      </c>
      <c r="G71" s="454">
        <f>SUM(G72:G73)</f>
        <v>0</v>
      </c>
      <c r="H71" s="123">
        <f t="shared" si="5"/>
        <v>0</v>
      </c>
      <c r="J71" s="552"/>
      <c r="K71" s="241"/>
    </row>
    <row r="72" spans="2:12" ht="15" customHeight="1">
      <c r="B72" s="133">
        <v>721311</v>
      </c>
      <c r="C72" s="189" t="s">
        <v>704</v>
      </c>
      <c r="D72" s="688">
        <v>50</v>
      </c>
      <c r="E72" s="688">
        <v>50</v>
      </c>
      <c r="F72" s="688">
        <v>0</v>
      </c>
      <c r="G72" s="455">
        <v>0</v>
      </c>
      <c r="H72" s="130">
        <f t="shared" si="5"/>
        <v>0</v>
      </c>
      <c r="J72" s="552"/>
      <c r="K72" s="241"/>
    </row>
    <row r="73" spans="2:12" ht="15" customHeight="1">
      <c r="B73" s="133">
        <v>721312</v>
      </c>
      <c r="C73" s="189" t="s">
        <v>266</v>
      </c>
      <c r="D73" s="688">
        <v>0</v>
      </c>
      <c r="E73" s="688">
        <v>0</v>
      </c>
      <c r="F73" s="688">
        <v>0</v>
      </c>
      <c r="G73" s="455">
        <v>0</v>
      </c>
      <c r="H73" s="130" t="str">
        <f t="shared" si="5"/>
        <v/>
      </c>
      <c r="J73" s="552"/>
      <c r="K73" s="241"/>
    </row>
    <row r="74" spans="2:12" ht="15" customHeight="1">
      <c r="B74" s="132">
        <v>721500</v>
      </c>
      <c r="C74" s="191" t="s">
        <v>267</v>
      </c>
      <c r="D74" s="122">
        <f>D75</f>
        <v>270</v>
      </c>
      <c r="E74" s="122">
        <f>E75</f>
        <v>270</v>
      </c>
      <c r="F74" s="122">
        <f>F75</f>
        <v>11</v>
      </c>
      <c r="G74" s="454">
        <f>G75</f>
        <v>60</v>
      </c>
      <c r="H74" s="123">
        <f t="shared" si="5"/>
        <v>22.222222222222221</v>
      </c>
      <c r="J74" s="552"/>
      <c r="K74" s="241"/>
    </row>
    <row r="75" spans="2:12" ht="15" customHeight="1">
      <c r="B75" s="133">
        <v>721511</v>
      </c>
      <c r="C75" s="189" t="s">
        <v>267</v>
      </c>
      <c r="D75" s="688">
        <v>270</v>
      </c>
      <c r="E75" s="688">
        <v>270</v>
      </c>
      <c r="F75" s="688">
        <v>11</v>
      </c>
      <c r="G75" s="455">
        <v>60</v>
      </c>
      <c r="H75" s="130">
        <f t="shared" si="5"/>
        <v>22.222222222222221</v>
      </c>
      <c r="J75" s="552"/>
      <c r="K75" s="241"/>
    </row>
    <row r="76" spans="2:12" ht="15">
      <c r="B76" s="222">
        <v>722000</v>
      </c>
      <c r="C76" s="223" t="s">
        <v>330</v>
      </c>
      <c r="D76" s="227">
        <f>D77+D79+D81+D98+D140+D148</f>
        <v>2291280</v>
      </c>
      <c r="E76" s="227">
        <f>E77+E79+E81+E98+E140+E148</f>
        <v>2351280</v>
      </c>
      <c r="F76" s="227">
        <f>F77+F79+F81+F98+F140+F148</f>
        <v>497853</v>
      </c>
      <c r="G76" s="452">
        <f>G77+G79+G81+G98+G140+G148</f>
        <v>2059260</v>
      </c>
      <c r="H76" s="205">
        <f t="shared" si="5"/>
        <v>87.580381749515155</v>
      </c>
      <c r="J76" s="552"/>
      <c r="K76" s="241"/>
    </row>
    <row r="77" spans="2:12" ht="15" customHeight="1">
      <c r="B77" s="125">
        <v>722100</v>
      </c>
      <c r="C77" s="140" t="s">
        <v>268</v>
      </c>
      <c r="D77" s="138">
        <f>D78</f>
        <v>120650</v>
      </c>
      <c r="E77" s="138">
        <f>E78</f>
        <v>120650</v>
      </c>
      <c r="F77" s="138">
        <f>F78</f>
        <v>22419</v>
      </c>
      <c r="G77" s="457">
        <f>G78</f>
        <v>84000</v>
      </c>
      <c r="H77" s="123">
        <f t="shared" si="5"/>
        <v>69.622876087857449</v>
      </c>
      <c r="J77" s="552"/>
      <c r="K77" s="241"/>
    </row>
    <row r="78" spans="2:12" ht="15" customHeight="1">
      <c r="B78" s="128">
        <v>722121</v>
      </c>
      <c r="C78" s="195" t="s">
        <v>269</v>
      </c>
      <c r="D78" s="548">
        <v>120650</v>
      </c>
      <c r="E78" s="548">
        <v>120650</v>
      </c>
      <c r="F78" s="548">
        <v>22419</v>
      </c>
      <c r="G78" s="456">
        <f>74520+9480</f>
        <v>84000</v>
      </c>
      <c r="H78" s="130">
        <f t="shared" si="5"/>
        <v>69.622876087857449</v>
      </c>
      <c r="J78" s="552"/>
      <c r="K78" s="241"/>
    </row>
    <row r="79" spans="2:12" ht="15" customHeight="1">
      <c r="B79" s="125">
        <v>722200</v>
      </c>
      <c r="C79" s="140" t="s">
        <v>270</v>
      </c>
      <c r="D79" s="138">
        <f>D80</f>
        <v>392660</v>
      </c>
      <c r="E79" s="138">
        <f>E80</f>
        <v>392660</v>
      </c>
      <c r="F79" s="138">
        <f>F80</f>
        <v>100540</v>
      </c>
      <c r="G79" s="457">
        <f>G80</f>
        <v>276280</v>
      </c>
      <c r="H79" s="123">
        <f t="shared" si="5"/>
        <v>70.361126674476651</v>
      </c>
      <c r="J79" s="552"/>
      <c r="K79" s="241"/>
      <c r="L79" s="292"/>
    </row>
    <row r="80" spans="2:12" ht="15" customHeight="1">
      <c r="B80" s="128">
        <v>722221</v>
      </c>
      <c r="C80" s="195" t="s">
        <v>271</v>
      </c>
      <c r="D80" s="548">
        <v>392660</v>
      </c>
      <c r="E80" s="548">
        <v>392660</v>
      </c>
      <c r="F80" s="548">
        <v>100540</v>
      </c>
      <c r="G80" s="456">
        <v>276280</v>
      </c>
      <c r="H80" s="130">
        <f t="shared" si="5"/>
        <v>70.361126674476651</v>
      </c>
      <c r="J80" s="552"/>
      <c r="K80" s="241"/>
    </row>
    <row r="81" spans="2:15" ht="15" customHeight="1">
      <c r="B81" s="125">
        <v>722400</v>
      </c>
      <c r="C81" s="140" t="s">
        <v>272</v>
      </c>
      <c r="D81" s="138">
        <f>D82+D89+D92</f>
        <v>222920</v>
      </c>
      <c r="E81" s="138">
        <f>E82+E89+E92</f>
        <v>222920</v>
      </c>
      <c r="F81" s="138">
        <f>F82+F89+F92</f>
        <v>61607</v>
      </c>
      <c r="G81" s="457">
        <f>G82+G89+G92</f>
        <v>192560</v>
      </c>
      <c r="H81" s="123">
        <f t="shared" si="5"/>
        <v>86.380764399784667</v>
      </c>
      <c r="J81" s="552"/>
      <c r="K81" s="241"/>
      <c r="O81" s="74"/>
    </row>
    <row r="82" spans="2:15" ht="15" customHeight="1">
      <c r="B82" s="141">
        <v>722420</v>
      </c>
      <c r="C82" s="196" t="s">
        <v>273</v>
      </c>
      <c r="D82" s="129">
        <f>D83+D84+D87+D88</f>
        <v>43220</v>
      </c>
      <c r="E82" s="129">
        <f>E83+E84+E87+E88</f>
        <v>43220</v>
      </c>
      <c r="F82" s="129">
        <f>F83+F84+F87+F88</f>
        <v>12036</v>
      </c>
      <c r="G82" s="459">
        <f>G83+G84+G87+G88</f>
        <v>42860</v>
      </c>
      <c r="H82" s="123">
        <f t="shared" si="5"/>
        <v>99.167052290606208</v>
      </c>
      <c r="J82" s="552"/>
      <c r="K82" s="241"/>
    </row>
    <row r="83" spans="2:15" ht="15" customHeight="1">
      <c r="B83" s="128">
        <v>722421</v>
      </c>
      <c r="C83" s="195" t="s">
        <v>273</v>
      </c>
      <c r="D83" s="548">
        <v>20</v>
      </c>
      <c r="E83" s="548">
        <v>20</v>
      </c>
      <c r="F83" s="548">
        <v>0</v>
      </c>
      <c r="G83" s="456">
        <v>20</v>
      </c>
      <c r="H83" s="130">
        <f>IF(E83=0,"",G83/E83*100)</f>
        <v>100</v>
      </c>
      <c r="J83" s="552"/>
      <c r="K83" s="241"/>
    </row>
    <row r="84" spans="2:15" ht="15" customHeight="1">
      <c r="B84" s="128">
        <v>722422</v>
      </c>
      <c r="C84" s="195" t="s">
        <v>337</v>
      </c>
      <c r="D84" s="548">
        <f t="shared" ref="D84:F84" si="6">SUM(D85:D86)</f>
        <v>36000</v>
      </c>
      <c r="E84" s="548">
        <f t="shared" si="6"/>
        <v>36000</v>
      </c>
      <c r="F84" s="548">
        <f t="shared" si="6"/>
        <v>10217</v>
      </c>
      <c r="G84" s="456">
        <f>SUM(G85:G86)</f>
        <v>37950</v>
      </c>
      <c r="H84" s="130">
        <f t="shared" si="5"/>
        <v>105.41666666666667</v>
      </c>
      <c r="J84" s="552"/>
      <c r="K84" s="241"/>
    </row>
    <row r="85" spans="2:15" s="810" customFormat="1" ht="15" customHeight="1">
      <c r="B85" s="811"/>
      <c r="C85" s="817" t="s">
        <v>916</v>
      </c>
      <c r="D85" s="809">
        <v>0</v>
      </c>
      <c r="E85" s="809">
        <v>0</v>
      </c>
      <c r="F85" s="809">
        <v>0</v>
      </c>
      <c r="G85" s="808">
        <v>7330</v>
      </c>
      <c r="H85" s="818" t="str">
        <f t="shared" si="5"/>
        <v/>
      </c>
      <c r="I85" s="816"/>
      <c r="J85" s="814"/>
      <c r="K85" s="814"/>
      <c r="L85" s="816"/>
    </row>
    <row r="86" spans="2:15" s="810" customFormat="1" ht="15" customHeight="1">
      <c r="B86" s="811"/>
      <c r="C86" s="817" t="s">
        <v>909</v>
      </c>
      <c r="D86" s="809">
        <v>36000</v>
      </c>
      <c r="E86" s="809">
        <v>36000</v>
      </c>
      <c r="F86" s="809">
        <v>10217</v>
      </c>
      <c r="G86" s="808">
        <v>30620</v>
      </c>
      <c r="H86" s="818">
        <f t="shared" si="5"/>
        <v>85.055555555555557</v>
      </c>
      <c r="I86" s="816"/>
      <c r="J86" s="814"/>
      <c r="K86" s="814"/>
      <c r="L86" s="816"/>
    </row>
    <row r="87" spans="2:15" ht="15" customHeight="1">
      <c r="B87" s="128">
        <v>722424</v>
      </c>
      <c r="C87" s="195" t="s">
        <v>276</v>
      </c>
      <c r="D87" s="548">
        <v>7150</v>
      </c>
      <c r="E87" s="548">
        <v>7150</v>
      </c>
      <c r="F87" s="548">
        <v>1817</v>
      </c>
      <c r="G87" s="456">
        <f>2430*2</f>
        <v>4860</v>
      </c>
      <c r="H87" s="130">
        <f t="shared" si="5"/>
        <v>67.972027972027973</v>
      </c>
      <c r="J87" s="552"/>
      <c r="K87" s="241"/>
    </row>
    <row r="88" spans="2:15" ht="15" customHeight="1">
      <c r="B88" s="128">
        <v>722429</v>
      </c>
      <c r="C88" s="195" t="s">
        <v>274</v>
      </c>
      <c r="D88" s="548">
        <v>50</v>
      </c>
      <c r="E88" s="548">
        <v>50</v>
      </c>
      <c r="F88" s="548">
        <v>2</v>
      </c>
      <c r="G88" s="456">
        <v>30</v>
      </c>
      <c r="H88" s="130">
        <f t="shared" si="5"/>
        <v>60</v>
      </c>
      <c r="J88" s="552"/>
      <c r="K88" s="241"/>
    </row>
    <row r="89" spans="2:15" ht="15" customHeight="1">
      <c r="B89" s="139">
        <v>722450</v>
      </c>
      <c r="C89" s="196" t="s">
        <v>275</v>
      </c>
      <c r="D89" s="129">
        <f>SUM(D90:D91)</f>
        <v>2540</v>
      </c>
      <c r="E89" s="129">
        <f>SUM(E90:E91)</f>
        <v>2540</v>
      </c>
      <c r="F89" s="129">
        <f>SUM(F90:F91)</f>
        <v>652</v>
      </c>
      <c r="G89" s="459">
        <f>SUM(G90:G91)</f>
        <v>2540</v>
      </c>
      <c r="H89" s="123">
        <f t="shared" si="5"/>
        <v>100</v>
      </c>
      <c r="J89" s="552"/>
      <c r="K89" s="241"/>
    </row>
    <row r="90" spans="2:15" ht="15" customHeight="1">
      <c r="B90" s="128">
        <v>722451</v>
      </c>
      <c r="C90" s="195" t="s">
        <v>277</v>
      </c>
      <c r="D90" s="548">
        <v>1390</v>
      </c>
      <c r="E90" s="548">
        <v>1390</v>
      </c>
      <c r="F90" s="548">
        <v>652</v>
      </c>
      <c r="G90" s="456">
        <v>1390</v>
      </c>
      <c r="H90" s="130">
        <f t="shared" si="5"/>
        <v>100</v>
      </c>
      <c r="J90" s="552"/>
      <c r="K90" s="241"/>
    </row>
    <row r="91" spans="2:15" ht="15" customHeight="1">
      <c r="B91" s="128">
        <v>722454</v>
      </c>
      <c r="C91" s="195" t="s">
        <v>278</v>
      </c>
      <c r="D91" s="548">
        <v>1150</v>
      </c>
      <c r="E91" s="548">
        <v>1150</v>
      </c>
      <c r="F91" s="548">
        <v>0</v>
      </c>
      <c r="G91" s="456">
        <v>1150</v>
      </c>
      <c r="H91" s="130">
        <f t="shared" si="5"/>
        <v>100</v>
      </c>
      <c r="J91" s="552"/>
      <c r="K91" s="241"/>
    </row>
    <row r="92" spans="2:15" ht="25.5">
      <c r="B92" s="139">
        <v>722470</v>
      </c>
      <c r="C92" s="198" t="s">
        <v>331</v>
      </c>
      <c r="D92" s="129">
        <f>D93+D96+D97</f>
        <v>177160</v>
      </c>
      <c r="E92" s="129">
        <f>E93+E96+E97</f>
        <v>177160</v>
      </c>
      <c r="F92" s="129">
        <f>F93+F96+F97</f>
        <v>48919</v>
      </c>
      <c r="G92" s="459">
        <f>G93+G96+G97</f>
        <v>147160</v>
      </c>
      <c r="H92" s="123">
        <f t="shared" si="5"/>
        <v>83.066154888236625</v>
      </c>
      <c r="J92" s="552"/>
      <c r="K92" s="241"/>
    </row>
    <row r="93" spans="2:15" ht="15" customHeight="1">
      <c r="B93" s="128">
        <v>722471</v>
      </c>
      <c r="C93" s="195" t="s">
        <v>279</v>
      </c>
      <c r="D93" s="548">
        <f>D94+D95</f>
        <v>131300</v>
      </c>
      <c r="E93" s="548">
        <f t="shared" ref="E93:G93" si="7">E94+E95</f>
        <v>131300</v>
      </c>
      <c r="F93" s="548">
        <f t="shared" si="7"/>
        <v>40686</v>
      </c>
      <c r="G93" s="456">
        <f t="shared" si="7"/>
        <v>116030</v>
      </c>
      <c r="H93" s="130">
        <f t="shared" si="5"/>
        <v>88.370144706778376</v>
      </c>
      <c r="J93" s="552"/>
      <c r="K93" s="241"/>
    </row>
    <row r="94" spans="2:15" s="810" customFormat="1" ht="15" customHeight="1">
      <c r="B94" s="811"/>
      <c r="C94" s="817" t="s">
        <v>915</v>
      </c>
      <c r="D94" s="809">
        <v>0</v>
      </c>
      <c r="E94" s="809">
        <v>0</v>
      </c>
      <c r="F94" s="809">
        <v>0</v>
      </c>
      <c r="G94" s="808">
        <v>0</v>
      </c>
      <c r="H94" s="818" t="str">
        <f t="shared" si="5"/>
        <v/>
      </c>
      <c r="I94" s="816"/>
      <c r="J94" s="814"/>
      <c r="K94" s="814"/>
      <c r="L94" s="816"/>
    </row>
    <row r="95" spans="2:15" s="810" customFormat="1" ht="15" customHeight="1">
      <c r="B95" s="811"/>
      <c r="C95" s="817" t="s">
        <v>910</v>
      </c>
      <c r="D95" s="809">
        <v>131300</v>
      </c>
      <c r="E95" s="809">
        <v>131300</v>
      </c>
      <c r="F95" s="809">
        <v>40686</v>
      </c>
      <c r="G95" s="808">
        <v>116030</v>
      </c>
      <c r="H95" s="818">
        <f t="shared" si="5"/>
        <v>88.370144706778376</v>
      </c>
      <c r="I95" s="816"/>
      <c r="J95" s="814"/>
      <c r="K95" s="814"/>
      <c r="L95" s="816"/>
    </row>
    <row r="96" spans="2:15" ht="25.5">
      <c r="B96" s="128">
        <v>722472</v>
      </c>
      <c r="C96" s="197" t="s">
        <v>280</v>
      </c>
      <c r="D96" s="548">
        <v>43760</v>
      </c>
      <c r="E96" s="548">
        <v>43760</v>
      </c>
      <c r="F96" s="548">
        <v>8093</v>
      </c>
      <c r="G96" s="456">
        <v>30630</v>
      </c>
      <c r="H96" s="130">
        <f t="shared" si="5"/>
        <v>69.995429616087762</v>
      </c>
      <c r="J96" s="552"/>
      <c r="K96" s="241"/>
    </row>
    <row r="97" spans="2:12" ht="17.100000000000001" customHeight="1">
      <c r="B97" s="128">
        <v>722479</v>
      </c>
      <c r="C97" s="197" t="s">
        <v>532</v>
      </c>
      <c r="D97" s="548">
        <v>2100</v>
      </c>
      <c r="E97" s="548">
        <v>2100</v>
      </c>
      <c r="F97" s="548">
        <v>140</v>
      </c>
      <c r="G97" s="456">
        <v>500</v>
      </c>
      <c r="H97" s="130">
        <f t="shared" si="5"/>
        <v>23.809523809523807</v>
      </c>
      <c r="J97" s="552"/>
      <c r="K97" s="241"/>
    </row>
    <row r="98" spans="2:12" ht="17.100000000000001" customHeight="1">
      <c r="B98" s="125">
        <v>722500</v>
      </c>
      <c r="C98" s="50" t="s">
        <v>540</v>
      </c>
      <c r="D98" s="138">
        <f>D99+D104+D115+D120+D122+D132</f>
        <v>1089930</v>
      </c>
      <c r="E98" s="138">
        <f>E99+E104+E115+E120+E122+E132</f>
        <v>1149930</v>
      </c>
      <c r="F98" s="138">
        <f>F99+F104+F115+F120+F122+F132</f>
        <v>245269</v>
      </c>
      <c r="G98" s="457">
        <f>G99+G104+G115+G120+G122+G132</f>
        <v>1254610</v>
      </c>
      <c r="H98" s="123">
        <f t="shared" si="5"/>
        <v>109.103162801214</v>
      </c>
      <c r="J98" s="552"/>
      <c r="K98" s="241"/>
    </row>
    <row r="99" spans="2:12" ht="27" customHeight="1">
      <c r="B99" s="139">
        <v>722510</v>
      </c>
      <c r="C99" s="143" t="s">
        <v>332</v>
      </c>
      <c r="D99" s="129">
        <f t="shared" ref="D99:E99" si="8">SUM(D100:D103)</f>
        <v>12470</v>
      </c>
      <c r="E99" s="129">
        <f t="shared" si="8"/>
        <v>12470</v>
      </c>
      <c r="F99" s="129">
        <f t="shared" ref="F99:G99" si="9">SUM(F100:F103)</f>
        <v>3218</v>
      </c>
      <c r="G99" s="459">
        <f t="shared" si="9"/>
        <v>8250</v>
      </c>
      <c r="H99" s="123">
        <f t="shared" si="5"/>
        <v>66.158781074578982</v>
      </c>
      <c r="J99" s="552"/>
      <c r="K99" s="241"/>
    </row>
    <row r="100" spans="2:12" ht="25.5">
      <c r="B100" s="121">
        <v>722511</v>
      </c>
      <c r="C100" s="82" t="s">
        <v>551</v>
      </c>
      <c r="D100" s="548">
        <v>20</v>
      </c>
      <c r="E100" s="548">
        <v>20</v>
      </c>
      <c r="F100" s="548">
        <v>60</v>
      </c>
      <c r="G100" s="456">
        <v>100</v>
      </c>
      <c r="H100" s="130">
        <f t="shared" si="5"/>
        <v>500</v>
      </c>
      <c r="J100" s="552"/>
      <c r="K100" s="241"/>
    </row>
    <row r="101" spans="2:12" ht="25.5">
      <c r="B101" s="121">
        <v>722514</v>
      </c>
      <c r="C101" s="82" t="s">
        <v>295</v>
      </c>
      <c r="D101" s="548">
        <v>1390</v>
      </c>
      <c r="E101" s="548">
        <v>1390</v>
      </c>
      <c r="F101" s="548">
        <v>736</v>
      </c>
      <c r="G101" s="456">
        <v>1390</v>
      </c>
      <c r="H101" s="130">
        <f t="shared" si="5"/>
        <v>100</v>
      </c>
      <c r="J101" s="552"/>
      <c r="K101" s="241"/>
    </row>
    <row r="102" spans="2:12" ht="15" customHeight="1">
      <c r="B102" s="121">
        <v>722515</v>
      </c>
      <c r="C102" s="83" t="s">
        <v>281</v>
      </c>
      <c r="D102" s="548">
        <v>11030</v>
      </c>
      <c r="E102" s="548">
        <v>11030</v>
      </c>
      <c r="F102" s="548">
        <v>2386</v>
      </c>
      <c r="G102" s="456">
        <f>2680*2.5</f>
        <v>6700</v>
      </c>
      <c r="H102" s="130">
        <f t="shared" si="5"/>
        <v>60.743427017225748</v>
      </c>
      <c r="J102" s="552"/>
      <c r="K102" s="241"/>
    </row>
    <row r="103" spans="2:12" ht="15" customHeight="1">
      <c r="B103" s="121">
        <v>722516</v>
      </c>
      <c r="C103" s="83" t="s">
        <v>282</v>
      </c>
      <c r="D103" s="548">
        <v>30</v>
      </c>
      <c r="E103" s="548">
        <v>30</v>
      </c>
      <c r="F103" s="548">
        <v>36</v>
      </c>
      <c r="G103" s="456">
        <v>60</v>
      </c>
      <c r="H103" s="130">
        <f t="shared" si="5"/>
        <v>200</v>
      </c>
      <c r="J103" s="552"/>
      <c r="K103" s="241"/>
    </row>
    <row r="104" spans="2:12" ht="15" customHeight="1">
      <c r="B104" s="139">
        <v>722520</v>
      </c>
      <c r="C104" s="144" t="s">
        <v>283</v>
      </c>
      <c r="D104" s="129">
        <f>D105+D107+D108+D109+D110+D111+D112+D113+D114</f>
        <v>239990</v>
      </c>
      <c r="E104" s="129">
        <f>E105+E107+E108+E109+E110+E111+E112+E113+E114</f>
        <v>239990</v>
      </c>
      <c r="F104" s="129">
        <f>F105+F107+F108+F109+F110+F111+F112+F113+F114</f>
        <v>105255</v>
      </c>
      <c r="G104" s="459">
        <f>G105+G107+G108+G109+G110+G111+G112+G113+G114</f>
        <v>180000</v>
      </c>
      <c r="H104" s="123">
        <f t="shared" si="5"/>
        <v>75.00312513021376</v>
      </c>
      <c r="J104" s="552"/>
      <c r="K104" s="241"/>
    </row>
    <row r="105" spans="2:12" ht="25.5">
      <c r="B105" s="121">
        <v>722521</v>
      </c>
      <c r="C105" s="82" t="s">
        <v>296</v>
      </c>
      <c r="D105" s="548">
        <f>D106</f>
        <v>102820</v>
      </c>
      <c r="E105" s="548">
        <f>E106</f>
        <v>102820</v>
      </c>
      <c r="F105" s="548">
        <f>F106</f>
        <v>21661</v>
      </c>
      <c r="G105" s="456">
        <f>G106</f>
        <v>40190</v>
      </c>
      <c r="H105" s="130">
        <f t="shared" si="5"/>
        <v>39.087726123322305</v>
      </c>
      <c r="J105" s="552"/>
      <c r="K105" s="241"/>
    </row>
    <row r="106" spans="2:12" s="810" customFormat="1" ht="15" customHeight="1">
      <c r="B106" s="811"/>
      <c r="C106" s="817" t="s">
        <v>681</v>
      </c>
      <c r="D106" s="809">
        <v>102820</v>
      </c>
      <c r="E106" s="809">
        <v>102820</v>
      </c>
      <c r="F106" s="809">
        <v>21661</v>
      </c>
      <c r="G106" s="808">
        <f>74780-34590</f>
        <v>40190</v>
      </c>
      <c r="H106" s="818">
        <f t="shared" si="5"/>
        <v>39.087726123322305</v>
      </c>
      <c r="I106" s="816"/>
      <c r="J106" s="814"/>
      <c r="K106" s="814"/>
      <c r="L106" s="816"/>
    </row>
    <row r="107" spans="2:12" ht="25.5" customHeight="1">
      <c r="B107" s="199">
        <v>722522</v>
      </c>
      <c r="C107" s="201" t="s">
        <v>297</v>
      </c>
      <c r="D107" s="549">
        <v>29800</v>
      </c>
      <c r="E107" s="549">
        <v>29800</v>
      </c>
      <c r="F107" s="549">
        <v>6789</v>
      </c>
      <c r="G107" s="458">
        <f>7820*2.5</f>
        <v>19550</v>
      </c>
      <c r="H107" s="207">
        <f t="shared" si="5"/>
        <v>65.604026845637591</v>
      </c>
      <c r="J107" s="552"/>
      <c r="K107" s="241"/>
    </row>
    <row r="108" spans="2:12" ht="25.5">
      <c r="B108" s="121">
        <v>722523</v>
      </c>
      <c r="C108" s="82" t="s">
        <v>298</v>
      </c>
      <c r="D108" s="548">
        <v>5550</v>
      </c>
      <c r="E108" s="548">
        <v>5550</v>
      </c>
      <c r="F108" s="548">
        <v>1158</v>
      </c>
      <c r="G108" s="456">
        <v>3380</v>
      </c>
      <c r="H108" s="127">
        <f t="shared" si="5"/>
        <v>60.900900900900901</v>
      </c>
      <c r="J108" s="552"/>
      <c r="K108" s="241"/>
    </row>
    <row r="109" spans="2:12" ht="27" customHeight="1">
      <c r="B109" s="121">
        <v>722524</v>
      </c>
      <c r="C109" s="295" t="s">
        <v>537</v>
      </c>
      <c r="D109" s="548">
        <v>480</v>
      </c>
      <c r="E109" s="548">
        <v>480</v>
      </c>
      <c r="F109" s="548">
        <v>54</v>
      </c>
      <c r="G109" s="456">
        <v>100</v>
      </c>
      <c r="H109" s="127">
        <f t="shared" si="5"/>
        <v>20.833333333333336</v>
      </c>
      <c r="J109" s="552"/>
      <c r="K109" s="241"/>
    </row>
    <row r="110" spans="2:12" ht="25.5">
      <c r="B110" s="121">
        <v>722525</v>
      </c>
      <c r="C110" s="295" t="s">
        <v>536</v>
      </c>
      <c r="D110" s="548">
        <v>40</v>
      </c>
      <c r="E110" s="548">
        <v>40</v>
      </c>
      <c r="F110" s="548">
        <v>13</v>
      </c>
      <c r="G110" s="456">
        <v>50</v>
      </c>
      <c r="H110" s="127">
        <f t="shared" si="5"/>
        <v>125</v>
      </c>
      <c r="J110" s="552"/>
      <c r="K110" s="241"/>
    </row>
    <row r="111" spans="2:12" ht="25.5">
      <c r="B111" s="121">
        <v>722526</v>
      </c>
      <c r="C111" s="82" t="s">
        <v>539</v>
      </c>
      <c r="D111" s="548">
        <v>0</v>
      </c>
      <c r="E111" s="548">
        <v>0</v>
      </c>
      <c r="F111" s="548">
        <v>0</v>
      </c>
      <c r="G111" s="456">
        <v>0</v>
      </c>
      <c r="H111" s="127" t="str">
        <f t="shared" si="5"/>
        <v/>
      </c>
      <c r="J111" s="552"/>
      <c r="K111" s="241"/>
    </row>
    <row r="112" spans="2:12" ht="15" customHeight="1">
      <c r="B112" s="121">
        <v>722527</v>
      </c>
      <c r="C112" s="83" t="s">
        <v>459</v>
      </c>
      <c r="D112" s="548">
        <v>17230</v>
      </c>
      <c r="E112" s="548">
        <v>17230</v>
      </c>
      <c r="F112" s="548">
        <v>53063</v>
      </c>
      <c r="G112" s="456">
        <v>53100</v>
      </c>
      <c r="H112" s="217">
        <f t="shared" si="5"/>
        <v>308.1834010446895</v>
      </c>
      <c r="J112" s="552"/>
      <c r="K112" s="241"/>
    </row>
    <row r="113" spans="2:11" ht="15" customHeight="1">
      <c r="B113" s="121">
        <v>722528</v>
      </c>
      <c r="C113" s="83" t="s">
        <v>284</v>
      </c>
      <c r="D113" s="548">
        <v>950</v>
      </c>
      <c r="E113" s="548">
        <v>950</v>
      </c>
      <c r="F113" s="548">
        <v>165</v>
      </c>
      <c r="G113" s="456">
        <f>230*3</f>
        <v>690</v>
      </c>
      <c r="H113" s="127">
        <f t="shared" si="5"/>
        <v>72.631578947368425</v>
      </c>
      <c r="J113" s="552"/>
      <c r="K113" s="241"/>
    </row>
    <row r="114" spans="2:11" ht="15" customHeight="1">
      <c r="B114" s="121">
        <v>722529</v>
      </c>
      <c r="C114" s="83" t="s">
        <v>285</v>
      </c>
      <c r="D114" s="548">
        <v>83120</v>
      </c>
      <c r="E114" s="548">
        <v>83120</v>
      </c>
      <c r="F114" s="548">
        <v>22352</v>
      </c>
      <c r="G114" s="456">
        <v>62940</v>
      </c>
      <c r="H114" s="127">
        <f t="shared" si="5"/>
        <v>75.721847930702609</v>
      </c>
      <c r="J114" s="552"/>
      <c r="K114" s="241"/>
    </row>
    <row r="115" spans="2:11" ht="15" customHeight="1">
      <c r="B115" s="139">
        <v>722530</v>
      </c>
      <c r="C115" s="144" t="s">
        <v>286</v>
      </c>
      <c r="D115" s="129">
        <f>SUM(D116:D119)</f>
        <v>352240</v>
      </c>
      <c r="E115" s="129">
        <f>SUM(E116:E119)</f>
        <v>352240</v>
      </c>
      <c r="F115" s="129">
        <f>SUM(F116:F119)</f>
        <v>79122</v>
      </c>
      <c r="G115" s="459">
        <f>SUM(G116:G119)</f>
        <v>278380</v>
      </c>
      <c r="H115" s="135">
        <f t="shared" si="5"/>
        <v>79.031342266636386</v>
      </c>
      <c r="J115" s="552"/>
      <c r="K115" s="241"/>
    </row>
    <row r="116" spans="2:11" ht="15" customHeight="1">
      <c r="B116" s="121">
        <v>722531</v>
      </c>
      <c r="C116" s="83" t="s">
        <v>287</v>
      </c>
      <c r="D116" s="548">
        <v>102740</v>
      </c>
      <c r="E116" s="548">
        <v>102740</v>
      </c>
      <c r="F116" s="548">
        <v>25569</v>
      </c>
      <c r="G116" s="456">
        <f>37040*2.5</f>
        <v>92600</v>
      </c>
      <c r="H116" s="127">
        <f t="shared" si="5"/>
        <v>90.130426318863158</v>
      </c>
      <c r="J116" s="552"/>
      <c r="K116" s="241"/>
    </row>
    <row r="117" spans="2:11" ht="15" customHeight="1">
      <c r="B117" s="121">
        <v>722532</v>
      </c>
      <c r="C117" s="83" t="s">
        <v>288</v>
      </c>
      <c r="D117" s="548">
        <v>249470</v>
      </c>
      <c r="E117" s="548">
        <v>249470</v>
      </c>
      <c r="F117" s="548">
        <v>53553</v>
      </c>
      <c r="G117" s="456">
        <f>74300*2.5</f>
        <v>185750</v>
      </c>
      <c r="H117" s="127">
        <f t="shared" si="5"/>
        <v>74.457850643363926</v>
      </c>
      <c r="J117" s="552"/>
      <c r="K117" s="241"/>
    </row>
    <row r="118" spans="2:11" ht="15" customHeight="1">
      <c r="B118" s="121">
        <v>722538</v>
      </c>
      <c r="C118" s="83" t="s">
        <v>289</v>
      </c>
      <c r="D118" s="548">
        <v>20</v>
      </c>
      <c r="E118" s="548">
        <v>20</v>
      </c>
      <c r="F118" s="548">
        <v>0</v>
      </c>
      <c r="G118" s="456">
        <v>20</v>
      </c>
      <c r="H118" s="127">
        <f t="shared" si="5"/>
        <v>100</v>
      </c>
      <c r="J118" s="552"/>
      <c r="K118" s="241"/>
    </row>
    <row r="119" spans="2:11" ht="15" customHeight="1">
      <c r="B119" s="121">
        <v>722539</v>
      </c>
      <c r="C119" s="83" t="s">
        <v>462</v>
      </c>
      <c r="D119" s="548">
        <v>10</v>
      </c>
      <c r="E119" s="548">
        <v>10</v>
      </c>
      <c r="F119" s="548">
        <v>0</v>
      </c>
      <c r="G119" s="456">
        <v>10</v>
      </c>
      <c r="H119" s="127">
        <f t="shared" si="5"/>
        <v>100</v>
      </c>
      <c r="J119" s="552"/>
      <c r="K119" s="241"/>
    </row>
    <row r="120" spans="2:11" ht="15" customHeight="1">
      <c r="B120" s="139">
        <v>722540</v>
      </c>
      <c r="C120" s="144" t="s">
        <v>290</v>
      </c>
      <c r="D120" s="129">
        <f>D121</f>
        <v>300</v>
      </c>
      <c r="E120" s="129">
        <f>E121</f>
        <v>300</v>
      </c>
      <c r="F120" s="129">
        <f>F121</f>
        <v>64</v>
      </c>
      <c r="G120" s="459">
        <f>G121</f>
        <v>300</v>
      </c>
      <c r="H120" s="135">
        <f t="shared" si="5"/>
        <v>100</v>
      </c>
      <c r="J120" s="552"/>
      <c r="K120" s="241"/>
    </row>
    <row r="121" spans="2:11" ht="15" customHeight="1">
      <c r="B121" s="121">
        <v>722541</v>
      </c>
      <c r="C121" s="83" t="s">
        <v>291</v>
      </c>
      <c r="D121" s="548">
        <v>300</v>
      </c>
      <c r="E121" s="548">
        <v>300</v>
      </c>
      <c r="F121" s="548">
        <v>64</v>
      </c>
      <c r="G121" s="456">
        <v>300</v>
      </c>
      <c r="H121" s="127">
        <f t="shared" si="5"/>
        <v>100</v>
      </c>
      <c r="J121" s="552"/>
      <c r="K121" s="241"/>
    </row>
    <row r="122" spans="2:11" ht="15" customHeight="1">
      <c r="B122" s="139">
        <v>722550</v>
      </c>
      <c r="C122" s="144" t="s">
        <v>292</v>
      </c>
      <c r="D122" s="129">
        <f>D123+D125+D127+D129</f>
        <v>440000</v>
      </c>
      <c r="E122" s="129">
        <f>E123+E125+E127+E129</f>
        <v>440000</v>
      </c>
      <c r="F122" s="129">
        <f>F123+F125+F127+F129</f>
        <v>41185</v>
      </c>
      <c r="G122" s="459">
        <f>G123+G125+G127+G129</f>
        <v>681090</v>
      </c>
      <c r="H122" s="135">
        <f t="shared" si="5"/>
        <v>154.79318181818184</v>
      </c>
      <c r="J122" s="553"/>
      <c r="K122" s="241"/>
    </row>
    <row r="123" spans="2:11" ht="15" customHeight="1">
      <c r="B123" s="121">
        <v>722551</v>
      </c>
      <c r="C123" s="83" t="s">
        <v>293</v>
      </c>
      <c r="D123" s="548">
        <f>D124</f>
        <v>14770</v>
      </c>
      <c r="E123" s="548">
        <f>E124</f>
        <v>14770</v>
      </c>
      <c r="F123" s="548">
        <f>F124</f>
        <v>309</v>
      </c>
      <c r="G123" s="456">
        <f>G124</f>
        <v>910</v>
      </c>
      <c r="H123" s="127">
        <f t="shared" si="5"/>
        <v>6.1611374407582939</v>
      </c>
      <c r="J123" s="552"/>
      <c r="K123" s="241"/>
    </row>
    <row r="124" spans="2:11" ht="15" customHeight="1">
      <c r="B124" s="128"/>
      <c r="C124" s="197" t="s">
        <v>681</v>
      </c>
      <c r="D124" s="548">
        <v>14770</v>
      </c>
      <c r="E124" s="548">
        <v>14770</v>
      </c>
      <c r="F124" s="548">
        <v>309</v>
      </c>
      <c r="G124" s="456">
        <v>910</v>
      </c>
      <c r="H124" s="127">
        <f t="shared" si="5"/>
        <v>6.1611374407582939</v>
      </c>
      <c r="J124" s="552"/>
      <c r="K124" s="241"/>
    </row>
    <row r="125" spans="2:11" ht="15" customHeight="1">
      <c r="B125" s="121">
        <v>722552</v>
      </c>
      <c r="C125" s="547" t="s">
        <v>702</v>
      </c>
      <c r="D125" s="548">
        <f>D126</f>
        <v>20</v>
      </c>
      <c r="E125" s="548">
        <f>E126</f>
        <v>20</v>
      </c>
      <c r="F125" s="548">
        <f>F126</f>
        <v>0</v>
      </c>
      <c r="G125" s="456">
        <f>G126</f>
        <v>40</v>
      </c>
      <c r="H125" s="127">
        <f t="shared" si="5"/>
        <v>200</v>
      </c>
      <c r="J125" s="552"/>
      <c r="K125" s="241"/>
    </row>
    <row r="126" spans="2:11" ht="15" customHeight="1">
      <c r="B126" s="128"/>
      <c r="C126" s="197" t="s">
        <v>681</v>
      </c>
      <c r="D126" s="548">
        <v>20</v>
      </c>
      <c r="E126" s="548">
        <v>20</v>
      </c>
      <c r="F126" s="548">
        <v>0</v>
      </c>
      <c r="G126" s="456">
        <v>40</v>
      </c>
      <c r="H126" s="127">
        <f t="shared" si="5"/>
        <v>200</v>
      </c>
      <c r="J126" s="552"/>
      <c r="K126" s="241"/>
    </row>
    <row r="127" spans="2:11" ht="25.5">
      <c r="B127" s="121">
        <v>722555</v>
      </c>
      <c r="C127" s="82" t="s">
        <v>299</v>
      </c>
      <c r="D127" s="548">
        <f>D128</f>
        <v>62190</v>
      </c>
      <c r="E127" s="548">
        <f>E128</f>
        <v>62190</v>
      </c>
      <c r="F127" s="548">
        <f>F128</f>
        <v>15089</v>
      </c>
      <c r="G127" s="456">
        <f>G128</f>
        <v>52820</v>
      </c>
      <c r="H127" s="127">
        <f t="shared" si="5"/>
        <v>84.93326901431098</v>
      </c>
      <c r="J127" s="552"/>
      <c r="K127" s="241"/>
    </row>
    <row r="128" spans="2:11" ht="17.100000000000001" customHeight="1">
      <c r="B128" s="128"/>
      <c r="C128" s="197" t="s">
        <v>681</v>
      </c>
      <c r="D128" s="548">
        <v>62190</v>
      </c>
      <c r="E128" s="548">
        <v>62190</v>
      </c>
      <c r="F128" s="548">
        <v>15089</v>
      </c>
      <c r="G128" s="456">
        <v>52820</v>
      </c>
      <c r="H128" s="127">
        <f t="shared" si="5"/>
        <v>84.93326901431098</v>
      </c>
      <c r="J128" s="552"/>
      <c r="K128" s="241"/>
    </row>
    <row r="129" spans="2:12" ht="25.5">
      <c r="B129" s="121">
        <v>722556</v>
      </c>
      <c r="C129" s="82" t="s">
        <v>300</v>
      </c>
      <c r="D129" s="548">
        <f>SUM(D130:D131)</f>
        <v>363020</v>
      </c>
      <c r="E129" s="548">
        <f t="shared" ref="E129:G129" si="10">SUM(E130:E131)</f>
        <v>363020</v>
      </c>
      <c r="F129" s="548">
        <f t="shared" si="10"/>
        <v>25787</v>
      </c>
      <c r="G129" s="456">
        <f t="shared" si="10"/>
        <v>627320</v>
      </c>
      <c r="H129" s="127">
        <f t="shared" si="5"/>
        <v>172.80590601068812</v>
      </c>
      <c r="J129" s="552"/>
      <c r="K129" s="241"/>
    </row>
    <row r="130" spans="2:12" s="810" customFormat="1" ht="15" customHeight="1">
      <c r="B130" s="811"/>
      <c r="C130" s="817" t="s">
        <v>917</v>
      </c>
      <c r="D130" s="809">
        <v>0</v>
      </c>
      <c r="E130" s="809">
        <v>0</v>
      </c>
      <c r="F130" s="809">
        <v>0</v>
      </c>
      <c r="G130" s="808">
        <v>534140</v>
      </c>
      <c r="H130" s="813" t="str">
        <f>IF(E130=0,"",G130/E130*100)</f>
        <v/>
      </c>
      <c r="I130" s="816"/>
      <c r="J130" s="814"/>
      <c r="K130" s="814"/>
      <c r="L130" s="816"/>
    </row>
    <row r="131" spans="2:12" s="810" customFormat="1" ht="15" customHeight="1">
      <c r="B131" s="811"/>
      <c r="C131" s="817" t="s">
        <v>681</v>
      </c>
      <c r="D131" s="809">
        <f>123140+239880</f>
        <v>363020</v>
      </c>
      <c r="E131" s="809">
        <f>123140+239880</f>
        <v>363020</v>
      </c>
      <c r="F131" s="809">
        <v>25787</v>
      </c>
      <c r="G131" s="808">
        <v>93180</v>
      </c>
      <c r="H131" s="813">
        <f t="shared" si="5"/>
        <v>25.668007272326594</v>
      </c>
      <c r="I131" s="816"/>
      <c r="J131" s="814"/>
      <c r="K131" s="814"/>
      <c r="L131" s="816"/>
    </row>
    <row r="132" spans="2:12" ht="15" customHeight="1">
      <c r="B132" s="139">
        <v>722580</v>
      </c>
      <c r="C132" s="144" t="s">
        <v>301</v>
      </c>
      <c r="D132" s="129">
        <f>D133+D136+D137+D138+D139</f>
        <v>44930</v>
      </c>
      <c r="E132" s="129">
        <f>E133+E136+E137+E138+E139</f>
        <v>104930</v>
      </c>
      <c r="F132" s="129">
        <f>F133+F136+F137+F138+F139</f>
        <v>16425</v>
      </c>
      <c r="G132" s="459">
        <f>G133+G136+G137+G138+G139</f>
        <v>106590</v>
      </c>
      <c r="H132" s="135">
        <f t="shared" si="5"/>
        <v>101.58200705232059</v>
      </c>
      <c r="J132" s="552"/>
      <c r="K132" s="241"/>
    </row>
    <row r="133" spans="2:12" ht="25.5">
      <c r="B133" s="121">
        <v>722581</v>
      </c>
      <c r="C133" s="82" t="s">
        <v>538</v>
      </c>
      <c r="D133" s="548">
        <f t="shared" ref="D133:F133" si="11">SUM(D134:D135)</f>
        <v>37540</v>
      </c>
      <c r="E133" s="548">
        <f t="shared" si="11"/>
        <v>97540</v>
      </c>
      <c r="F133" s="548">
        <f t="shared" si="11"/>
        <v>14720</v>
      </c>
      <c r="G133" s="456">
        <f>SUM(G134:G135)</f>
        <v>100910</v>
      </c>
      <c r="H133" s="127">
        <f t="shared" si="5"/>
        <v>103.45499282345705</v>
      </c>
      <c r="J133" s="552"/>
      <c r="K133" s="241"/>
    </row>
    <row r="134" spans="2:12" s="810" customFormat="1" ht="15" customHeight="1">
      <c r="B134" s="811"/>
      <c r="C134" s="817" t="s">
        <v>918</v>
      </c>
      <c r="D134" s="809">
        <v>0</v>
      </c>
      <c r="E134" s="809">
        <v>60000</v>
      </c>
      <c r="F134" s="809">
        <v>0</v>
      </c>
      <c r="G134" s="808">
        <v>60000</v>
      </c>
      <c r="H134" s="813">
        <f t="shared" si="5"/>
        <v>100</v>
      </c>
      <c r="I134" s="816"/>
      <c r="J134" s="819"/>
      <c r="K134" s="814"/>
      <c r="L134" s="816"/>
    </row>
    <row r="135" spans="2:12" s="810" customFormat="1" ht="15" customHeight="1">
      <c r="B135" s="811"/>
      <c r="C135" s="817" t="s">
        <v>680</v>
      </c>
      <c r="D135" s="809">
        <v>37540</v>
      </c>
      <c r="E135" s="809">
        <v>37540</v>
      </c>
      <c r="F135" s="809">
        <v>14720</v>
      </c>
      <c r="G135" s="808">
        <v>40910</v>
      </c>
      <c r="H135" s="813">
        <f t="shared" si="5"/>
        <v>108.97709110282365</v>
      </c>
      <c r="I135" s="816"/>
      <c r="J135" s="819"/>
      <c r="K135" s="814"/>
      <c r="L135" s="816"/>
    </row>
    <row r="136" spans="2:12" ht="37.5" customHeight="1">
      <c r="B136" s="121">
        <v>722582</v>
      </c>
      <c r="C136" s="295" t="s">
        <v>535</v>
      </c>
      <c r="D136" s="548">
        <v>5120</v>
      </c>
      <c r="E136" s="548">
        <v>5120</v>
      </c>
      <c r="F136" s="548">
        <v>1200</v>
      </c>
      <c r="G136" s="456">
        <f>1350*3</f>
        <v>4050</v>
      </c>
      <c r="H136" s="127">
        <f t="shared" si="5"/>
        <v>79.1015625</v>
      </c>
      <c r="J136" s="552"/>
      <c r="K136" s="241"/>
    </row>
    <row r="137" spans="2:12" ht="26.25" customHeight="1">
      <c r="B137" s="121">
        <v>722583</v>
      </c>
      <c r="C137" s="82" t="s">
        <v>302</v>
      </c>
      <c r="D137" s="548">
        <v>850</v>
      </c>
      <c r="E137" s="548">
        <v>850</v>
      </c>
      <c r="F137" s="548">
        <v>237</v>
      </c>
      <c r="G137" s="456">
        <f>240*3</f>
        <v>720</v>
      </c>
      <c r="H137" s="127">
        <f t="shared" si="5"/>
        <v>84.705882352941174</v>
      </c>
      <c r="J137" s="552"/>
      <c r="K137" s="241"/>
    </row>
    <row r="138" spans="2:12" ht="25.5">
      <c r="B138" s="121">
        <v>722584</v>
      </c>
      <c r="C138" s="82" t="s">
        <v>303</v>
      </c>
      <c r="D138" s="548">
        <v>670</v>
      </c>
      <c r="E138" s="548">
        <v>670</v>
      </c>
      <c r="F138" s="548">
        <v>200</v>
      </c>
      <c r="G138" s="456">
        <v>600</v>
      </c>
      <c r="H138" s="127">
        <f t="shared" si="5"/>
        <v>89.552238805970148</v>
      </c>
      <c r="J138" s="552"/>
      <c r="K138" s="241"/>
    </row>
    <row r="139" spans="2:12" ht="25.5">
      <c r="B139" s="121">
        <v>722585</v>
      </c>
      <c r="C139" s="82" t="s">
        <v>304</v>
      </c>
      <c r="D139" s="548">
        <v>750</v>
      </c>
      <c r="E139" s="548">
        <v>750</v>
      </c>
      <c r="F139" s="548">
        <v>68</v>
      </c>
      <c r="G139" s="456">
        <v>310</v>
      </c>
      <c r="H139" s="127">
        <f t="shared" si="5"/>
        <v>41.333333333333336</v>
      </c>
      <c r="J139" s="552"/>
      <c r="K139" s="241"/>
    </row>
    <row r="140" spans="2:12" ht="15" customHeight="1">
      <c r="B140" s="125">
        <v>722600</v>
      </c>
      <c r="C140" s="50" t="s">
        <v>294</v>
      </c>
      <c r="D140" s="138">
        <f>SUM(D141:D147)</f>
        <v>411960</v>
      </c>
      <c r="E140" s="138">
        <f>SUM(E141:E147)</f>
        <v>411960</v>
      </c>
      <c r="F140" s="138">
        <f>SUM(F141:F147)</f>
        <v>66613</v>
      </c>
      <c r="G140" s="457">
        <f>SUM(G141:G147)</f>
        <v>218560</v>
      </c>
      <c r="H140" s="135">
        <f t="shared" ref="H140:H203" si="12">IF(E140=0,"",G140/E140*100)</f>
        <v>53.05369453344985</v>
      </c>
      <c r="J140" s="552"/>
      <c r="K140" s="241"/>
    </row>
    <row r="141" spans="2:12" ht="15" customHeight="1">
      <c r="B141" s="128">
        <v>722611</v>
      </c>
      <c r="C141" s="83" t="s">
        <v>305</v>
      </c>
      <c r="D141" s="548">
        <v>124770</v>
      </c>
      <c r="E141" s="548">
        <v>124770</v>
      </c>
      <c r="F141" s="548">
        <v>19352</v>
      </c>
      <c r="G141" s="456">
        <f>54060+8000</f>
        <v>62060</v>
      </c>
      <c r="H141" s="127">
        <f t="shared" si="12"/>
        <v>49.739520718121341</v>
      </c>
      <c r="J141" s="552"/>
      <c r="K141" s="241"/>
    </row>
    <row r="142" spans="2:12" ht="15" customHeight="1">
      <c r="B142" s="128">
        <v>722612</v>
      </c>
      <c r="C142" s="83" t="s">
        <v>306</v>
      </c>
      <c r="D142" s="548">
        <v>90260</v>
      </c>
      <c r="E142" s="548">
        <v>90260</v>
      </c>
      <c r="F142" s="548">
        <v>10660</v>
      </c>
      <c r="G142" s="456">
        <v>31270</v>
      </c>
      <c r="H142" s="127">
        <f t="shared" si="12"/>
        <v>34.644360735652555</v>
      </c>
      <c r="J142" s="552"/>
      <c r="K142" s="241"/>
    </row>
    <row r="143" spans="2:12" ht="15" customHeight="1">
      <c r="B143" s="128">
        <v>722613</v>
      </c>
      <c r="C143" s="83" t="s">
        <v>307</v>
      </c>
      <c r="D143" s="548">
        <v>10350</v>
      </c>
      <c r="E143" s="548">
        <v>10350</v>
      </c>
      <c r="F143" s="548">
        <v>2385</v>
      </c>
      <c r="G143" s="456">
        <v>5620</v>
      </c>
      <c r="H143" s="127">
        <f t="shared" si="12"/>
        <v>54.299516908212567</v>
      </c>
      <c r="J143" s="552"/>
      <c r="K143" s="241"/>
    </row>
    <row r="144" spans="2:12" ht="15" customHeight="1">
      <c r="B144" s="128">
        <v>722621</v>
      </c>
      <c r="C144" s="83" t="s">
        <v>308</v>
      </c>
      <c r="D144" s="548">
        <v>134130</v>
      </c>
      <c r="E144" s="548">
        <v>134130</v>
      </c>
      <c r="F144" s="548">
        <v>26794</v>
      </c>
      <c r="G144" s="456">
        <v>94730</v>
      </c>
      <c r="H144" s="127">
        <f t="shared" si="12"/>
        <v>70.625512562439425</v>
      </c>
      <c r="J144" s="552"/>
      <c r="K144" s="241"/>
    </row>
    <row r="145" spans="2:11" ht="15" customHeight="1">
      <c r="B145" s="128">
        <v>722631</v>
      </c>
      <c r="C145" s="83" t="s">
        <v>309</v>
      </c>
      <c r="D145" s="548">
        <v>52420</v>
      </c>
      <c r="E145" s="548">
        <v>52420</v>
      </c>
      <c r="F145" s="548">
        <v>7422</v>
      </c>
      <c r="G145" s="456">
        <v>24810</v>
      </c>
      <c r="H145" s="127">
        <f t="shared" si="12"/>
        <v>47.329263639832128</v>
      </c>
      <c r="J145" s="552"/>
      <c r="K145" s="241"/>
    </row>
    <row r="146" spans="2:11" ht="15" customHeight="1">
      <c r="B146" s="128">
        <v>722632</v>
      </c>
      <c r="C146" s="83" t="s">
        <v>463</v>
      </c>
      <c r="D146" s="548">
        <v>20</v>
      </c>
      <c r="E146" s="548">
        <v>20</v>
      </c>
      <c r="F146" s="548">
        <v>0</v>
      </c>
      <c r="G146" s="456">
        <v>20</v>
      </c>
      <c r="H146" s="127">
        <f t="shared" si="12"/>
        <v>100</v>
      </c>
      <c r="J146" s="552"/>
      <c r="K146" s="241"/>
    </row>
    <row r="147" spans="2:11" ht="15" customHeight="1">
      <c r="B147" s="128">
        <v>722633</v>
      </c>
      <c r="C147" s="547" t="s">
        <v>703</v>
      </c>
      <c r="D147" s="548">
        <v>10</v>
      </c>
      <c r="E147" s="548">
        <v>10</v>
      </c>
      <c r="F147" s="548">
        <v>0</v>
      </c>
      <c r="G147" s="456">
        <v>50</v>
      </c>
      <c r="H147" s="127">
        <f t="shared" si="12"/>
        <v>500</v>
      </c>
      <c r="J147" s="552"/>
      <c r="K147" s="241"/>
    </row>
    <row r="148" spans="2:11" ht="15" customHeight="1">
      <c r="B148" s="139">
        <v>722700</v>
      </c>
      <c r="C148" s="50" t="s">
        <v>310</v>
      </c>
      <c r="D148" s="138">
        <f t="shared" ref="D148:G148" si="13">SUM(D149:D152)</f>
        <v>53160</v>
      </c>
      <c r="E148" s="138">
        <f t="shared" si="13"/>
        <v>53160</v>
      </c>
      <c r="F148" s="138">
        <f t="shared" si="13"/>
        <v>1405</v>
      </c>
      <c r="G148" s="457">
        <f t="shared" si="13"/>
        <v>33250</v>
      </c>
      <c r="H148" s="135">
        <f t="shared" si="12"/>
        <v>62.547027840481562</v>
      </c>
      <c r="J148" s="552"/>
      <c r="K148" s="241"/>
    </row>
    <row r="149" spans="2:11" ht="15" customHeight="1">
      <c r="B149" s="128">
        <v>722715</v>
      </c>
      <c r="C149" s="83" t="s">
        <v>552</v>
      </c>
      <c r="D149" s="548">
        <v>0</v>
      </c>
      <c r="E149" s="548">
        <v>0</v>
      </c>
      <c r="F149" s="548">
        <v>0</v>
      </c>
      <c r="G149" s="456">
        <v>0</v>
      </c>
      <c r="H149" s="127" t="str">
        <f t="shared" si="12"/>
        <v/>
      </c>
      <c r="J149" s="552"/>
      <c r="K149" s="241"/>
    </row>
    <row r="150" spans="2:11" ht="15" customHeight="1">
      <c r="B150" s="128">
        <v>722719</v>
      </c>
      <c r="C150" s="83" t="s">
        <v>460</v>
      </c>
      <c r="D150" s="548">
        <v>130</v>
      </c>
      <c r="E150" s="548">
        <v>130</v>
      </c>
      <c r="F150" s="548">
        <v>0</v>
      </c>
      <c r="G150" s="456">
        <v>31250</v>
      </c>
      <c r="H150" s="127">
        <f t="shared" si="12"/>
        <v>24038.461538461539</v>
      </c>
      <c r="J150" s="552"/>
      <c r="K150" s="241"/>
    </row>
    <row r="151" spans="2:11" ht="15" customHeight="1">
      <c r="B151" s="128">
        <v>722732</v>
      </c>
      <c r="C151" s="83" t="s">
        <v>311</v>
      </c>
      <c r="D151" s="548">
        <v>0</v>
      </c>
      <c r="E151" s="548">
        <v>0</v>
      </c>
      <c r="F151" s="548">
        <v>0</v>
      </c>
      <c r="G151" s="456">
        <v>0</v>
      </c>
      <c r="H151" s="127" t="str">
        <f t="shared" si="12"/>
        <v/>
      </c>
      <c r="J151" s="552"/>
      <c r="K151" s="241"/>
    </row>
    <row r="152" spans="2:11" ht="15" customHeight="1">
      <c r="B152" s="128">
        <v>722791</v>
      </c>
      <c r="C152" s="83" t="s">
        <v>312</v>
      </c>
      <c r="D152" s="548">
        <v>53030</v>
      </c>
      <c r="E152" s="548">
        <v>53030</v>
      </c>
      <c r="F152" s="548">
        <v>1405</v>
      </c>
      <c r="G152" s="456">
        <v>2000</v>
      </c>
      <c r="H152" s="127">
        <f t="shared" si="12"/>
        <v>3.7714501225721286</v>
      </c>
      <c r="J152" s="552"/>
      <c r="K152" s="241"/>
    </row>
    <row r="153" spans="2:11" ht="17.100000000000001" customHeight="1">
      <c r="B153" s="222">
        <v>723000</v>
      </c>
      <c r="C153" s="223" t="s">
        <v>166</v>
      </c>
      <c r="D153" s="224">
        <f>D154</f>
        <v>668840</v>
      </c>
      <c r="E153" s="224">
        <f>E154</f>
        <v>668840</v>
      </c>
      <c r="F153" s="224">
        <f>F154</f>
        <v>133235</v>
      </c>
      <c r="G153" s="453">
        <f>G154</f>
        <v>467300</v>
      </c>
      <c r="H153" s="205">
        <f t="shared" si="12"/>
        <v>69.86723282100354</v>
      </c>
      <c r="J153" s="552"/>
      <c r="K153" s="241"/>
    </row>
    <row r="154" spans="2:11" ht="15" customHeight="1">
      <c r="B154" s="132">
        <v>723100</v>
      </c>
      <c r="C154" s="143" t="s">
        <v>313</v>
      </c>
      <c r="D154" s="129">
        <f>SUM(D155:D158)</f>
        <v>668840</v>
      </c>
      <c r="E154" s="129">
        <f>SUM(E155:E158)</f>
        <v>668840</v>
      </c>
      <c r="F154" s="129">
        <f>SUM(F155:F158)</f>
        <v>133235</v>
      </c>
      <c r="G154" s="459">
        <f>SUM(G155:G158)</f>
        <v>467300</v>
      </c>
      <c r="H154" s="127">
        <f t="shared" si="12"/>
        <v>69.86723282100354</v>
      </c>
      <c r="J154" s="552"/>
      <c r="K154" s="241"/>
    </row>
    <row r="155" spans="2:11" ht="15" customHeight="1">
      <c r="B155" s="128">
        <v>723121</v>
      </c>
      <c r="C155" s="23" t="s">
        <v>314</v>
      </c>
      <c r="D155" s="688">
        <v>580</v>
      </c>
      <c r="E155" s="688">
        <v>580</v>
      </c>
      <c r="F155" s="688">
        <v>250</v>
      </c>
      <c r="G155" s="455">
        <v>580</v>
      </c>
      <c r="H155" s="127">
        <f t="shared" si="12"/>
        <v>100</v>
      </c>
      <c r="J155" s="552"/>
      <c r="K155" s="241"/>
    </row>
    <row r="156" spans="2:11" ht="15" customHeight="1">
      <c r="B156" s="128">
        <v>723122</v>
      </c>
      <c r="C156" s="23" t="s">
        <v>315</v>
      </c>
      <c r="D156" s="548">
        <v>20</v>
      </c>
      <c r="E156" s="548">
        <v>20</v>
      </c>
      <c r="F156" s="548">
        <v>0</v>
      </c>
      <c r="G156" s="456">
        <v>20</v>
      </c>
      <c r="H156" s="127">
        <f t="shared" si="12"/>
        <v>100</v>
      </c>
      <c r="J156" s="552"/>
      <c r="K156" s="241"/>
    </row>
    <row r="157" spans="2:11" ht="25.5">
      <c r="B157" s="128">
        <v>723123</v>
      </c>
      <c r="C157" s="48" t="s">
        <v>317</v>
      </c>
      <c r="D157" s="688">
        <f>611230+50000</f>
        <v>661230</v>
      </c>
      <c r="E157" s="688">
        <f>611230+50000</f>
        <v>661230</v>
      </c>
      <c r="F157" s="688">
        <v>131675</v>
      </c>
      <c r="G157" s="455">
        <f>152190*3+5000</f>
        <v>461570</v>
      </c>
      <c r="H157" s="127">
        <f t="shared" si="12"/>
        <v>69.804757799857839</v>
      </c>
      <c r="J157" s="552"/>
      <c r="K157" s="241"/>
    </row>
    <row r="158" spans="2:11" ht="15" customHeight="1">
      <c r="B158" s="202">
        <v>723129</v>
      </c>
      <c r="C158" s="203" t="s">
        <v>316</v>
      </c>
      <c r="D158" s="689">
        <v>7010</v>
      </c>
      <c r="E158" s="689">
        <v>7010</v>
      </c>
      <c r="F158" s="689">
        <v>1310</v>
      </c>
      <c r="G158" s="460">
        <f>1710*3</f>
        <v>5130</v>
      </c>
      <c r="H158" s="206">
        <f t="shared" si="12"/>
        <v>73.1811697574893</v>
      </c>
      <c r="J158" s="552"/>
      <c r="K158" s="241"/>
    </row>
    <row r="159" spans="2:11">
      <c r="B159" s="128"/>
      <c r="C159" s="120"/>
      <c r="D159" s="455"/>
      <c r="E159" s="455"/>
      <c r="F159" s="131"/>
      <c r="G159" s="455"/>
      <c r="H159" s="130" t="str">
        <f t="shared" si="12"/>
        <v/>
      </c>
      <c r="J159" s="552"/>
      <c r="K159" s="241"/>
    </row>
    <row r="160" spans="2:11" ht="17.100000000000001" customHeight="1">
      <c r="B160" s="866" t="s">
        <v>335</v>
      </c>
      <c r="C160" s="867"/>
      <c r="D160" s="461">
        <f>D5+D61</f>
        <v>41244890</v>
      </c>
      <c r="E160" s="461">
        <f>E5+E61</f>
        <v>41304890</v>
      </c>
      <c r="F160" s="147">
        <f>F5+F61</f>
        <v>9775246</v>
      </c>
      <c r="G160" s="461">
        <f>G5+G61</f>
        <v>33978750</v>
      </c>
      <c r="H160" s="208">
        <f t="shared" si="12"/>
        <v>82.263262291704436</v>
      </c>
      <c r="J160" s="552"/>
      <c r="K160" s="241"/>
    </row>
    <row r="161" spans="2:11">
      <c r="B161" s="51"/>
      <c r="C161" s="49"/>
      <c r="D161" s="455"/>
      <c r="E161" s="455"/>
      <c r="F161" s="66"/>
      <c r="G161" s="455"/>
      <c r="H161" s="130" t="str">
        <f t="shared" si="12"/>
        <v/>
      </c>
      <c r="J161" s="552"/>
      <c r="K161" s="241"/>
    </row>
    <row r="162" spans="2:11" ht="17.100000000000001" customHeight="1">
      <c r="B162" s="219">
        <v>730000</v>
      </c>
      <c r="C162" s="228" t="s">
        <v>376</v>
      </c>
      <c r="D162" s="452">
        <f>D163+D170+D185</f>
        <v>2063550</v>
      </c>
      <c r="E162" s="452">
        <f>E163+E170+E185</f>
        <v>2063550</v>
      </c>
      <c r="F162" s="221">
        <f>F163+F170+F185</f>
        <v>669922</v>
      </c>
      <c r="G162" s="452">
        <f>G163+G170+G185</f>
        <v>9251620</v>
      </c>
      <c r="H162" s="204">
        <f t="shared" si="12"/>
        <v>448.33515059000268</v>
      </c>
      <c r="J162" s="552"/>
      <c r="K162" s="241"/>
    </row>
    <row r="163" spans="2:11" ht="26.25">
      <c r="B163" s="229">
        <v>731000</v>
      </c>
      <c r="C163" s="230" t="s">
        <v>359</v>
      </c>
      <c r="D163" s="224">
        <f>D164</f>
        <v>50000</v>
      </c>
      <c r="E163" s="224">
        <f>E164</f>
        <v>50000</v>
      </c>
      <c r="F163" s="231">
        <f>F164</f>
        <v>1400</v>
      </c>
      <c r="G163" s="453">
        <f>G164</f>
        <v>50120</v>
      </c>
      <c r="H163" s="205">
        <f t="shared" si="12"/>
        <v>100.24</v>
      </c>
      <c r="J163" s="552"/>
      <c r="K163" s="241"/>
    </row>
    <row r="164" spans="2:11" ht="15" customHeight="1">
      <c r="B164" s="139">
        <v>731100</v>
      </c>
      <c r="C164" s="196" t="s">
        <v>360</v>
      </c>
      <c r="D164" s="129">
        <f>D165+D167</f>
        <v>50000</v>
      </c>
      <c r="E164" s="129">
        <f>E165+E167</f>
        <v>50000</v>
      </c>
      <c r="F164" s="136">
        <f>F165+F167</f>
        <v>1400</v>
      </c>
      <c r="G164" s="459">
        <f>G165+G167</f>
        <v>50120</v>
      </c>
      <c r="H164" s="123">
        <f t="shared" si="12"/>
        <v>100.24</v>
      </c>
      <c r="J164" s="552"/>
      <c r="K164" s="241"/>
    </row>
    <row r="165" spans="2:11" ht="15" customHeight="1">
      <c r="B165" s="244">
        <v>731111</v>
      </c>
      <c r="C165" s="189" t="s">
        <v>471</v>
      </c>
      <c r="D165" s="688">
        <f>D166</f>
        <v>0</v>
      </c>
      <c r="E165" s="688">
        <f t="shared" ref="E165:G165" si="14">E166</f>
        <v>0</v>
      </c>
      <c r="F165" s="245">
        <f t="shared" si="14"/>
        <v>1285</v>
      </c>
      <c r="G165" s="455">
        <f t="shared" si="14"/>
        <v>0</v>
      </c>
      <c r="H165" s="246" t="str">
        <f>IF(E165=0,"",G165/E165*100)</f>
        <v/>
      </c>
      <c r="J165" s="552"/>
      <c r="K165" s="241"/>
    </row>
    <row r="166" spans="2:11" ht="15" customHeight="1">
      <c r="B166" s="244"/>
      <c r="C166" s="197" t="s">
        <v>905</v>
      </c>
      <c r="D166" s="688">
        <v>0</v>
      </c>
      <c r="E166" s="688">
        <v>0</v>
      </c>
      <c r="F166" s="245">
        <v>1285</v>
      </c>
      <c r="G166" s="455">
        <v>0</v>
      </c>
      <c r="H166" s="246" t="str">
        <f>IF(E166=0,"",G166/E166*100)</f>
        <v/>
      </c>
      <c r="J166" s="552"/>
      <c r="K166" s="241"/>
    </row>
    <row r="167" spans="2:11" ht="15" customHeight="1">
      <c r="B167" s="244">
        <v>731121</v>
      </c>
      <c r="C167" s="189" t="s">
        <v>361</v>
      </c>
      <c r="D167" s="688">
        <f>SUM(D168:D169)</f>
        <v>50000</v>
      </c>
      <c r="E167" s="688">
        <f>SUM(E168:E169)</f>
        <v>50000</v>
      </c>
      <c r="F167" s="245">
        <f>SUM(F168:F169)</f>
        <v>115</v>
      </c>
      <c r="G167" s="455">
        <f>SUM(G168:G169)</f>
        <v>50120</v>
      </c>
      <c r="H167" s="246">
        <f t="shared" si="12"/>
        <v>100.24</v>
      </c>
      <c r="J167" s="552"/>
      <c r="K167" s="241"/>
    </row>
    <row r="168" spans="2:11" ht="15" customHeight="1">
      <c r="B168" s="244"/>
      <c r="C168" s="398" t="s">
        <v>717</v>
      </c>
      <c r="D168" s="548">
        <v>50000</v>
      </c>
      <c r="E168" s="548">
        <v>50000</v>
      </c>
      <c r="F168" s="247">
        <v>0</v>
      </c>
      <c r="G168" s="456">
        <v>50000</v>
      </c>
      <c r="H168" s="246">
        <f t="shared" si="12"/>
        <v>100</v>
      </c>
      <c r="J168" s="552"/>
      <c r="K168" s="241"/>
    </row>
    <row r="169" spans="2:11" ht="15" customHeight="1">
      <c r="B169" s="244"/>
      <c r="C169" s="197" t="s">
        <v>692</v>
      </c>
      <c r="D169" s="548">
        <v>0</v>
      </c>
      <c r="E169" s="548">
        <v>0</v>
      </c>
      <c r="F169" s="247">
        <v>115</v>
      </c>
      <c r="G169" s="456">
        <v>120</v>
      </c>
      <c r="H169" s="246" t="str">
        <f t="shared" si="12"/>
        <v/>
      </c>
      <c r="J169" s="552"/>
      <c r="K169" s="241"/>
    </row>
    <row r="170" spans="2:11" ht="17.100000000000001" customHeight="1">
      <c r="B170" s="232">
        <v>732000</v>
      </c>
      <c r="C170" s="230" t="s">
        <v>362</v>
      </c>
      <c r="D170" s="224">
        <f>D171</f>
        <v>2013550</v>
      </c>
      <c r="E170" s="224">
        <f>E171</f>
        <v>2013550</v>
      </c>
      <c r="F170" s="231">
        <f>F171</f>
        <v>668522</v>
      </c>
      <c r="G170" s="453">
        <f>G171</f>
        <v>9201500</v>
      </c>
      <c r="H170" s="205">
        <f t="shared" si="12"/>
        <v>456.97896749521993</v>
      </c>
      <c r="J170" s="552"/>
      <c r="K170" s="241"/>
    </row>
    <row r="171" spans="2:11" ht="15" customHeight="1">
      <c r="B171" s="139">
        <v>732100</v>
      </c>
      <c r="C171" s="196" t="s">
        <v>363</v>
      </c>
      <c r="D171" s="129">
        <f>D172+D181</f>
        <v>2013550</v>
      </c>
      <c r="E171" s="129">
        <f>E172+E181</f>
        <v>2013550</v>
      </c>
      <c r="F171" s="136">
        <f t="shared" ref="F171" si="15">F172+F181</f>
        <v>668522</v>
      </c>
      <c r="G171" s="459">
        <f>G172+G181</f>
        <v>9201500</v>
      </c>
      <c r="H171" s="123">
        <f t="shared" si="12"/>
        <v>456.97896749521993</v>
      </c>
      <c r="J171" s="552"/>
      <c r="K171" s="241"/>
    </row>
    <row r="172" spans="2:11" ht="15" customHeight="1">
      <c r="B172" s="125">
        <v>732110</v>
      </c>
      <c r="C172" s="134" t="s">
        <v>364</v>
      </c>
      <c r="D172" s="138">
        <f>D173+D179</f>
        <v>1960000</v>
      </c>
      <c r="E172" s="138">
        <f>E173+E179</f>
        <v>1960000</v>
      </c>
      <c r="F172" s="142">
        <f>F173+F179</f>
        <v>663122</v>
      </c>
      <c r="G172" s="457">
        <f>G173+G179</f>
        <v>9192500</v>
      </c>
      <c r="H172" s="123">
        <f t="shared" si="12"/>
        <v>469.00510204081638</v>
      </c>
      <c r="J172" s="552"/>
      <c r="K172" s="241"/>
    </row>
    <row r="173" spans="2:11" ht="15" customHeight="1">
      <c r="B173" s="244">
        <v>732112</v>
      </c>
      <c r="C173" s="189" t="s">
        <v>365</v>
      </c>
      <c r="D173" s="688">
        <f>SUM(D174:D178)</f>
        <v>1960000</v>
      </c>
      <c r="E173" s="688">
        <f t="shared" ref="E173:G173" si="16">SUM(E174:E178)</f>
        <v>1960000</v>
      </c>
      <c r="F173" s="245">
        <f t="shared" si="16"/>
        <v>663122</v>
      </c>
      <c r="G173" s="455">
        <f t="shared" si="16"/>
        <v>9192500</v>
      </c>
      <c r="H173" s="246">
        <f t="shared" si="12"/>
        <v>469.00510204081638</v>
      </c>
      <c r="J173" s="552"/>
      <c r="K173" s="241"/>
    </row>
    <row r="174" spans="2:11" ht="25.5">
      <c r="B174" s="244"/>
      <c r="C174" s="197" t="s">
        <v>705</v>
      </c>
      <c r="D174" s="548">
        <v>260000</v>
      </c>
      <c r="E174" s="548">
        <v>260000</v>
      </c>
      <c r="F174" s="247">
        <v>63122</v>
      </c>
      <c r="G174" s="456">
        <v>252500</v>
      </c>
      <c r="H174" s="246">
        <f t="shared" si="12"/>
        <v>97.115384615384613</v>
      </c>
      <c r="J174" s="552"/>
      <c r="K174" s="241"/>
    </row>
    <row r="175" spans="2:11" ht="25.5">
      <c r="B175" s="244"/>
      <c r="C175" s="197" t="s">
        <v>718</v>
      </c>
      <c r="D175" s="548">
        <v>0</v>
      </c>
      <c r="E175" s="548">
        <v>0</v>
      </c>
      <c r="F175" s="247">
        <v>0</v>
      </c>
      <c r="G175" s="456">
        <v>0</v>
      </c>
      <c r="H175" s="246" t="str">
        <f>IF(E175=0,"",G175/E175*100)</f>
        <v/>
      </c>
      <c r="J175" s="552"/>
    </row>
    <row r="176" spans="2:11" ht="17.100000000000001" customHeight="1">
      <c r="B176" s="244"/>
      <c r="C176" s="197" t="s">
        <v>334</v>
      </c>
      <c r="D176" s="548">
        <f>1500000+200000</f>
        <v>1700000</v>
      </c>
      <c r="E176" s="548">
        <f>1500000+200000</f>
        <v>1700000</v>
      </c>
      <c r="F176" s="247">
        <v>600000</v>
      </c>
      <c r="G176" s="456">
        <f>600000</f>
        <v>600000</v>
      </c>
      <c r="H176" s="246">
        <f t="shared" si="12"/>
        <v>35.294117647058826</v>
      </c>
      <c r="J176" s="552"/>
    </row>
    <row r="177" spans="2:12" s="829" customFormat="1" ht="17.100000000000001" customHeight="1">
      <c r="B177" s="244"/>
      <c r="C177" s="197" t="s">
        <v>923</v>
      </c>
      <c r="D177" s="548">
        <v>0</v>
      </c>
      <c r="E177" s="548">
        <v>0</v>
      </c>
      <c r="F177" s="247">
        <v>0</v>
      </c>
      <c r="G177" s="456">
        <f>705000-45000+50000+30000</f>
        <v>740000</v>
      </c>
      <c r="H177" s="246" t="str">
        <f t="shared" ref="H177" si="17">IF(E177=0,"",G177/E177*100)</f>
        <v/>
      </c>
      <c r="I177" s="185"/>
      <c r="J177" s="552"/>
      <c r="K177" s="185"/>
      <c r="L177" s="185"/>
    </row>
    <row r="178" spans="2:12" ht="17.100000000000001" customHeight="1">
      <c r="B178" s="244"/>
      <c r="C178" s="197" t="s">
        <v>924</v>
      </c>
      <c r="D178" s="548">
        <v>0</v>
      </c>
      <c r="E178" s="548">
        <v>0</v>
      </c>
      <c r="F178" s="247">
        <v>0</v>
      </c>
      <c r="G178" s="456">
        <v>7600000</v>
      </c>
      <c r="H178" s="246" t="str">
        <f t="shared" si="12"/>
        <v/>
      </c>
      <c r="J178" s="552"/>
    </row>
    <row r="179" spans="2:12" ht="15" customHeight="1">
      <c r="B179" s="244">
        <v>732115</v>
      </c>
      <c r="C179" s="189" t="s">
        <v>555</v>
      </c>
      <c r="D179" s="688">
        <f>D180</f>
        <v>0</v>
      </c>
      <c r="E179" s="688">
        <f>E180</f>
        <v>0</v>
      </c>
      <c r="F179" s="245">
        <v>0</v>
      </c>
      <c r="G179" s="456">
        <f>G180</f>
        <v>0</v>
      </c>
      <c r="H179" s="246" t="str">
        <f t="shared" si="12"/>
        <v/>
      </c>
      <c r="J179" s="552"/>
    </row>
    <row r="180" spans="2:12" ht="15" customHeight="1">
      <c r="B180" s="244">
        <v>732115</v>
      </c>
      <c r="C180" s="189" t="s">
        <v>706</v>
      </c>
      <c r="D180" s="688">
        <v>0</v>
      </c>
      <c r="E180" s="688">
        <v>0</v>
      </c>
      <c r="F180" s="245">
        <v>0</v>
      </c>
      <c r="G180" s="456">
        <v>0</v>
      </c>
      <c r="H180" s="246" t="str">
        <f t="shared" si="12"/>
        <v/>
      </c>
      <c r="J180" s="552"/>
    </row>
    <row r="181" spans="2:12" ht="15" customHeight="1">
      <c r="B181" s="125">
        <v>732130</v>
      </c>
      <c r="C181" s="134" t="s">
        <v>524</v>
      </c>
      <c r="D181" s="138">
        <f t="shared" ref="D181:G181" si="18">SUM(D182:D184)</f>
        <v>53550</v>
      </c>
      <c r="E181" s="138">
        <f t="shared" si="18"/>
        <v>53550</v>
      </c>
      <c r="F181" s="142">
        <f t="shared" si="18"/>
        <v>5400</v>
      </c>
      <c r="G181" s="457">
        <f t="shared" si="18"/>
        <v>9000</v>
      </c>
      <c r="H181" s="123">
        <f t="shared" si="12"/>
        <v>16.806722689075631</v>
      </c>
      <c r="J181" s="552"/>
    </row>
    <row r="182" spans="2:12" ht="15" customHeight="1">
      <c r="B182" s="133">
        <v>732131</v>
      </c>
      <c r="C182" s="195" t="s">
        <v>796</v>
      </c>
      <c r="D182" s="548">
        <f>450*11*9</f>
        <v>44550</v>
      </c>
      <c r="E182" s="548">
        <f>450*11*9</f>
        <v>44550</v>
      </c>
      <c r="F182" s="106">
        <v>0</v>
      </c>
      <c r="G182" s="456">
        <v>0</v>
      </c>
      <c r="H182" s="246">
        <f t="shared" si="12"/>
        <v>0</v>
      </c>
      <c r="I182" s="551"/>
      <c r="J182" s="552"/>
    </row>
    <row r="183" spans="2:12" ht="15" customHeight="1">
      <c r="B183" s="133">
        <v>732131</v>
      </c>
      <c r="C183" s="195" t="s">
        <v>545</v>
      </c>
      <c r="D183" s="548">
        <f>3*5*600</f>
        <v>9000</v>
      </c>
      <c r="E183" s="548">
        <f>3*5*600</f>
        <v>9000</v>
      </c>
      <c r="F183" s="106">
        <v>5400</v>
      </c>
      <c r="G183" s="456">
        <v>9000</v>
      </c>
      <c r="H183" s="246">
        <f t="shared" si="12"/>
        <v>100</v>
      </c>
      <c r="I183" s="551"/>
      <c r="J183" s="552"/>
    </row>
    <row r="184" spans="2:12" ht="15" customHeight="1">
      <c r="B184" s="133">
        <v>732131</v>
      </c>
      <c r="C184" s="195" t="s">
        <v>719</v>
      </c>
      <c r="D184" s="548">
        <v>0</v>
      </c>
      <c r="E184" s="548">
        <v>0</v>
      </c>
      <c r="F184" s="106">
        <v>0</v>
      </c>
      <c r="G184" s="456"/>
      <c r="H184" s="246" t="str">
        <f t="shared" si="12"/>
        <v/>
      </c>
      <c r="J184" s="552"/>
    </row>
    <row r="185" spans="2:12" ht="17.100000000000001" customHeight="1">
      <c r="B185" s="232">
        <v>733000</v>
      </c>
      <c r="C185" s="230" t="s">
        <v>318</v>
      </c>
      <c r="D185" s="224">
        <f>D186</f>
        <v>0</v>
      </c>
      <c r="E185" s="224">
        <f>E186</f>
        <v>0</v>
      </c>
      <c r="F185" s="231">
        <f>F186</f>
        <v>0</v>
      </c>
      <c r="G185" s="453">
        <f>G186</f>
        <v>0</v>
      </c>
      <c r="H185" s="205" t="str">
        <f t="shared" si="12"/>
        <v/>
      </c>
      <c r="J185" s="552"/>
    </row>
    <row r="186" spans="2:12" ht="15" customHeight="1">
      <c r="B186" s="139">
        <v>733100</v>
      </c>
      <c r="C186" s="196" t="s">
        <v>319</v>
      </c>
      <c r="D186" s="129">
        <f>D187+D188</f>
        <v>0</v>
      </c>
      <c r="E186" s="129">
        <f>E187+E188</f>
        <v>0</v>
      </c>
      <c r="F186" s="136">
        <f>F187+F188</f>
        <v>0</v>
      </c>
      <c r="G186" s="459">
        <f>G187+G188</f>
        <v>0</v>
      </c>
      <c r="H186" s="123" t="str">
        <f t="shared" si="12"/>
        <v/>
      </c>
      <c r="J186" s="552"/>
    </row>
    <row r="187" spans="2:12" ht="15" customHeight="1">
      <c r="B187" s="125">
        <v>733110</v>
      </c>
      <c r="C187" s="134" t="s">
        <v>320</v>
      </c>
      <c r="D187" s="138">
        <v>0</v>
      </c>
      <c r="E187" s="138">
        <v>0</v>
      </c>
      <c r="F187" s="142">
        <v>0</v>
      </c>
      <c r="G187" s="457">
        <v>0</v>
      </c>
      <c r="H187" s="123" t="str">
        <f t="shared" si="12"/>
        <v/>
      </c>
      <c r="J187" s="552"/>
    </row>
    <row r="188" spans="2:12" ht="15" customHeight="1">
      <c r="B188" s="125">
        <v>733120</v>
      </c>
      <c r="C188" s="134" t="s">
        <v>321</v>
      </c>
      <c r="D188" s="138">
        <v>0</v>
      </c>
      <c r="E188" s="138">
        <v>0</v>
      </c>
      <c r="F188" s="142">
        <v>0</v>
      </c>
      <c r="G188" s="457">
        <v>0</v>
      </c>
      <c r="H188" s="123" t="str">
        <f t="shared" si="12"/>
        <v/>
      </c>
      <c r="J188" s="552"/>
    </row>
    <row r="189" spans="2:12" ht="15">
      <c r="B189" s="35"/>
      <c r="C189" s="50"/>
      <c r="D189" s="122"/>
      <c r="E189" s="122"/>
      <c r="F189" s="65"/>
      <c r="G189" s="454"/>
      <c r="H189" s="246" t="str">
        <f t="shared" si="12"/>
        <v/>
      </c>
      <c r="J189" s="552"/>
    </row>
    <row r="190" spans="2:12" ht="17.100000000000001" customHeight="1">
      <c r="B190" s="219">
        <v>740000</v>
      </c>
      <c r="C190" s="228" t="s">
        <v>366</v>
      </c>
      <c r="D190" s="227">
        <f>D191+D197</f>
        <v>100000</v>
      </c>
      <c r="E190" s="227">
        <f>E191+E197</f>
        <v>250393</v>
      </c>
      <c r="F190" s="221">
        <f>F191+F197</f>
        <v>144794</v>
      </c>
      <c r="G190" s="452">
        <f>G191+G197</f>
        <v>350410</v>
      </c>
      <c r="H190" s="204">
        <f t="shared" si="12"/>
        <v>139.94400801939349</v>
      </c>
      <c r="J190" s="552"/>
    </row>
    <row r="191" spans="2:12" ht="26.25">
      <c r="B191" s="232">
        <v>741000</v>
      </c>
      <c r="C191" s="230" t="s">
        <v>367</v>
      </c>
      <c r="D191" s="224">
        <f t="shared" ref="D191:G192" si="19">D192</f>
        <v>0</v>
      </c>
      <c r="E191" s="224">
        <f t="shared" si="19"/>
        <v>132942</v>
      </c>
      <c r="F191" s="231">
        <f t="shared" si="19"/>
        <v>132942</v>
      </c>
      <c r="G191" s="453">
        <f t="shared" si="19"/>
        <v>132950</v>
      </c>
      <c r="H191" s="205">
        <f t="shared" si="12"/>
        <v>100.0060176618375</v>
      </c>
      <c r="J191" s="552"/>
    </row>
    <row r="192" spans="2:12" ht="25.5">
      <c r="B192" s="139">
        <v>741100</v>
      </c>
      <c r="C192" s="198" t="s">
        <v>368</v>
      </c>
      <c r="D192" s="129">
        <f t="shared" si="19"/>
        <v>0</v>
      </c>
      <c r="E192" s="129">
        <f t="shared" si="19"/>
        <v>132942</v>
      </c>
      <c r="F192" s="136">
        <f t="shared" si="19"/>
        <v>132942</v>
      </c>
      <c r="G192" s="459">
        <f t="shared" si="19"/>
        <v>132950</v>
      </c>
      <c r="H192" s="123">
        <f t="shared" si="12"/>
        <v>100.0060176618375</v>
      </c>
      <c r="J192" s="552"/>
    </row>
    <row r="193" spans="2:10" ht="15" customHeight="1">
      <c r="B193" s="133">
        <v>741111</v>
      </c>
      <c r="C193" s="189" t="s">
        <v>369</v>
      </c>
      <c r="D193" s="688">
        <f>SUM(D194:D196)</f>
        <v>0</v>
      </c>
      <c r="E193" s="688">
        <f>SUM(E194:E196)</f>
        <v>132942</v>
      </c>
      <c r="F193" s="688">
        <f>SUM(F194:F196)</f>
        <v>132942</v>
      </c>
      <c r="G193" s="455">
        <f>SUM(G194:G196)</f>
        <v>132950</v>
      </c>
      <c r="H193" s="246">
        <f t="shared" si="12"/>
        <v>100.0060176618375</v>
      </c>
      <c r="J193" s="552"/>
    </row>
    <row r="194" spans="2:10" ht="24.75" customHeight="1">
      <c r="B194" s="244"/>
      <c r="C194" s="197" t="s">
        <v>707</v>
      </c>
      <c r="D194" s="548">
        <v>0</v>
      </c>
      <c r="E194" s="548">
        <v>102330</v>
      </c>
      <c r="F194" s="247">
        <v>102330</v>
      </c>
      <c r="G194" s="456">
        <v>102330</v>
      </c>
      <c r="H194" s="246">
        <f t="shared" si="12"/>
        <v>100</v>
      </c>
      <c r="J194" s="552"/>
    </row>
    <row r="195" spans="2:10" ht="24.75" customHeight="1">
      <c r="B195" s="244"/>
      <c r="C195" s="197" t="s">
        <v>900</v>
      </c>
      <c r="D195" s="548">
        <v>0</v>
      </c>
      <c r="E195" s="548">
        <v>30612</v>
      </c>
      <c r="F195" s="247">
        <v>30612</v>
      </c>
      <c r="G195" s="456">
        <v>30620</v>
      </c>
      <c r="H195" s="246">
        <f t="shared" si="12"/>
        <v>100.02613354240167</v>
      </c>
      <c r="J195" s="552"/>
    </row>
    <row r="196" spans="2:10" ht="15" customHeight="1">
      <c r="B196" s="244"/>
      <c r="C196" s="197" t="s">
        <v>691</v>
      </c>
      <c r="D196" s="548">
        <v>0</v>
      </c>
      <c r="E196" s="548">
        <v>0</v>
      </c>
      <c r="F196" s="247">
        <v>0</v>
      </c>
      <c r="G196" s="456">
        <v>0</v>
      </c>
      <c r="H196" s="246" t="str">
        <f t="shared" si="12"/>
        <v/>
      </c>
      <c r="J196" s="552"/>
    </row>
    <row r="197" spans="2:10" ht="25.5" customHeight="1">
      <c r="B197" s="232">
        <v>742000</v>
      </c>
      <c r="C197" s="230" t="s">
        <v>370</v>
      </c>
      <c r="D197" s="224">
        <f>D198+D211</f>
        <v>100000</v>
      </c>
      <c r="E197" s="224">
        <f>E198+E211</f>
        <v>117451</v>
      </c>
      <c r="F197" s="231">
        <f>F198+F211</f>
        <v>11852</v>
      </c>
      <c r="G197" s="453">
        <f>G198+G211</f>
        <v>217460</v>
      </c>
      <c r="H197" s="205">
        <f t="shared" si="12"/>
        <v>185.14955172795464</v>
      </c>
      <c r="J197" s="552"/>
    </row>
    <row r="198" spans="2:10" ht="15" customHeight="1">
      <c r="B198" s="139">
        <v>742100</v>
      </c>
      <c r="C198" s="198" t="s">
        <v>371</v>
      </c>
      <c r="D198" s="129">
        <f>D199+D200+D209</f>
        <v>100000</v>
      </c>
      <c r="E198" s="129">
        <f>E199+E200+E209</f>
        <v>111852</v>
      </c>
      <c r="F198" s="136">
        <f>F199+F200+F209</f>
        <v>11852</v>
      </c>
      <c r="G198" s="459">
        <f>G199+G200+G209</f>
        <v>211860</v>
      </c>
      <c r="H198" s="123">
        <f t="shared" si="12"/>
        <v>189.4110074026392</v>
      </c>
      <c r="J198" s="552"/>
    </row>
    <row r="199" spans="2:10" ht="15" customHeight="1">
      <c r="B199" s="133">
        <v>742111</v>
      </c>
      <c r="C199" s="189" t="s">
        <v>472</v>
      </c>
      <c r="D199" s="688"/>
      <c r="E199" s="688"/>
      <c r="F199" s="73">
        <v>0</v>
      </c>
      <c r="G199" s="455">
        <v>0</v>
      </c>
      <c r="H199" s="246" t="str">
        <f>IF(E199=0,"",G199/E199*100)</f>
        <v/>
      </c>
      <c r="J199" s="552"/>
    </row>
    <row r="200" spans="2:10" ht="15" customHeight="1">
      <c r="B200" s="133">
        <v>742112</v>
      </c>
      <c r="C200" s="189" t="s">
        <v>372</v>
      </c>
      <c r="D200" s="688">
        <f>SUM(D201:D208)</f>
        <v>100000</v>
      </c>
      <c r="E200" s="688">
        <f>SUM(E201:E208)</f>
        <v>111852</v>
      </c>
      <c r="F200" s="73">
        <f>SUM(F201:F208)</f>
        <v>11852</v>
      </c>
      <c r="G200" s="455">
        <f>SUM(G201:G208)</f>
        <v>211860</v>
      </c>
      <c r="H200" s="246">
        <f t="shared" si="12"/>
        <v>189.4110074026392</v>
      </c>
      <c r="J200" s="552"/>
    </row>
    <row r="201" spans="2:10" ht="25.5">
      <c r="B201" s="125"/>
      <c r="C201" s="197" t="s">
        <v>708</v>
      </c>
      <c r="D201" s="548">
        <v>0</v>
      </c>
      <c r="E201" s="548">
        <v>0</v>
      </c>
      <c r="F201" s="106">
        <v>0</v>
      </c>
      <c r="G201" s="456">
        <v>0</v>
      </c>
      <c r="H201" s="246" t="str">
        <f t="shared" si="12"/>
        <v/>
      </c>
      <c r="J201" s="552"/>
    </row>
    <row r="202" spans="2:10" ht="24.75" customHeight="1">
      <c r="B202" s="244"/>
      <c r="C202" s="197" t="s">
        <v>709</v>
      </c>
      <c r="D202" s="548">
        <v>100000</v>
      </c>
      <c r="E202" s="548">
        <v>100000</v>
      </c>
      <c r="F202" s="247">
        <v>0</v>
      </c>
      <c r="G202" s="456">
        <v>200000</v>
      </c>
      <c r="H202" s="246">
        <f t="shared" si="12"/>
        <v>200</v>
      </c>
      <c r="J202" s="552"/>
    </row>
    <row r="203" spans="2:10" ht="24.75" customHeight="1">
      <c r="B203" s="244"/>
      <c r="C203" s="197" t="s">
        <v>901</v>
      </c>
      <c r="D203" s="548">
        <v>0</v>
      </c>
      <c r="E203" s="548">
        <v>11852</v>
      </c>
      <c r="F203" s="247">
        <v>11852</v>
      </c>
      <c r="G203" s="456">
        <v>11860</v>
      </c>
      <c r="H203" s="246">
        <f t="shared" si="12"/>
        <v>100.06749915626054</v>
      </c>
      <c r="J203" s="552"/>
    </row>
    <row r="204" spans="2:10" ht="25.5">
      <c r="B204" s="244"/>
      <c r="C204" s="197" t="s">
        <v>710</v>
      </c>
      <c r="D204" s="548">
        <v>0</v>
      </c>
      <c r="E204" s="548">
        <v>0</v>
      </c>
      <c r="F204" s="247">
        <v>0</v>
      </c>
      <c r="G204" s="456">
        <v>0</v>
      </c>
      <c r="H204" s="246" t="str">
        <f>IF(E204=0,"",G204/E204*100)</f>
        <v/>
      </c>
      <c r="J204" s="552"/>
    </row>
    <row r="205" spans="2:10" ht="25.5">
      <c r="B205" s="244"/>
      <c r="C205" s="197" t="s">
        <v>710</v>
      </c>
      <c r="D205" s="548">
        <v>0</v>
      </c>
      <c r="E205" s="548">
        <v>0</v>
      </c>
      <c r="F205" s="247">
        <v>0</v>
      </c>
      <c r="G205" s="456">
        <v>0</v>
      </c>
      <c r="H205" s="246" t="str">
        <f>IF(E205=0,"",G205/E205*100)</f>
        <v/>
      </c>
      <c r="J205" s="552"/>
    </row>
    <row r="206" spans="2:10" ht="25.5">
      <c r="B206" s="244"/>
      <c r="C206" s="197" t="s">
        <v>678</v>
      </c>
      <c r="D206" s="548">
        <v>0</v>
      </c>
      <c r="E206" s="548">
        <v>0</v>
      </c>
      <c r="F206" s="247">
        <v>0</v>
      </c>
      <c r="G206" s="456">
        <v>0</v>
      </c>
      <c r="H206" s="246" t="str">
        <f>IF(E206=0,"",G206/E206*100)</f>
        <v/>
      </c>
      <c r="J206" s="552"/>
    </row>
    <row r="207" spans="2:10" ht="25.5">
      <c r="B207" s="244"/>
      <c r="C207" s="197" t="s">
        <v>678</v>
      </c>
      <c r="D207" s="548">
        <v>0</v>
      </c>
      <c r="E207" s="548">
        <v>0</v>
      </c>
      <c r="F207" s="247">
        <v>0</v>
      </c>
      <c r="G207" s="456">
        <v>0</v>
      </c>
      <c r="H207" s="246" t="str">
        <f>IF(E207=0,"",G207/E207*100)</f>
        <v/>
      </c>
      <c r="J207" s="552"/>
    </row>
    <row r="208" spans="2:10" ht="25.5">
      <c r="B208" s="244"/>
      <c r="C208" s="197" t="s">
        <v>679</v>
      </c>
      <c r="D208" s="548">
        <v>0</v>
      </c>
      <c r="E208" s="548">
        <v>0</v>
      </c>
      <c r="F208" s="247">
        <v>0</v>
      </c>
      <c r="G208" s="456">
        <v>0</v>
      </c>
      <c r="H208" s="246" t="str">
        <f>IF(E208=0,"",G208/E208*100)</f>
        <v/>
      </c>
      <c r="J208" s="552"/>
    </row>
    <row r="209" spans="2:10" ht="15" customHeight="1">
      <c r="B209" s="133">
        <v>742114</v>
      </c>
      <c r="C209" s="189" t="s">
        <v>711</v>
      </c>
      <c r="D209" s="548">
        <f>D210</f>
        <v>0</v>
      </c>
      <c r="E209" s="548">
        <f>E210</f>
        <v>0</v>
      </c>
      <c r="F209" s="73">
        <f t="shared" ref="F209" si="20">F210</f>
        <v>0</v>
      </c>
      <c r="G209" s="456">
        <f>G210</f>
        <v>0</v>
      </c>
      <c r="H209" s="246" t="str">
        <f t="shared" ref="H209" si="21">IF(E209=0,"",G209/E209*100)</f>
        <v/>
      </c>
      <c r="J209" s="552"/>
    </row>
    <row r="210" spans="2:10" ht="25.5">
      <c r="B210" s="244"/>
      <c r="C210" s="197" t="s">
        <v>712</v>
      </c>
      <c r="D210" s="548">
        <v>0</v>
      </c>
      <c r="E210" s="548">
        <v>0</v>
      </c>
      <c r="F210" s="247">
        <v>0</v>
      </c>
      <c r="G210" s="456">
        <v>0</v>
      </c>
      <c r="H210" s="246" t="str">
        <f>IF(E210=0,"",G210/E210*100)</f>
        <v/>
      </c>
      <c r="J210" s="552"/>
    </row>
    <row r="211" spans="2:10" ht="15" customHeight="1">
      <c r="B211" s="139">
        <v>742200</v>
      </c>
      <c r="C211" s="198" t="s">
        <v>553</v>
      </c>
      <c r="D211" s="129">
        <f>D212+D214</f>
        <v>0</v>
      </c>
      <c r="E211" s="129">
        <f t="shared" ref="E211:G211" si="22">E212+E214</f>
        <v>5599</v>
      </c>
      <c r="F211" s="136">
        <f t="shared" si="22"/>
        <v>0</v>
      </c>
      <c r="G211" s="459">
        <f t="shared" si="22"/>
        <v>5600</v>
      </c>
      <c r="H211" s="123">
        <f t="shared" ref="H211" si="23">IF(E211=0,"",G211/E211*100)</f>
        <v>100.01786033220216</v>
      </c>
      <c r="J211" s="552"/>
    </row>
    <row r="212" spans="2:10" ht="15" customHeight="1">
      <c r="B212" s="133">
        <v>742211</v>
      </c>
      <c r="C212" s="189" t="s">
        <v>553</v>
      </c>
      <c r="D212" s="688">
        <f>SUM(D213:D215)</f>
        <v>0</v>
      </c>
      <c r="E212" s="688">
        <f>SUM(E213:E215)</f>
        <v>5599</v>
      </c>
      <c r="F212" s="73">
        <f t="shared" ref="F212:F214" si="24">SUM(F213:F215)</f>
        <v>0</v>
      </c>
      <c r="G212" s="455">
        <f>SUM(G213:G215)</f>
        <v>5600</v>
      </c>
      <c r="H212" s="246">
        <f>IF(E212=0,"",G212/E212*100)</f>
        <v>100.01786033220216</v>
      </c>
      <c r="J212" s="552"/>
    </row>
    <row r="213" spans="2:10" ht="15" customHeight="1">
      <c r="B213" s="125"/>
      <c r="C213" s="197" t="s">
        <v>907</v>
      </c>
      <c r="D213" s="548">
        <v>0</v>
      </c>
      <c r="E213" s="548">
        <v>5599</v>
      </c>
      <c r="F213" s="106">
        <v>0</v>
      </c>
      <c r="G213" s="456">
        <v>5600</v>
      </c>
      <c r="H213" s="246">
        <f t="shared" ref="H213" si="25">IF(E213=0,"",G213/E213*100)</f>
        <v>100.01786033220216</v>
      </c>
      <c r="J213" s="552"/>
    </row>
    <row r="214" spans="2:10" ht="15" customHeight="1">
      <c r="B214" s="133">
        <v>742212</v>
      </c>
      <c r="C214" s="189" t="s">
        <v>554</v>
      </c>
      <c r="D214" s="688">
        <f>SUM(D215:D217)</f>
        <v>0</v>
      </c>
      <c r="E214" s="688">
        <f>SUM(E215:E217)</f>
        <v>0</v>
      </c>
      <c r="F214" s="73">
        <f t="shared" si="24"/>
        <v>0</v>
      </c>
      <c r="G214" s="455">
        <f>SUM(G215:G217)</f>
        <v>0</v>
      </c>
      <c r="H214" s="246" t="str">
        <f>IF(E214=0,"",G214/E214*100)</f>
        <v/>
      </c>
      <c r="J214" s="552"/>
    </row>
    <row r="215" spans="2:10" ht="15" customHeight="1">
      <c r="B215" s="125"/>
      <c r="C215" s="197" t="s">
        <v>713</v>
      </c>
      <c r="D215" s="548">
        <v>0</v>
      </c>
      <c r="E215" s="548">
        <v>0</v>
      </c>
      <c r="F215" s="106">
        <v>0</v>
      </c>
      <c r="G215" s="456">
        <v>0</v>
      </c>
      <c r="H215" s="246" t="str">
        <f t="shared" ref="H215:H234" si="26">IF(E215=0,"",G215/E215*100)</f>
        <v/>
      </c>
      <c r="J215" s="552"/>
    </row>
    <row r="216" spans="2:10" ht="15" customHeight="1">
      <c r="B216" s="125"/>
      <c r="C216" s="197" t="s">
        <v>714</v>
      </c>
      <c r="D216" s="548">
        <v>0</v>
      </c>
      <c r="E216" s="548">
        <v>0</v>
      </c>
      <c r="F216" s="106">
        <v>0</v>
      </c>
      <c r="G216" s="456">
        <v>0</v>
      </c>
      <c r="H216" s="246" t="str">
        <f t="shared" si="26"/>
        <v/>
      </c>
      <c r="J216" s="552"/>
    </row>
    <row r="217" spans="2:10" ht="15" customHeight="1">
      <c r="B217" s="125"/>
      <c r="C217" s="197" t="s">
        <v>715</v>
      </c>
      <c r="D217" s="548">
        <v>0</v>
      </c>
      <c r="E217" s="548">
        <v>0</v>
      </c>
      <c r="F217" s="106">
        <v>0</v>
      </c>
      <c r="G217" s="456">
        <v>0</v>
      </c>
      <c r="H217" s="246" t="str">
        <f t="shared" si="26"/>
        <v/>
      </c>
      <c r="J217" s="552"/>
    </row>
    <row r="218" spans="2:10">
      <c r="B218" s="125"/>
      <c r="C218" s="197"/>
      <c r="D218" s="548"/>
      <c r="E218" s="548"/>
      <c r="F218" s="106"/>
      <c r="G218" s="456"/>
      <c r="H218" s="246" t="str">
        <f t="shared" si="26"/>
        <v/>
      </c>
      <c r="J218" s="552"/>
    </row>
    <row r="219" spans="2:10" ht="17.100000000000001" customHeight="1">
      <c r="B219" s="219">
        <v>777000</v>
      </c>
      <c r="C219" s="220" t="s">
        <v>322</v>
      </c>
      <c r="D219" s="224">
        <f>SUM(D220:D221)</f>
        <v>1320</v>
      </c>
      <c r="E219" s="224">
        <f>SUM(E220:E221)</f>
        <v>1320</v>
      </c>
      <c r="F219" s="233">
        <f>SUM(F220:F221)</f>
        <v>61</v>
      </c>
      <c r="G219" s="453">
        <f>SUM(G220:G221)</f>
        <v>300</v>
      </c>
      <c r="H219" s="215">
        <f t="shared" si="26"/>
        <v>22.727272727272727</v>
      </c>
      <c r="J219" s="552"/>
    </row>
    <row r="220" spans="2:10" ht="15" customHeight="1">
      <c r="B220" s="121">
        <v>777778</v>
      </c>
      <c r="C220" s="195" t="s">
        <v>323</v>
      </c>
      <c r="D220" s="688">
        <v>1320</v>
      </c>
      <c r="E220" s="688">
        <v>1320</v>
      </c>
      <c r="F220" s="66">
        <v>61</v>
      </c>
      <c r="G220" s="455">
        <v>300</v>
      </c>
      <c r="H220" s="246">
        <f t="shared" si="26"/>
        <v>22.727272727272727</v>
      </c>
      <c r="J220" s="552"/>
    </row>
    <row r="221" spans="2:10" ht="15" customHeight="1">
      <c r="B221" s="121">
        <v>777779</v>
      </c>
      <c r="C221" s="189" t="s">
        <v>324</v>
      </c>
      <c r="D221" s="548">
        <v>0</v>
      </c>
      <c r="E221" s="548">
        <v>0</v>
      </c>
      <c r="F221" s="66">
        <v>0</v>
      </c>
      <c r="G221" s="456">
        <v>0</v>
      </c>
      <c r="H221" s="246" t="str">
        <f t="shared" si="26"/>
        <v/>
      </c>
      <c r="J221" s="552"/>
    </row>
    <row r="222" spans="2:10" ht="15" customHeight="1">
      <c r="B222" s="71"/>
      <c r="C222" s="72"/>
      <c r="D222" s="456"/>
      <c r="E222" s="456"/>
      <c r="F222" s="106"/>
      <c r="G222" s="456"/>
      <c r="H222" s="246" t="str">
        <f t="shared" si="26"/>
        <v/>
      </c>
      <c r="J222" s="552"/>
    </row>
    <row r="223" spans="2:10" ht="15" customHeight="1">
      <c r="B223" s="866" t="s">
        <v>336</v>
      </c>
      <c r="C223" s="867"/>
      <c r="D223" s="461">
        <f>D160+D162+D190+D219</f>
        <v>43409760</v>
      </c>
      <c r="E223" s="461">
        <f>E160+E162+E190+E219</f>
        <v>43620153</v>
      </c>
      <c r="F223" s="147">
        <f>F160+F162+F190+F219</f>
        <v>10590023</v>
      </c>
      <c r="G223" s="461">
        <f>G160+G162+G190+G219</f>
        <v>43581080</v>
      </c>
      <c r="H223" s="208">
        <f t="shared" si="26"/>
        <v>99.91042443156951</v>
      </c>
      <c r="J223" s="552"/>
    </row>
    <row r="224" spans="2:10" ht="15" customHeight="1">
      <c r="B224" s="145"/>
      <c r="C224" s="146"/>
      <c r="D224" s="461"/>
      <c r="E224" s="461"/>
      <c r="F224" s="147"/>
      <c r="G224" s="461"/>
      <c r="H224" s="246" t="str">
        <f t="shared" si="26"/>
        <v/>
      </c>
      <c r="J224" s="552"/>
    </row>
    <row r="225" spans="2:10" ht="17.100000000000001" customHeight="1">
      <c r="B225" s="219">
        <v>810000</v>
      </c>
      <c r="C225" s="220" t="s">
        <v>325</v>
      </c>
      <c r="D225" s="452">
        <f>D226</f>
        <v>0</v>
      </c>
      <c r="E225" s="452">
        <f>E226</f>
        <v>0</v>
      </c>
      <c r="F225" s="221">
        <f>F226</f>
        <v>5763</v>
      </c>
      <c r="G225" s="452">
        <f>G226</f>
        <v>5770</v>
      </c>
      <c r="H225" s="205" t="str">
        <f t="shared" si="26"/>
        <v/>
      </c>
      <c r="J225" s="552"/>
    </row>
    <row r="226" spans="2:10" ht="17.100000000000001" customHeight="1">
      <c r="B226" s="229">
        <v>811000</v>
      </c>
      <c r="C226" s="230" t="s">
        <v>327</v>
      </c>
      <c r="D226" s="224">
        <f>SUM(D227:D227)</f>
        <v>0</v>
      </c>
      <c r="E226" s="224">
        <f>SUM(E227:E227)</f>
        <v>0</v>
      </c>
      <c r="F226" s="231">
        <f>SUM(F227:F227)</f>
        <v>5763</v>
      </c>
      <c r="G226" s="453">
        <f>SUM(G227:G227)</f>
        <v>5770</v>
      </c>
      <c r="H226" s="205" t="str">
        <f t="shared" si="26"/>
        <v/>
      </c>
      <c r="J226" s="552"/>
    </row>
    <row r="227" spans="2:10" ht="15" customHeight="1">
      <c r="B227" s="139">
        <v>811100</v>
      </c>
      <c r="C227" s="144" t="s">
        <v>326</v>
      </c>
      <c r="D227" s="138">
        <f>D228+D230</f>
        <v>0</v>
      </c>
      <c r="E227" s="138">
        <f>E228+E230</f>
        <v>0</v>
      </c>
      <c r="F227" s="142">
        <f>F228+F230</f>
        <v>5763</v>
      </c>
      <c r="G227" s="457">
        <f>G228+G230</f>
        <v>5770</v>
      </c>
      <c r="H227" s="123" t="str">
        <f t="shared" si="26"/>
        <v/>
      </c>
      <c r="J227" s="552"/>
    </row>
    <row r="228" spans="2:10" ht="15" customHeight="1">
      <c r="B228" s="121">
        <v>811111</v>
      </c>
      <c r="C228" s="195" t="s">
        <v>466</v>
      </c>
      <c r="D228" s="688">
        <f>D229</f>
        <v>0</v>
      </c>
      <c r="E228" s="688">
        <f>E229</f>
        <v>0</v>
      </c>
      <c r="F228" s="66">
        <f t="shared" ref="F228" si="27">F229</f>
        <v>0</v>
      </c>
      <c r="G228" s="455">
        <f>G229</f>
        <v>0</v>
      </c>
      <c r="H228" s="246" t="str">
        <f t="shared" si="26"/>
        <v/>
      </c>
      <c r="J228" s="552"/>
    </row>
    <row r="229" spans="2:10" ht="15" customHeight="1">
      <c r="B229" s="121"/>
      <c r="C229" s="197" t="s">
        <v>716</v>
      </c>
      <c r="D229" s="688">
        <v>0</v>
      </c>
      <c r="E229" s="688">
        <v>0</v>
      </c>
      <c r="F229" s="66">
        <v>0</v>
      </c>
      <c r="G229" s="455">
        <v>0</v>
      </c>
      <c r="H229" s="246" t="str">
        <f>IF(E229=0,"",G229/E229*100)</f>
        <v/>
      </c>
      <c r="J229" s="552"/>
    </row>
    <row r="230" spans="2:10" ht="15" customHeight="1">
      <c r="B230" s="121">
        <v>811114</v>
      </c>
      <c r="C230" s="189" t="s">
        <v>467</v>
      </c>
      <c r="D230" s="688">
        <f>SUM(D231:D232)</f>
        <v>0</v>
      </c>
      <c r="E230" s="688">
        <f t="shared" ref="E230:G230" si="28">SUM(E231:E232)</f>
        <v>0</v>
      </c>
      <c r="F230" s="66">
        <f t="shared" si="28"/>
        <v>5763</v>
      </c>
      <c r="G230" s="455">
        <f t="shared" si="28"/>
        <v>5770</v>
      </c>
      <c r="H230" s="246" t="str">
        <f t="shared" si="26"/>
        <v/>
      </c>
      <c r="J230" s="552"/>
    </row>
    <row r="231" spans="2:10" ht="15" customHeight="1">
      <c r="B231" s="121"/>
      <c r="C231" s="197" t="s">
        <v>903</v>
      </c>
      <c r="D231" s="688">
        <v>0</v>
      </c>
      <c r="E231" s="688">
        <v>0</v>
      </c>
      <c r="F231" s="66">
        <v>3513</v>
      </c>
      <c r="G231" s="455">
        <v>3520</v>
      </c>
      <c r="H231" s="246" t="str">
        <f>IF(E231=0,"",G231/E231*100)</f>
        <v/>
      </c>
      <c r="J231" s="552"/>
    </row>
    <row r="232" spans="2:10" ht="15" customHeight="1">
      <c r="B232" s="121"/>
      <c r="C232" s="197" t="s">
        <v>904</v>
      </c>
      <c r="D232" s="688">
        <v>0</v>
      </c>
      <c r="E232" s="688">
        <v>0</v>
      </c>
      <c r="F232" s="66">
        <v>2250</v>
      </c>
      <c r="G232" s="455">
        <v>2250</v>
      </c>
      <c r="H232" s="246" t="str">
        <f>IF(E232=0,"",G232/E232*100)</f>
        <v/>
      </c>
      <c r="J232" s="552"/>
    </row>
    <row r="233" spans="2:10" ht="15" customHeight="1" thickBot="1">
      <c r="B233" s="165"/>
      <c r="C233" s="166"/>
      <c r="D233" s="462"/>
      <c r="E233" s="462"/>
      <c r="F233" s="166"/>
      <c r="G233" s="462"/>
      <c r="H233" s="248" t="str">
        <f t="shared" si="26"/>
        <v/>
      </c>
      <c r="J233" s="552"/>
    </row>
    <row r="234" spans="2:10" ht="17.100000000000001" customHeight="1" thickBot="1">
      <c r="B234" s="868" t="s">
        <v>373</v>
      </c>
      <c r="C234" s="869"/>
      <c r="D234" s="463">
        <f>D223+D225</f>
        <v>43409760</v>
      </c>
      <c r="E234" s="463">
        <f>E223+E225</f>
        <v>43620153</v>
      </c>
      <c r="F234" s="234">
        <f>F223+F225</f>
        <v>10595786</v>
      </c>
      <c r="G234" s="463">
        <f>G223+G225</f>
        <v>43586850</v>
      </c>
      <c r="H234" s="209">
        <f t="shared" si="26"/>
        <v>99.92365226229262</v>
      </c>
    </row>
    <row r="237" spans="2:10">
      <c r="D237" s="74"/>
      <c r="E237" s="74"/>
      <c r="F237" s="74"/>
    </row>
  </sheetData>
  <mergeCells count="4">
    <mergeCell ref="B2:H2"/>
    <mergeCell ref="B160:C160"/>
    <mergeCell ref="B223:C223"/>
    <mergeCell ref="B234:C234"/>
  </mergeCells>
  <pageMargins left="0.91" right="0.31496062992125984" top="0.57999999999999996" bottom="0.51181102362204722" header="0.57999999999999996" footer="0.31496062992125984"/>
  <pageSetup paperSize="9" scale="88" firstPageNumber="2" orientation="landscape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2:P131"/>
  <sheetViews>
    <sheetView topLeftCell="C1" zoomScaleNormal="100" workbookViewId="0">
      <selection activeCell="O6" sqref="O6"/>
    </sheetView>
  </sheetViews>
  <sheetFormatPr defaultRowHeight="12" customHeight="1"/>
  <cols>
    <col min="1" max="1" width="0.5703125" style="9" hidden="1" customWidth="1"/>
    <col min="2" max="2" width="5.7109375" style="9" hidden="1" customWidth="1"/>
    <col min="3" max="3" width="9.7109375" style="18" customWidth="1"/>
    <col min="4" max="4" width="7.42578125" style="319" customWidth="1"/>
    <col min="5" max="5" width="54" style="9" customWidth="1"/>
    <col min="6" max="8" width="12.7109375" style="9" customWidth="1"/>
    <col min="9" max="10" width="12.7109375" style="314" customWidth="1"/>
    <col min="11" max="11" width="14.7109375" style="9" customWidth="1"/>
    <col min="12" max="12" width="7.85546875" style="95" customWidth="1"/>
    <col min="13" max="13" width="9.140625" style="9"/>
    <col min="14" max="14" width="13.140625" style="820" bestFit="1" customWidth="1"/>
    <col min="15" max="16" width="10.140625" style="9" bestFit="1" customWidth="1"/>
    <col min="17" max="16384" width="9.140625" style="9"/>
  </cols>
  <sheetData>
    <row r="2" spans="2:16" ht="2.25" customHeight="1"/>
    <row r="3" spans="2:16" s="1" customFormat="1" ht="30.75" customHeight="1" thickBot="1">
      <c r="C3" s="873" t="s">
        <v>76</v>
      </c>
      <c r="D3" s="873"/>
      <c r="E3" s="873"/>
      <c r="F3" s="93"/>
      <c r="G3" s="93"/>
      <c r="H3" s="93"/>
      <c r="I3" s="401"/>
      <c r="J3" s="401"/>
      <c r="K3" s="871"/>
      <c r="L3" s="872"/>
      <c r="N3" s="821"/>
    </row>
    <row r="4" spans="2:16" s="1" customFormat="1" ht="39.75" customHeight="1">
      <c r="B4" s="3" t="s">
        <v>77</v>
      </c>
      <c r="C4" s="878" t="s">
        <v>517</v>
      </c>
      <c r="D4" s="880" t="s">
        <v>556</v>
      </c>
      <c r="E4" s="882" t="s">
        <v>79</v>
      </c>
      <c r="F4" s="884" t="s">
        <v>696</v>
      </c>
      <c r="G4" s="884" t="s">
        <v>869</v>
      </c>
      <c r="H4" s="884" t="s">
        <v>870</v>
      </c>
      <c r="I4" s="875" t="s">
        <v>865</v>
      </c>
      <c r="J4" s="876"/>
      <c r="K4" s="877"/>
      <c r="L4" s="885" t="s">
        <v>604</v>
      </c>
      <c r="N4" s="821"/>
    </row>
    <row r="5" spans="2:16" s="311" customFormat="1" ht="28.5" customHeight="1">
      <c r="B5" s="405"/>
      <c r="C5" s="879"/>
      <c r="D5" s="881"/>
      <c r="E5" s="883"/>
      <c r="F5" s="883"/>
      <c r="G5" s="883"/>
      <c r="H5" s="883"/>
      <c r="I5" s="431" t="s">
        <v>601</v>
      </c>
      <c r="J5" s="431" t="s">
        <v>602</v>
      </c>
      <c r="K5" s="415" t="s">
        <v>349</v>
      </c>
      <c r="L5" s="886"/>
      <c r="N5" s="821"/>
    </row>
    <row r="6" spans="2:16" s="2" customFormat="1" ht="14.1" customHeight="1">
      <c r="B6" s="4">
        <v>1</v>
      </c>
      <c r="C6" s="525">
        <v>1</v>
      </c>
      <c r="D6" s="347"/>
      <c r="E6" s="361">
        <v>2</v>
      </c>
      <c r="F6" s="526">
        <v>3</v>
      </c>
      <c r="G6" s="526">
        <v>4</v>
      </c>
      <c r="H6" s="526">
        <v>5</v>
      </c>
      <c r="I6" s="361">
        <v>6</v>
      </c>
      <c r="J6" s="361">
        <v>7</v>
      </c>
      <c r="K6" s="528" t="s">
        <v>603</v>
      </c>
      <c r="L6" s="527">
        <v>9</v>
      </c>
      <c r="N6" s="821"/>
    </row>
    <row r="7" spans="2:16" s="2" customFormat="1" ht="15" customHeight="1">
      <c r="B7" s="4"/>
      <c r="C7" s="436"/>
      <c r="D7" s="437"/>
      <c r="E7" s="438" t="s">
        <v>143</v>
      </c>
      <c r="F7" s="439">
        <f t="shared" ref="F7:K7" si="0">F9+F15+F21+F24+F47+F93+F99+F106+F114</f>
        <v>43396460</v>
      </c>
      <c r="G7" s="439">
        <f t="shared" si="0"/>
        <v>43606853</v>
      </c>
      <c r="H7" s="439">
        <f t="shared" si="0"/>
        <v>8305889</v>
      </c>
      <c r="I7" s="439">
        <f t="shared" si="0"/>
        <v>39378647</v>
      </c>
      <c r="J7" s="439">
        <f t="shared" si="0"/>
        <v>4201193</v>
      </c>
      <c r="K7" s="421">
        <f t="shared" si="0"/>
        <v>43579840</v>
      </c>
      <c r="L7" s="440">
        <f>IF(G7=0,"",K7/G7*100)</f>
        <v>99.938053314693448</v>
      </c>
      <c r="N7" s="821"/>
    </row>
    <row r="8" spans="2:16" s="2" customFormat="1" ht="9" customHeight="1">
      <c r="B8" s="4"/>
      <c r="C8" s="4"/>
      <c r="D8" s="347"/>
      <c r="E8" s="21"/>
      <c r="F8" s="19"/>
      <c r="G8" s="19"/>
      <c r="H8" s="19"/>
      <c r="I8" s="308"/>
      <c r="J8" s="308"/>
      <c r="K8" s="421"/>
      <c r="L8" s="104" t="str">
        <f>IF(F8=0,"",K8/F8*100)</f>
        <v/>
      </c>
      <c r="N8" s="821"/>
    </row>
    <row r="9" spans="2:16" s="2" customFormat="1" ht="15" customHeight="1">
      <c r="B9" s="4"/>
      <c r="C9" s="441">
        <v>600000</v>
      </c>
      <c r="D9" s="442"/>
      <c r="E9" s="438" t="s">
        <v>116</v>
      </c>
      <c r="F9" s="439">
        <f>F10+F11+F12+F13</f>
        <v>360000</v>
      </c>
      <c r="G9" s="439">
        <f t="shared" ref="G9:H9" si="1">G10+G11+G12+G13</f>
        <v>360000</v>
      </c>
      <c r="H9" s="439">
        <f t="shared" si="1"/>
        <v>163400</v>
      </c>
      <c r="I9" s="439">
        <f>I10+I11+I12+I13</f>
        <v>498000</v>
      </c>
      <c r="J9" s="439">
        <f>J10+J11+J12+J13</f>
        <v>0</v>
      </c>
      <c r="K9" s="421">
        <f>K10+K11+K12+K13</f>
        <v>498000</v>
      </c>
      <c r="L9" s="440">
        <f>IF(G9=0,"",K9/G9*100)</f>
        <v>138.33333333333334</v>
      </c>
      <c r="N9" s="821"/>
    </row>
    <row r="10" spans="2:16" s="2" customFormat="1" ht="15" customHeight="1">
      <c r="B10" s="4"/>
      <c r="C10" s="266">
        <v>600000</v>
      </c>
      <c r="D10" s="349"/>
      <c r="E10" s="40" t="s">
        <v>96</v>
      </c>
      <c r="F10" s="43">
        <f>'3'!I9</f>
        <v>300000</v>
      </c>
      <c r="G10" s="43">
        <f>'3'!J9</f>
        <v>300000</v>
      </c>
      <c r="H10" s="43">
        <f>'3'!K9</f>
        <v>154200</v>
      </c>
      <c r="I10" s="242">
        <f>'3'!L9</f>
        <v>450000</v>
      </c>
      <c r="J10" s="242">
        <f>'3'!M9</f>
        <v>0</v>
      </c>
      <c r="K10" s="432">
        <f>'3'!N9</f>
        <v>450000</v>
      </c>
      <c r="L10" s="104">
        <f>IF(G10=0,"",K10/G10*100)</f>
        <v>150</v>
      </c>
      <c r="N10" s="821"/>
      <c r="P10" s="92"/>
    </row>
    <row r="11" spans="2:16" s="2" customFormat="1" ht="15" customHeight="1">
      <c r="B11" s="4"/>
      <c r="C11" s="266">
        <v>600000</v>
      </c>
      <c r="D11" s="349"/>
      <c r="E11" s="40" t="s">
        <v>97</v>
      </c>
      <c r="F11" s="43">
        <f>'3'!I10</f>
        <v>30000</v>
      </c>
      <c r="G11" s="43">
        <f>'3'!J10</f>
        <v>30000</v>
      </c>
      <c r="H11" s="43">
        <f>'3'!K10</f>
        <v>5500</v>
      </c>
      <c r="I11" s="43">
        <f>'3'!L10</f>
        <v>24000</v>
      </c>
      <c r="J11" s="43">
        <f>'3'!M10</f>
        <v>0</v>
      </c>
      <c r="K11" s="432">
        <f>'3'!N10</f>
        <v>24000</v>
      </c>
      <c r="L11" s="104">
        <f t="shared" ref="L11:L77" si="2">IF(G11=0,"",K11/G11*100)</f>
        <v>80</v>
      </c>
      <c r="N11" s="821"/>
      <c r="O11" s="92"/>
    </row>
    <row r="12" spans="2:16" s="2" customFormat="1" ht="15" customHeight="1">
      <c r="B12" s="4"/>
      <c r="C12" s="266">
        <v>600000</v>
      </c>
      <c r="D12" s="349"/>
      <c r="E12" s="40" t="s">
        <v>117</v>
      </c>
      <c r="F12" s="43">
        <f>'3'!I11</f>
        <v>15000</v>
      </c>
      <c r="G12" s="43">
        <f>'3'!J11</f>
        <v>15000</v>
      </c>
      <c r="H12" s="43">
        <f>'3'!K11</f>
        <v>3400</v>
      </c>
      <c r="I12" s="43">
        <f>'3'!L11</f>
        <v>12000</v>
      </c>
      <c r="J12" s="43">
        <f>'3'!M11</f>
        <v>0</v>
      </c>
      <c r="K12" s="432">
        <f>'3'!N11</f>
        <v>12000</v>
      </c>
      <c r="L12" s="104">
        <f t="shared" si="2"/>
        <v>80</v>
      </c>
      <c r="N12" s="821"/>
      <c r="P12" s="92"/>
    </row>
    <row r="13" spans="2:16" s="2" customFormat="1" ht="15" customHeight="1">
      <c r="B13" s="4"/>
      <c r="C13" s="266">
        <v>600000</v>
      </c>
      <c r="D13" s="349"/>
      <c r="E13" s="40" t="s">
        <v>106</v>
      </c>
      <c r="F13" s="43">
        <f>'16'!I9</f>
        <v>15000</v>
      </c>
      <c r="G13" s="43">
        <f>'16'!J9</f>
        <v>15000</v>
      </c>
      <c r="H13" s="43">
        <f>'16'!K9</f>
        <v>300</v>
      </c>
      <c r="I13" s="43">
        <f>'16'!L9</f>
        <v>12000</v>
      </c>
      <c r="J13" s="43">
        <f>'16'!M9</f>
        <v>0</v>
      </c>
      <c r="K13" s="432">
        <f>'16'!N9</f>
        <v>12000</v>
      </c>
      <c r="L13" s="104">
        <f t="shared" si="2"/>
        <v>80</v>
      </c>
      <c r="N13" s="821"/>
    </row>
    <row r="14" spans="2:16" s="2" customFormat="1" ht="10.5" customHeight="1">
      <c r="B14" s="4"/>
      <c r="C14" s="266"/>
      <c r="D14" s="349"/>
      <c r="E14" s="40"/>
      <c r="F14" s="89"/>
      <c r="G14" s="89"/>
      <c r="H14" s="89"/>
      <c r="I14" s="327"/>
      <c r="J14" s="327"/>
      <c r="K14" s="421"/>
      <c r="L14" s="104" t="str">
        <f t="shared" si="2"/>
        <v/>
      </c>
      <c r="N14" s="821"/>
    </row>
    <row r="15" spans="2:16" s="1" customFormat="1" ht="15" customHeight="1">
      <c r="B15" s="6"/>
      <c r="C15" s="441">
        <v>611000</v>
      </c>
      <c r="D15" s="442"/>
      <c r="E15" s="443" t="s">
        <v>146</v>
      </c>
      <c r="F15" s="444">
        <f>F16+F17</f>
        <v>22284570</v>
      </c>
      <c r="G15" s="444">
        <f t="shared" ref="G15:H15" si="3">G16+G17</f>
        <v>22284570</v>
      </c>
      <c r="H15" s="444">
        <f t="shared" si="3"/>
        <v>5168989</v>
      </c>
      <c r="I15" s="444">
        <f>I16+I17</f>
        <v>21757980</v>
      </c>
      <c r="J15" s="444">
        <f>J16+J17</f>
        <v>0</v>
      </c>
      <c r="K15" s="419">
        <f>K16+K17</f>
        <v>21757980</v>
      </c>
      <c r="L15" s="445">
        <f t="shared" si="2"/>
        <v>97.636974821591807</v>
      </c>
      <c r="N15" s="821"/>
      <c r="O15" s="64"/>
      <c r="P15" s="64"/>
    </row>
    <row r="16" spans="2:16" ht="15" customHeight="1">
      <c r="B16" s="10"/>
      <c r="C16" s="267">
        <v>611100</v>
      </c>
      <c r="D16" s="349"/>
      <c r="E16" s="20" t="s">
        <v>174</v>
      </c>
      <c r="F16" s="31">
        <f>'1'!I9+'3'!I14+'4 (S)'!I9+'4 (N)'!I9+'5'!I9+'6'!I9+'8'!I9+'9'!I9+'10'!I9+'11'!I9+'12'!I9+'13'!I9+'14'!I9+'15'!I9+'16'!I12+'17'!I9+'18'!I9+'19'!I9+'20'!I9+'22'!I9+'23'!I9+'21'!I9+'24'!I9+'25'!I9+'26'!I9+'27'!I9+'28'!I9+'29'!I9+'30'!I9+'31'!I9+'32'!I9+'33'!I9+'34'!I9+'35'!I9+'36'!I9+'37'!I9+'7'!I9</f>
        <v>18500800</v>
      </c>
      <c r="G16" s="321">
        <f>'1'!J9+'3'!J14+'4 (S)'!J9+'4 (N)'!J9+'5'!J9+'6'!J9+'8'!J9+'9'!J9+'10'!J9+'11'!J9+'12'!J9+'13'!J9+'14'!J9+'15'!J9+'16'!J12+'17'!J9+'18'!J9+'19'!J9+'20'!J9+'22'!J9+'23'!J9+'21'!J9+'24'!J9+'25'!J9+'26'!J9+'27'!J9+'28'!J9+'29'!J9+'30'!J9+'31'!J9+'32'!J9+'33'!J9+'34'!J9+'35'!J9+'36'!J9+'37'!J9+'7'!J9</f>
        <v>18500800</v>
      </c>
      <c r="H16" s="321">
        <f>'1'!K9+'3'!K14+'4 (S)'!K9+'4 (N)'!K9+'5'!K9+'6'!K9+'8'!K9+'9'!K9+'10'!K9+'11'!K9+'12'!K9+'13'!K9+'14'!K9+'15'!K9+'16'!K12+'17'!K9+'18'!K9+'19'!K9+'20'!K9+'22'!K9+'23'!K9+'21'!K9+'24'!K9+'25'!K9+'26'!K9+'27'!K9+'28'!K9+'29'!K9+'30'!K9+'31'!K9+'32'!K9+'33'!K9+'34'!K9+'35'!K9+'36'!K9+'37'!K9+'7'!K9</f>
        <v>4395797</v>
      </c>
      <c r="I16" s="321">
        <f>'1'!L9+'3'!L14+'4 (S)'!L9+'4 (N)'!L9+'5'!L9+'6'!L9+'8'!L9+'9'!L9+'10'!L9+'11'!L9+'12'!L9+'13'!L9+'14'!L9+'15'!L9+'16'!L12+'17'!L9+'18'!L9+'19'!L9+'20'!L9+'22'!L9+'23'!L9+'21'!L9+'24'!L9+'25'!L9+'26'!L9+'27'!L9+'28'!L9+'29'!L9+'30'!L9+'31'!L9+'32'!L9+'33'!L9+'34'!L9+'35'!L9+'36'!L9+'37'!L9+'7'!L9</f>
        <v>17997690</v>
      </c>
      <c r="J16" s="321">
        <f>'1'!M9+'3'!M14+'4 (S)'!M9+'4 (N)'!M9+'5'!M9+'6'!M9+'8'!M9+'9'!M9+'10'!M9+'11'!M9+'12'!M9+'13'!M9+'14'!M9+'15'!M9+'16'!M12+'17'!M9+'18'!M9+'19'!M9+'20'!M9+'22'!M9+'23'!M9+'21'!M9+'24'!M9+'25'!M9+'26'!M9+'27'!M9+'28'!M9+'29'!M9+'30'!M9+'31'!M9+'32'!M9+'33'!M9+'34'!M9+'35'!M9+'36'!M9+'37'!M9+'7'!M9</f>
        <v>0</v>
      </c>
      <c r="K16" s="418">
        <f>'1'!N9+'3'!N14+'4 (S)'!N9+'4 (N)'!N9+'5'!N9+'6'!N9+'8'!N9+'9'!N9+'10'!N9+'11'!N9+'12'!N9+'13'!N9+'14'!N9+'15'!N9+'16'!N12+'17'!N9+'18'!N9+'19'!N9+'20'!N9+'22'!N9+'23'!N9+'21'!N9+'24'!N9+'25'!N9+'26'!N9+'27'!N9+'28'!N9+'29'!N9+'30'!N9+'31'!N9+'32'!N9+'33'!N9+'34'!N9+'35'!N9+'36'!N9+'37'!N9+'7'!N9</f>
        <v>17997690</v>
      </c>
      <c r="L16" s="104">
        <f t="shared" si="2"/>
        <v>97.280604081985643</v>
      </c>
    </row>
    <row r="17" spans="2:15" ht="15" customHeight="1">
      <c r="B17" s="10"/>
      <c r="C17" s="267">
        <v>611200</v>
      </c>
      <c r="D17" s="349"/>
      <c r="E17" s="20" t="s">
        <v>175</v>
      </c>
      <c r="F17" s="31">
        <f>F18+F19</f>
        <v>3783770</v>
      </c>
      <c r="G17" s="321">
        <f t="shared" ref="G17:K17" si="4">G18+G19</f>
        <v>3783770</v>
      </c>
      <c r="H17" s="321">
        <f t="shared" si="4"/>
        <v>773192</v>
      </c>
      <c r="I17" s="321">
        <f t="shared" ref="I17:J17" si="5">I18+I19</f>
        <v>3760290</v>
      </c>
      <c r="J17" s="321">
        <f t="shared" si="5"/>
        <v>0</v>
      </c>
      <c r="K17" s="418">
        <f t="shared" si="4"/>
        <v>3760290</v>
      </c>
      <c r="L17" s="104">
        <f t="shared" si="2"/>
        <v>99.379454882299939</v>
      </c>
    </row>
    <row r="18" spans="2:15" ht="15" customHeight="1">
      <c r="B18" s="10"/>
      <c r="C18" s="268">
        <v>611200</v>
      </c>
      <c r="D18" s="350"/>
      <c r="E18" s="252" t="s">
        <v>175</v>
      </c>
      <c r="F18" s="253">
        <f>'1'!I10+'3'!I15+'4 (S)'!I10+'4 (N)'!I10+'5'!I10+'6'!I10+'8'!I10+'9'!I10+'10'!I10+'11'!I10+'12'!I10+'13'!I10+'14'!I10+'15'!I10+'16'!I13+'17'!I10+'18'!I10+'19'!I10+'20'!I10+'22'!I10+'23'!I10+'21'!I10+'24'!I10+'25'!I10+'26'!I10+'27'!I10+'28'!I10+'29'!I10+'30'!I10+'31'!I10+'32'!I10+'33'!I10+'34'!I10+'35'!I10+'36'!I10+'37'!I10+'7'!I10</f>
        <v>3704670</v>
      </c>
      <c r="G18" s="330">
        <f>'1'!J10+'3'!J15+'4 (S)'!J10+'4 (N)'!J10+'5'!J10+'6'!J10+'8'!J10+'9'!J10+'10'!J10+'11'!J10+'12'!J10+'13'!J10+'14'!J10+'15'!J10+'16'!J13+'17'!J10+'18'!J10+'19'!J10+'20'!J10+'22'!J10+'23'!J10+'21'!J10+'24'!J10+'25'!J10+'26'!J10+'27'!J10+'28'!J10+'29'!J10+'30'!J10+'31'!J10+'32'!J10+'33'!J10+'34'!J10+'35'!J10+'36'!J10+'37'!J10+'7'!J10</f>
        <v>3704670</v>
      </c>
      <c r="H18" s="330">
        <f>'1'!K10+'3'!K15+'4 (S)'!K10+'4 (N)'!K10+'5'!K10+'6'!K10+'8'!K10+'9'!K10+'10'!K10+'11'!K10+'12'!K10+'13'!K10+'14'!K10+'15'!K10+'16'!K13+'17'!K10+'18'!K10+'19'!K10+'20'!K10+'22'!K10+'23'!K10+'21'!K10+'24'!K10+'25'!K10+'26'!K10+'27'!K10+'28'!K10+'29'!K10+'30'!K10+'31'!K10+'32'!K10+'33'!K10+'34'!K10+'35'!K10+'36'!K10+'37'!K10+'7'!K10</f>
        <v>771862</v>
      </c>
      <c r="I18" s="330">
        <f>'1'!L10+'3'!L15+'4 (S)'!L10+'4 (N)'!L10+'5'!L10+'6'!L10+'8'!L10+'9'!L10+'10'!L10+'11'!L10+'12'!L10+'13'!L10+'14'!L10+'15'!L10+'16'!L13+'17'!L10+'18'!L10+'19'!L10+'20'!L10+'22'!L10+'23'!L10+'21'!L10+'24'!L10+'25'!L10+'26'!L10+'27'!L10+'28'!L10+'29'!L10+'30'!L10+'31'!L10+'32'!L10+'33'!L10+'34'!L10+'35'!L10+'36'!L10+'37'!L10+'7'!L10</f>
        <v>3697290</v>
      </c>
      <c r="J18" s="330">
        <f>'1'!M10+'3'!M15+'4 (S)'!M10+'4 (N)'!M10+'5'!M10+'6'!M10+'8'!M10+'9'!M10+'10'!M10+'11'!M10+'12'!M10+'13'!M10+'14'!M10+'15'!M10+'16'!M13+'17'!M10+'18'!M10+'19'!M10+'20'!M10+'22'!M10+'23'!M10+'21'!M10+'24'!M10+'25'!M10+'26'!M10+'27'!M10+'28'!M10+'29'!M10+'30'!M10+'31'!M10+'32'!M10+'33'!M10+'34'!M10+'35'!M10+'36'!M10+'37'!M10+'7'!M10</f>
        <v>0</v>
      </c>
      <c r="K18" s="433">
        <f>'1'!N10+'3'!N15+'4 (S)'!N10+'4 (N)'!N10+'5'!N10+'6'!N10+'8'!N10+'9'!N10+'10'!N10+'11'!N10+'12'!N10+'13'!N10+'14'!N10+'15'!N10+'16'!N13+'17'!N10+'18'!N10+'19'!N10+'20'!N10+'22'!N10+'23'!N10+'21'!N10+'24'!N10+'25'!N10+'26'!N10+'27'!N10+'28'!N10+'29'!N10+'30'!N10+'31'!N10+'32'!N10+'33'!N10+'34'!N10+'35'!N10+'36'!N10+'37'!N10+'7'!N10</f>
        <v>3697290</v>
      </c>
      <c r="L18" s="254">
        <f t="shared" si="2"/>
        <v>99.800791973374146</v>
      </c>
    </row>
    <row r="19" spans="2:15" ht="15" customHeight="1">
      <c r="B19" s="10"/>
      <c r="C19" s="268">
        <v>611200</v>
      </c>
      <c r="D19" s="350" t="s">
        <v>557</v>
      </c>
      <c r="E19" s="329" t="s">
        <v>935</v>
      </c>
      <c r="F19" s="253">
        <f>'1'!I11+'3'!I16+'4 (S)'!I11+'4 (N)'!I11+'5'!I11+'6'!I11+'8'!I11+'9'!I11+'10'!I11+'11'!I11+'12'!I11+'13'!I11+'14'!I11+'15'!I11+'16'!I14+'17'!I11+'18'!I11+'19'!I11+'20'!I11+'22'!I11+'23'!I11+'21'!I11+'24'!I11+'25'!I11+'26'!I11+'27'!I11+'28'!I11+'29'!I11+'30'!I11+'31'!I11+'32'!I11+'33'!I11+'34'!I11+'35'!I11+'36'!I11+'37'!I11+'7'!I11</f>
        <v>79100</v>
      </c>
      <c r="G19" s="330">
        <f>'1'!J11+'3'!J16+'4 (S)'!J11+'4 (N)'!J11+'5'!J11+'6'!J11+'8'!J11+'9'!J11+'10'!J11+'11'!J11+'12'!J11+'13'!J11+'14'!J11+'15'!J11+'16'!J14+'17'!J11+'18'!J11+'19'!J11+'20'!J11+'22'!J11+'23'!J11+'21'!J11+'24'!J11+'25'!J11+'26'!J11+'27'!J11+'28'!J11+'29'!J11+'30'!J11+'31'!J11+'32'!J11+'33'!J11+'34'!J11+'35'!J11+'36'!J11+'37'!J11+'7'!J11</f>
        <v>79100</v>
      </c>
      <c r="H19" s="330">
        <f>'1'!K11+'3'!K16+'4 (S)'!K11+'4 (N)'!K11+'5'!K11+'6'!K11+'8'!K11+'9'!K11+'10'!K11+'11'!K11+'12'!K11+'13'!K11+'14'!K11+'15'!K11+'16'!K14+'17'!K11+'18'!K11+'19'!K11+'20'!K11+'22'!K11+'23'!K11+'21'!K11+'24'!K11+'25'!K11+'26'!K11+'27'!K11+'28'!K11+'29'!K11+'30'!K11+'31'!K11+'32'!K11+'33'!K11+'34'!K11+'35'!K11+'36'!K11+'37'!K11+'7'!K11</f>
        <v>1330</v>
      </c>
      <c r="I19" s="330">
        <f>'1'!L11+'3'!L16+'4 (S)'!L11+'4 (N)'!L11+'5'!L11+'6'!L11+'8'!L11+'9'!L11+'10'!L11+'11'!L11+'12'!L11+'13'!L11+'14'!L11+'15'!L11+'16'!L14+'17'!L11+'18'!L11+'19'!L11+'20'!L11+'22'!L11+'23'!L11+'21'!L11+'24'!L11+'25'!L11+'26'!L11+'27'!L11+'28'!L11+'29'!L11+'30'!L11+'31'!L11+'32'!L11+'33'!L11+'34'!L11+'35'!L11+'36'!L11+'37'!L11+'7'!L11</f>
        <v>63000</v>
      </c>
      <c r="J19" s="330">
        <f>'1'!M11+'3'!M16+'4 (S)'!M11+'4 (N)'!M11+'5'!M11+'6'!M11+'8'!M11+'9'!M11+'10'!M11+'11'!M11+'12'!M11+'13'!M11+'14'!M11+'15'!M11+'16'!M14+'17'!M11+'18'!M11+'19'!M11+'20'!M11+'22'!M11+'23'!M11+'21'!M11+'24'!M11+'25'!M11+'26'!M11+'27'!M11+'28'!M11+'29'!M11+'30'!M11+'31'!M11+'32'!M11+'33'!M11+'34'!M11+'35'!M11+'36'!M11+'37'!M11+'7'!M11</f>
        <v>0</v>
      </c>
      <c r="K19" s="433">
        <f>'1'!N11+'3'!N16+'4 (S)'!N11+'4 (N)'!N11+'5'!N11+'6'!N11+'8'!N11+'9'!N11+'10'!N11+'11'!N11+'12'!N11+'13'!N11+'14'!N11+'15'!N11+'16'!N14+'17'!N11+'18'!N11+'19'!N11+'20'!N11+'22'!N11+'23'!N11+'21'!N11+'24'!N11+'25'!N11+'26'!N11+'27'!N11+'28'!N11+'29'!N11+'30'!N11+'31'!N11+'32'!N11+'33'!N11+'34'!N11+'35'!N11+'36'!N11+'37'!N11+'7'!N11</f>
        <v>63000</v>
      </c>
      <c r="L19" s="254">
        <f t="shared" si="2"/>
        <v>79.646017699115049</v>
      </c>
    </row>
    <row r="20" spans="2:15" ht="12.75" customHeight="1">
      <c r="B20" s="10"/>
      <c r="C20" s="267"/>
      <c r="D20" s="349"/>
      <c r="E20" s="11"/>
      <c r="F20" s="56"/>
      <c r="G20" s="56"/>
      <c r="H20" s="56"/>
      <c r="I20" s="310"/>
      <c r="J20" s="310"/>
      <c r="K20" s="418"/>
      <c r="L20" s="104" t="str">
        <f t="shared" si="2"/>
        <v/>
      </c>
    </row>
    <row r="21" spans="2:15" ht="15" customHeight="1">
      <c r="B21" s="10"/>
      <c r="C21" s="441">
        <v>612000</v>
      </c>
      <c r="D21" s="442"/>
      <c r="E21" s="443" t="s">
        <v>145</v>
      </c>
      <c r="F21" s="444">
        <f>F22</f>
        <v>2200640</v>
      </c>
      <c r="G21" s="444">
        <f t="shared" ref="G21:H21" si="6">G22</f>
        <v>2200640</v>
      </c>
      <c r="H21" s="444">
        <f t="shared" si="6"/>
        <v>520373</v>
      </c>
      <c r="I21" s="444">
        <f>I22</f>
        <v>2141380</v>
      </c>
      <c r="J21" s="444">
        <f>J22</f>
        <v>0</v>
      </c>
      <c r="K21" s="419">
        <f>K22</f>
        <v>2141380</v>
      </c>
      <c r="L21" s="445">
        <f t="shared" si="2"/>
        <v>97.307147011778397</v>
      </c>
      <c r="N21" s="822"/>
      <c r="O21" s="63"/>
    </row>
    <row r="22" spans="2:15" s="1" customFormat="1" ht="15" customHeight="1">
      <c r="B22" s="12"/>
      <c r="C22" s="267">
        <v>612100</v>
      </c>
      <c r="D22" s="349"/>
      <c r="E22" s="13" t="s">
        <v>82</v>
      </c>
      <c r="F22" s="31">
        <f>'1'!I14+'3'!I19+'4 (S)'!I14+'4 (N)'!I14+'5'!I14+'6'!I14+'8'!I14+'9'!I14+'10'!I14+'11'!I14+'12'!I14+'13'!I14+'14'!I14+'15'!I14+'16'!I17+'17'!I14+'18'!I14+'19'!I14+'20'!I14+'22'!I14+'23'!I14+'21'!I14+'24'!I14+'25'!I14+'26'!I14+'27'!I14+'28'!I14+'29'!I14+'30'!I14+'31'!I14+'32'!I14+'33'!I14+'34'!I14+'35'!I14+'36'!I14+'37'!I14+'7'!I14</f>
        <v>2200640</v>
      </c>
      <c r="G22" s="321">
        <f>'1'!J14+'3'!J19+'4 (S)'!J14+'4 (N)'!J14+'5'!J14+'6'!J14+'8'!J14+'9'!J14+'10'!J14+'11'!J14+'12'!J14+'13'!J14+'14'!J14+'15'!J14+'16'!J17+'17'!J14+'18'!J14+'19'!J14+'20'!J14+'22'!J14+'23'!J14+'21'!J14+'24'!J14+'25'!J14+'26'!J14+'27'!J14+'28'!J14+'29'!J14+'30'!J14+'31'!J14+'32'!J14+'33'!J14+'34'!J14+'35'!J14+'36'!J14+'37'!J14+'7'!J14</f>
        <v>2200640</v>
      </c>
      <c r="H22" s="321">
        <f>'1'!K14+'3'!K19+'4 (S)'!K14+'4 (N)'!K14+'5'!K14+'6'!K14+'8'!K14+'9'!K14+'10'!K14+'11'!K14+'12'!K14+'13'!K14+'14'!K14+'15'!K14+'16'!K17+'17'!K14+'18'!K14+'19'!K14+'20'!K14+'22'!K14+'23'!K14+'21'!K14+'24'!K14+'25'!K14+'26'!K14+'27'!K14+'28'!K14+'29'!K14+'30'!K14+'31'!K14+'32'!K14+'33'!K14+'34'!K14+'35'!K14+'36'!K14+'37'!K14+'7'!K14</f>
        <v>520373</v>
      </c>
      <c r="I22" s="321">
        <f>'1'!L14+'3'!L19+'4 (S)'!L14+'4 (N)'!L14+'5'!L14+'6'!L14+'8'!L14+'9'!L14+'10'!L14+'11'!L14+'12'!L14+'13'!L14+'14'!L14+'15'!L14+'16'!L17+'17'!L14+'18'!L14+'19'!L14+'20'!L14+'22'!L14+'23'!L14+'21'!L14+'24'!L14+'25'!L14+'26'!L14+'27'!L14+'28'!L14+'29'!L14+'30'!L14+'31'!L14+'32'!L14+'33'!L14+'34'!L14+'35'!L14+'36'!L14+'37'!L14+'7'!L14</f>
        <v>2141380</v>
      </c>
      <c r="J22" s="321">
        <f>'1'!M14+'3'!M19+'4 (S)'!M14+'4 (N)'!M14+'5'!M14+'6'!M14+'8'!M14+'9'!M14+'10'!M14+'11'!M14+'12'!M14+'13'!M14+'14'!M14+'15'!M14+'16'!M17+'17'!M14+'18'!M14+'19'!M14+'20'!M14+'22'!M14+'23'!M14+'21'!M14+'24'!M14+'25'!M14+'26'!M14+'27'!M14+'28'!M14+'29'!M14+'30'!M14+'31'!M14+'32'!M14+'33'!M14+'34'!M14+'35'!M14+'36'!M14+'37'!M14+'7'!M14</f>
        <v>0</v>
      </c>
      <c r="K22" s="418">
        <f>'1'!N14+'3'!N19+'4 (S)'!N14+'4 (N)'!N14+'5'!N14+'6'!N14+'8'!N14+'9'!N14+'10'!N14+'11'!N14+'12'!N14+'13'!N14+'14'!N14+'15'!N14+'16'!N17+'17'!N14+'18'!N14+'19'!N14+'20'!N14+'22'!N14+'23'!N14+'21'!N14+'24'!N14+'25'!N14+'26'!N14+'27'!N14+'28'!N14+'29'!N14+'30'!N14+'31'!N14+'32'!N14+'33'!N14+'34'!N14+'35'!N14+'36'!N14+'37'!N14+'7'!N14</f>
        <v>2141380</v>
      </c>
      <c r="L22" s="104">
        <f t="shared" si="2"/>
        <v>97.307147011778397</v>
      </c>
      <c r="N22" s="821"/>
    </row>
    <row r="23" spans="2:15" ht="11.25" customHeight="1">
      <c r="B23" s="10"/>
      <c r="C23" s="267"/>
      <c r="D23" s="349"/>
      <c r="E23" s="20"/>
      <c r="F23" s="31"/>
      <c r="G23" s="31"/>
      <c r="H23" s="31"/>
      <c r="I23" s="321"/>
      <c r="J23" s="321"/>
      <c r="K23" s="418"/>
      <c r="L23" s="104" t="str">
        <f t="shared" si="2"/>
        <v/>
      </c>
    </row>
    <row r="24" spans="2:15" ht="15" customHeight="1">
      <c r="B24" s="10"/>
      <c r="C24" s="441">
        <v>613000</v>
      </c>
      <c r="D24" s="442"/>
      <c r="E24" s="443" t="s">
        <v>147</v>
      </c>
      <c r="F24" s="444">
        <f>F25+F26+F27+F28+F29+F30+F31+F34+F37</f>
        <v>4467680</v>
      </c>
      <c r="G24" s="444">
        <f t="shared" ref="G24:H24" si="7">G25+G26+G27+G28+G29+G30+G31+G34+G37</f>
        <v>4467680</v>
      </c>
      <c r="H24" s="444">
        <f t="shared" si="7"/>
        <v>969423</v>
      </c>
      <c r="I24" s="444">
        <f>I25+I26+I27+I28+I29+I30+I31+I34+I37</f>
        <v>3663180</v>
      </c>
      <c r="J24" s="444">
        <f>J25+J26+J27+J28+J29+J30+J31+J34+J37</f>
        <v>250000</v>
      </c>
      <c r="K24" s="419">
        <f>K25+K26+K27+K28+K29+K30+K31+K34+K37</f>
        <v>3913180</v>
      </c>
      <c r="L24" s="445">
        <f t="shared" si="2"/>
        <v>87.588636607814351</v>
      </c>
      <c r="N24" s="822"/>
    </row>
    <row r="25" spans="2:15" s="1" customFormat="1" ht="15" customHeight="1">
      <c r="B25" s="12"/>
      <c r="C25" s="267">
        <v>613100</v>
      </c>
      <c r="D25" s="349"/>
      <c r="E25" s="11" t="s">
        <v>83</v>
      </c>
      <c r="F25" s="31">
        <f>'1'!I17+'3'!I22+'4 (S)'!I17+'4 (N)'!I17+'5'!I17+'6'!I17+'8'!I17+'9'!I17+'10'!I17+'11'!I17+'12'!I17+'13'!I17+'14'!I17+'15'!I17+'16'!I20+'17'!I17+'18'!I17+'19'!I17+'20'!I17+'22'!I17+'23'!I17+'21'!I17+'24'!I17+'25'!I17+'26'!I17+'27'!I17+'28'!I17+'29'!I17+'30'!I17+'31'!I17+'32'!I17+'33'!I17+'34'!I17+'35'!I17+'36'!I17+'37'!I17+'7'!I17</f>
        <v>162250</v>
      </c>
      <c r="G25" s="321">
        <f>'1'!J17+'3'!J22+'4 (S)'!J17+'4 (N)'!J17+'5'!J17+'6'!J17+'8'!J17+'9'!J17+'10'!J17+'11'!J17+'12'!J17+'13'!J17+'14'!J17+'15'!J17+'16'!J20+'17'!J17+'18'!J17+'19'!J17+'20'!J17+'22'!J17+'23'!J17+'21'!J17+'24'!J17+'25'!J17+'26'!J17+'27'!J17+'28'!J17+'29'!J17+'30'!J17+'31'!J17+'32'!J17+'33'!J17+'34'!J17+'35'!J17+'36'!J17+'37'!J17+'7'!J17</f>
        <v>162250</v>
      </c>
      <c r="H25" s="321">
        <f>'1'!K17+'3'!K22+'4 (S)'!K17+'4 (N)'!K17+'5'!K17+'6'!K17+'8'!K17+'9'!K17+'10'!K17+'11'!K17+'12'!K17+'13'!K17+'14'!K17+'15'!K17+'16'!K20+'17'!K17+'18'!K17+'19'!K17+'20'!K17+'22'!K17+'23'!K17+'21'!K17+'24'!K17+'25'!K17+'26'!K17+'27'!K17+'28'!K17+'29'!K17+'30'!K17+'31'!K17+'32'!K17+'33'!K17+'34'!K17+'35'!K17+'36'!K17+'37'!K17+'7'!K17</f>
        <v>22302</v>
      </c>
      <c r="I25" s="321">
        <f>'1'!L17+'3'!L22+'4 (S)'!L17+'4 (N)'!L17+'5'!L17+'6'!L17+'8'!L17+'9'!L17+'10'!L17+'11'!L17+'12'!L17+'13'!L17+'14'!L17+'15'!L17+'16'!L20+'17'!L17+'18'!L17+'19'!L17+'20'!L17+'22'!L17+'23'!L17+'21'!L17+'24'!L17+'25'!L17+'26'!L17+'27'!L17+'28'!L17+'29'!L17+'30'!L17+'31'!L17+'32'!L17+'33'!L17+'34'!L17+'35'!L17+'36'!L17+'37'!L17+'7'!L17</f>
        <v>120960</v>
      </c>
      <c r="J25" s="321">
        <f>'1'!M17+'3'!M22+'4 (S)'!M17+'4 (N)'!M17+'5'!M17+'6'!M17+'8'!M17+'9'!M17+'10'!M17+'11'!M17+'12'!M17+'13'!M17+'14'!M17+'15'!M17+'16'!M20+'17'!M17+'18'!M17+'19'!M17+'20'!M17+'22'!M17+'23'!M17+'21'!M17+'24'!M17+'25'!M17+'26'!M17+'27'!M17+'28'!M17+'29'!M17+'30'!M17+'31'!M17+'32'!M17+'33'!M17+'34'!M17+'35'!M17+'36'!M17+'37'!M17+'7'!M17</f>
        <v>0</v>
      </c>
      <c r="K25" s="418">
        <f>'1'!N17+'3'!N22+'4 (S)'!N17+'4 (N)'!N17+'5'!N17+'6'!N17+'8'!N17+'9'!N17+'10'!N17+'11'!N17+'12'!N17+'13'!N17+'14'!N17+'15'!N17+'16'!N20+'17'!N17+'18'!N17+'19'!N17+'20'!N17+'22'!N17+'23'!N17+'21'!N17+'24'!N17+'25'!N17+'26'!N17+'27'!N17+'28'!N17+'29'!N17+'30'!N17+'31'!N17+'32'!N17+'33'!N17+'34'!N17+'35'!N17+'36'!N17+'37'!N17+'7'!N17</f>
        <v>120960</v>
      </c>
      <c r="L25" s="104">
        <f t="shared" si="2"/>
        <v>74.551617873651779</v>
      </c>
      <c r="N25" s="821"/>
    </row>
    <row r="26" spans="2:15" ht="15" customHeight="1">
      <c r="B26" s="10"/>
      <c r="C26" s="267">
        <v>613200</v>
      </c>
      <c r="D26" s="349"/>
      <c r="E26" s="11" t="s">
        <v>84</v>
      </c>
      <c r="F26" s="31">
        <f>'1'!I18+'3'!I23+'4 (S)'!I18+'4 (N)'!I18+'5'!I18+'6'!I18+'8'!I18+'9'!I18+'10'!I18+'11'!I18+'12'!I18+'13'!I18+'14'!I18+'15'!I18+'16'!I21+'17'!I18+'18'!I18+'19'!I18+'20'!I18+'22'!I18+'23'!I18+'21'!I18+'24'!I18+'25'!I18+'26'!I18+'27'!I18+'28'!I18+'29'!I18+'30'!I18+'31'!I18+'32'!I18+'33'!I18+'34'!I18+'35'!I18+'36'!I18+'37'!I18+'7'!I18</f>
        <v>813700</v>
      </c>
      <c r="G26" s="321">
        <f>'1'!J18+'3'!J23+'4 (S)'!J18+'4 (N)'!J18+'5'!J18+'6'!J18+'8'!J18+'9'!J18+'10'!J18+'11'!J18+'12'!J18+'13'!J18+'14'!J18+'15'!J18+'16'!J21+'17'!J18+'18'!J18+'19'!J18+'20'!J18+'22'!J18+'23'!J18+'21'!J18+'24'!J18+'25'!J18+'26'!J18+'27'!J18+'28'!J18+'29'!J18+'30'!J18+'31'!J18+'32'!J18+'33'!J18+'34'!J18+'35'!J18+'36'!J18+'37'!J18+'7'!J18</f>
        <v>813700</v>
      </c>
      <c r="H26" s="321">
        <f>'1'!K18+'3'!K23+'4 (S)'!K18+'4 (N)'!K18+'5'!K18+'6'!K18+'8'!K18+'9'!K18+'10'!K18+'11'!K18+'12'!K18+'13'!K18+'14'!K18+'15'!K18+'16'!K21+'17'!K18+'18'!K18+'19'!K18+'20'!K18+'22'!K18+'23'!K18+'21'!K18+'24'!K18+'25'!K18+'26'!K18+'27'!K18+'28'!K18+'29'!K18+'30'!K18+'31'!K18+'32'!K18+'33'!K18+'34'!K18+'35'!K18+'36'!K18+'37'!K18+'7'!K18</f>
        <v>252047</v>
      </c>
      <c r="I26" s="321">
        <f>'1'!L18+'3'!L23+'4 (S)'!L18+'4 (N)'!L18+'5'!L18+'6'!L18+'8'!L18+'9'!L18+'10'!L18+'11'!L18+'12'!L18+'13'!L18+'14'!L18+'15'!L18+'16'!L21+'17'!L18+'18'!L18+'19'!L18+'20'!L18+'22'!L18+'23'!L18+'21'!L18+'24'!L18+'25'!L18+'26'!L18+'27'!L18+'28'!L18+'29'!L18+'30'!L18+'31'!L18+'32'!L18+'33'!L18+'34'!L18+'35'!L18+'36'!L18+'37'!L18+'7'!L18</f>
        <v>708700</v>
      </c>
      <c r="J26" s="321">
        <f>'1'!M18+'3'!M23+'4 (S)'!M18+'4 (N)'!M18+'5'!M18+'6'!M18+'8'!M18+'9'!M18+'10'!M18+'11'!M18+'12'!M18+'13'!M18+'14'!M18+'15'!M18+'16'!M21+'17'!M18+'18'!M18+'19'!M18+'20'!M18+'22'!M18+'23'!M18+'21'!M18+'24'!M18+'25'!M18+'26'!M18+'27'!M18+'28'!M18+'29'!M18+'30'!M18+'31'!M18+'32'!M18+'33'!M18+'34'!M18+'35'!M18+'36'!M18+'37'!M18+'7'!M18</f>
        <v>0</v>
      </c>
      <c r="K26" s="418">
        <f>'1'!N18+'3'!N23+'4 (S)'!N18+'4 (N)'!N18+'5'!N18+'6'!N18+'8'!N18+'9'!N18+'10'!N18+'11'!N18+'12'!N18+'13'!N18+'14'!N18+'15'!N18+'16'!N21+'17'!N18+'18'!N18+'19'!N18+'20'!N18+'22'!N18+'23'!N18+'21'!N18+'24'!N18+'25'!N18+'26'!N18+'27'!N18+'28'!N18+'29'!N18+'30'!N18+'31'!N18+'32'!N18+'33'!N18+'34'!N18+'35'!N18+'36'!N18+'37'!N18+'7'!N18</f>
        <v>708700</v>
      </c>
      <c r="L26" s="104">
        <f t="shared" si="2"/>
        <v>87.095981319896765</v>
      </c>
    </row>
    <row r="27" spans="2:15" ht="15" customHeight="1">
      <c r="B27" s="10"/>
      <c r="C27" s="267">
        <v>613300</v>
      </c>
      <c r="D27" s="349"/>
      <c r="E27" s="20" t="s">
        <v>176</v>
      </c>
      <c r="F27" s="31">
        <f>'1'!I19+'3'!I24+'4 (S)'!I19+'4 (N)'!I19+'5'!I19+'6'!I19+'8'!I19+'9'!I19+'10'!I19+'11'!I19+'12'!I19+'13'!I19+'14'!I19+'15'!I19+'16'!I22+'17'!I19+'18'!I19+'19'!I19+'20'!I19+'22'!I19+'23'!I19+'21'!I19+'24'!I19+'25'!I19+'26'!I19+'27'!I19+'28'!I19+'29'!I19+'30'!I19+'31'!I19+'32'!I19+'33'!I19+'34'!I19+'35'!I19+'36'!I19+'37'!I19+'7'!I19</f>
        <v>407160</v>
      </c>
      <c r="G27" s="321">
        <f>'1'!J19+'3'!J24+'4 (S)'!J19+'4 (N)'!J19+'5'!J19+'6'!J19+'8'!J19+'9'!J19+'10'!J19+'11'!J19+'12'!J19+'13'!J19+'14'!J19+'15'!J19+'16'!J22+'17'!J19+'18'!J19+'19'!J19+'20'!J19+'22'!J19+'23'!J19+'21'!J19+'24'!J19+'25'!J19+'26'!J19+'27'!J19+'28'!J19+'29'!J19+'30'!J19+'31'!J19+'32'!J19+'33'!J19+'34'!J19+'35'!J19+'36'!J19+'37'!J19+'7'!J19</f>
        <v>407160</v>
      </c>
      <c r="H27" s="321">
        <f>'1'!K19+'3'!K24+'4 (S)'!K19+'4 (N)'!K19+'5'!K19+'6'!K19+'8'!K19+'9'!K19+'10'!K19+'11'!K19+'12'!K19+'13'!K19+'14'!K19+'15'!K19+'16'!K22+'17'!K19+'18'!K19+'19'!K19+'20'!K19+'22'!K19+'23'!K19+'21'!K19+'24'!K19+'25'!K19+'26'!K19+'27'!K19+'28'!K19+'29'!K19+'30'!K19+'31'!K19+'32'!K19+'33'!K19+'34'!K19+'35'!K19+'36'!K19+'37'!K19+'7'!K19</f>
        <v>75767</v>
      </c>
      <c r="I27" s="321">
        <f>'1'!L19+'3'!L24+'4 (S)'!L19+'4 (N)'!L19+'5'!L19+'6'!L19+'8'!L19+'9'!L19+'10'!L19+'11'!L19+'12'!L19+'13'!L19+'14'!L19+'15'!L19+'16'!L22+'17'!L19+'18'!L19+'19'!L19+'20'!L19+'22'!L19+'23'!L19+'21'!L19+'24'!L19+'25'!L19+'26'!L19+'27'!L19+'28'!L19+'29'!L19+'30'!L19+'31'!L19+'32'!L19+'33'!L19+'34'!L19+'35'!L19+'36'!L19+'37'!L19+'7'!L19</f>
        <v>382260</v>
      </c>
      <c r="J27" s="321">
        <f>'1'!M19+'3'!M24+'4 (S)'!M19+'4 (N)'!M19+'5'!M19+'6'!M19+'8'!M19+'9'!M19+'10'!M19+'11'!M19+'12'!M19+'13'!M19+'14'!M19+'15'!M19+'16'!M22+'17'!M19+'18'!M19+'19'!M19+'20'!M19+'22'!M19+'23'!M19+'21'!M19+'24'!M19+'25'!M19+'26'!M19+'27'!M19+'28'!M19+'29'!M19+'30'!M19+'31'!M19+'32'!M19+'33'!M19+'34'!M19+'35'!M19+'36'!M19+'37'!M19+'7'!M19</f>
        <v>0</v>
      </c>
      <c r="K27" s="418">
        <f>'1'!N19+'3'!N24+'4 (S)'!N19+'4 (N)'!N19+'5'!N19+'6'!N19+'8'!N19+'9'!N19+'10'!N19+'11'!N19+'12'!N19+'13'!N19+'14'!N19+'15'!N19+'16'!N22+'17'!N19+'18'!N19+'19'!N19+'20'!N19+'22'!N19+'23'!N19+'21'!N19+'24'!N19+'25'!N19+'26'!N19+'27'!N19+'28'!N19+'29'!N19+'30'!N19+'31'!N19+'32'!N19+'33'!N19+'34'!N19+'35'!N19+'36'!N19+'37'!N19+'7'!N19</f>
        <v>382260</v>
      </c>
      <c r="L27" s="104">
        <f t="shared" si="2"/>
        <v>93.884468022399062</v>
      </c>
    </row>
    <row r="28" spans="2:15" ht="15" customHeight="1">
      <c r="B28" s="10"/>
      <c r="C28" s="267">
        <v>613400</v>
      </c>
      <c r="D28" s="349"/>
      <c r="E28" s="20" t="s">
        <v>148</v>
      </c>
      <c r="F28" s="31">
        <f>'1'!I20+'3'!I25+'4 (S)'!I20+'4 (N)'!I20+'5'!I20+'6'!I20+'8'!I20+'9'!I20+'10'!I20+'11'!I20+'12'!I20+'13'!I20+'14'!I20+'15'!I20+'16'!I23+'17'!I20+'18'!I20+'19'!I20+'20'!I20+'22'!I20+'23'!I20+'21'!I20+'24'!I20+'25'!I20+'26'!I20+'27'!I20+'28'!I20+'29'!I20+'30'!I20+'31'!I20+'32'!I20+'33'!I20+'34'!I20+'35'!I20+'36'!I20+'37'!I20+'7'!I20</f>
        <v>492860</v>
      </c>
      <c r="G28" s="321">
        <f>'1'!J20+'3'!J25+'4 (S)'!J20+'4 (N)'!J20+'5'!J20+'6'!J20+'8'!J20+'9'!J20+'10'!J20+'11'!J20+'12'!J20+'13'!J20+'14'!J20+'15'!J20+'16'!J23+'17'!J20+'18'!J20+'19'!J20+'20'!J20+'22'!J20+'23'!J20+'21'!J20+'24'!J20+'25'!J20+'26'!J20+'27'!J20+'28'!J20+'29'!J20+'30'!J20+'31'!J20+'32'!J20+'33'!J20+'34'!J20+'35'!J20+'36'!J20+'37'!J20+'7'!J20</f>
        <v>492860</v>
      </c>
      <c r="H28" s="321">
        <f>'1'!K20+'3'!K25+'4 (S)'!K20+'4 (N)'!K20+'5'!K20+'6'!K20+'8'!K20+'9'!K20+'10'!K20+'11'!K20+'12'!K20+'13'!K20+'14'!K20+'15'!K20+'16'!K23+'17'!K20+'18'!K20+'19'!K20+'20'!K20+'22'!K20+'23'!K20+'21'!K20+'24'!K20+'25'!K20+'26'!K20+'27'!K20+'28'!K20+'29'!K20+'30'!K20+'31'!K20+'32'!K20+'33'!K20+'34'!K20+'35'!K20+'36'!K20+'37'!K20+'7'!K20</f>
        <v>84164</v>
      </c>
      <c r="I28" s="321">
        <f>'1'!L20+'3'!L25+'4 (S)'!L20+'4 (N)'!L20+'5'!L20+'6'!L20+'8'!L20+'9'!L20+'10'!L20+'11'!L20+'12'!L20+'13'!L20+'14'!L20+'15'!L20+'16'!L23+'17'!L20+'18'!L20+'19'!L20+'20'!L20+'22'!L20+'23'!L20+'21'!L20+'24'!L20+'25'!L20+'26'!L20+'27'!L20+'28'!L20+'29'!L20+'30'!L20+'31'!L20+'32'!L20+'33'!L20+'34'!L20+'35'!L20+'36'!L20+'37'!L20+'7'!L20</f>
        <v>454660</v>
      </c>
      <c r="J28" s="321">
        <f>'1'!M20+'3'!M25+'4 (S)'!M20+'4 (N)'!M20+'5'!M20+'6'!M20+'8'!M20+'9'!M20+'10'!M20+'11'!M20+'12'!M20+'13'!M20+'14'!M20+'15'!M20+'16'!M23+'17'!M20+'18'!M20+'19'!M20+'20'!M20+'22'!M20+'23'!M20+'21'!M20+'24'!M20+'25'!M20+'26'!M20+'27'!M20+'28'!M20+'29'!M20+'30'!M20+'31'!M20+'32'!M20+'33'!M20+'34'!M20+'35'!M20+'36'!M20+'37'!M20+'7'!M20</f>
        <v>0</v>
      </c>
      <c r="K28" s="418">
        <f>'1'!N20+'3'!N25+'4 (S)'!N20+'4 (N)'!N20+'5'!N20+'6'!N20+'8'!N20+'9'!N20+'10'!N20+'11'!N20+'12'!N20+'13'!N20+'14'!N20+'15'!N20+'16'!N23+'17'!N20+'18'!N20+'19'!N20+'20'!N20+'22'!N20+'23'!N20+'21'!N20+'24'!N20+'25'!N20+'26'!N20+'27'!N20+'28'!N20+'29'!N20+'30'!N20+'31'!N20+'32'!N20+'33'!N20+'34'!N20+'35'!N20+'36'!N20+'37'!N20+'7'!N20</f>
        <v>454660</v>
      </c>
      <c r="L28" s="104">
        <f t="shared" si="2"/>
        <v>92.249320293795407</v>
      </c>
    </row>
    <row r="29" spans="2:15" ht="15" customHeight="1">
      <c r="B29" s="10"/>
      <c r="C29" s="267">
        <v>613500</v>
      </c>
      <c r="D29" s="349"/>
      <c r="E29" s="14" t="s">
        <v>85</v>
      </c>
      <c r="F29" s="85">
        <f>'1'!I21+'3'!I26+'4 (S)'!I21+'4 (N)'!I21+'5'!I21+'6'!I21+'8'!I21+'9'!I21+'10'!I21+'11'!I21+'12'!I21+'13'!I21+'14'!I21+'15'!I21+'16'!I24+'17'!I21+'18'!I21+'19'!I21+'20'!I21+'22'!I21+'23'!I21+'21'!I21+'24'!I21+'25'!I21+'26'!I21+'27'!I21+'28'!I21+'29'!I21+'30'!I21+'31'!I21+'32'!I21+'33'!I21+'34'!I21+'35'!I21+'36'!I21+'37'!I21+'7'!I21</f>
        <v>228200</v>
      </c>
      <c r="G29" s="326">
        <f>'1'!J21+'3'!J26+'4 (S)'!J21+'4 (N)'!J21+'5'!J21+'6'!J21+'8'!J21+'9'!J21+'10'!J21+'11'!J21+'12'!J21+'13'!J21+'14'!J21+'15'!J21+'16'!J24+'17'!J21+'18'!J21+'19'!J21+'20'!J21+'22'!J21+'23'!J21+'21'!J21+'24'!J21+'25'!J21+'26'!J21+'27'!J21+'28'!J21+'29'!J21+'30'!J21+'31'!J21+'32'!J21+'33'!J21+'34'!J21+'35'!J21+'36'!J21+'37'!J21+'7'!J21</f>
        <v>228200</v>
      </c>
      <c r="H29" s="326">
        <f>'1'!K21+'3'!K26+'4 (S)'!K21+'4 (N)'!K21+'5'!K21+'6'!K21+'8'!K21+'9'!K21+'10'!K21+'11'!K21+'12'!K21+'13'!K21+'14'!K21+'15'!K21+'16'!K24+'17'!K21+'18'!K21+'19'!K21+'20'!K21+'22'!K21+'23'!K21+'21'!K21+'24'!K21+'25'!K21+'26'!K21+'27'!K21+'28'!K21+'29'!K21+'30'!K21+'31'!K21+'32'!K21+'33'!K21+'34'!K21+'35'!K21+'36'!K21+'37'!K21+'7'!K21</f>
        <v>50599</v>
      </c>
      <c r="I29" s="326">
        <f>'1'!L21+'3'!L26+'4 (S)'!L21+'4 (N)'!L21+'5'!L21+'6'!L21+'8'!L21+'9'!L21+'10'!L21+'11'!L21+'12'!L21+'13'!L21+'14'!L21+'15'!L21+'16'!L24+'17'!L21+'18'!L21+'19'!L21+'20'!L21+'22'!L21+'23'!L21+'21'!L21+'24'!L21+'25'!L21+'26'!L21+'27'!L21+'28'!L21+'29'!L21+'30'!L21+'31'!L21+'32'!L21+'33'!L21+'34'!L21+'35'!L21+'36'!L21+'37'!L21+'7'!L21</f>
        <v>222300</v>
      </c>
      <c r="J29" s="326">
        <f>'1'!M21+'3'!M26+'4 (S)'!M21+'4 (N)'!M21+'5'!M21+'6'!M21+'8'!M21+'9'!M21+'10'!M21+'11'!M21+'12'!M21+'13'!M21+'14'!M21+'15'!M21+'16'!M24+'17'!M21+'18'!M21+'19'!M21+'20'!M21+'22'!M21+'23'!M21+'21'!M21+'24'!M21+'25'!M21+'26'!M21+'27'!M21+'28'!M21+'29'!M21+'30'!M21+'31'!M21+'32'!M21+'33'!M21+'34'!M21+'35'!M21+'36'!M21+'37'!M21+'7'!M21</f>
        <v>0</v>
      </c>
      <c r="K29" s="418">
        <f>'1'!N21+'3'!N26+'4 (S)'!N21+'4 (N)'!N21+'5'!N21+'6'!N21+'8'!N21+'9'!N21+'10'!N21+'11'!N21+'12'!N21+'13'!N21+'14'!N21+'15'!N21+'16'!N24+'17'!N21+'18'!N21+'19'!N21+'20'!N21+'22'!N21+'23'!N21+'21'!N21+'24'!N21+'25'!N21+'26'!N21+'27'!N21+'28'!N21+'29'!N21+'30'!N21+'31'!N21+'32'!N21+'33'!N21+'34'!N21+'35'!N21+'36'!N21+'37'!N21+'7'!N21</f>
        <v>222300</v>
      </c>
      <c r="L29" s="104">
        <f t="shared" si="2"/>
        <v>97.41454864154251</v>
      </c>
    </row>
    <row r="30" spans="2:15" ht="15" customHeight="1">
      <c r="B30" s="10"/>
      <c r="C30" s="267">
        <v>613600</v>
      </c>
      <c r="D30" s="349"/>
      <c r="E30" s="78" t="s">
        <v>177</v>
      </c>
      <c r="F30" s="85">
        <f>'1'!I22+'3'!I27+'4 (S)'!I22+'4 (N)'!I22+'5'!I22+'6'!I22+'8'!I22+'9'!I22+'10'!I22+'11'!I22+'12'!I22+'13'!I22+'14'!I22+'15'!I22+'16'!I25+'17'!I22+'18'!I22+'19'!I22+'20'!I22+'22'!I22+'23'!I22+'21'!I22+'24'!I22+'25'!I22+'26'!I22+'27'!I22+'28'!I22+'29'!I22+'30'!I22+'31'!I22+'32'!I22+'33'!I22+'34'!I22+'35'!I22+'36'!I22+'37'!I22+'7'!I22</f>
        <v>33700</v>
      </c>
      <c r="G30" s="326">
        <f>'1'!J22+'3'!J27+'4 (S)'!J22+'4 (N)'!J22+'5'!J22+'6'!J22+'8'!J22+'9'!J22+'10'!J22+'11'!J22+'12'!J22+'13'!J22+'14'!J22+'15'!J22+'16'!J25+'17'!J22+'18'!J22+'19'!J22+'20'!J22+'22'!J22+'23'!J22+'21'!J22+'24'!J22+'25'!J22+'26'!J22+'27'!J22+'28'!J22+'29'!J22+'30'!J22+'31'!J22+'32'!J22+'33'!J22+'34'!J22+'35'!J22+'36'!J22+'37'!J22+'7'!J22</f>
        <v>33700</v>
      </c>
      <c r="H30" s="326">
        <f>'1'!K22+'3'!K27+'4 (S)'!K22+'4 (N)'!K22+'5'!K22+'6'!K22+'8'!K22+'9'!K22+'10'!K22+'11'!K22+'12'!K22+'13'!K22+'14'!K22+'15'!K22+'16'!K25+'17'!K22+'18'!K22+'19'!K22+'20'!K22+'22'!K22+'23'!K22+'21'!K22+'24'!K22+'25'!K22+'26'!K22+'27'!K22+'28'!K22+'29'!K22+'30'!K22+'31'!K22+'32'!K22+'33'!K22+'34'!K22+'35'!K22+'36'!K22+'37'!K22+'7'!K22</f>
        <v>7834</v>
      </c>
      <c r="I30" s="326">
        <f>'1'!L22+'3'!L27+'4 (S)'!L22+'4 (N)'!L22+'5'!L22+'6'!L22+'8'!L22+'9'!L22+'10'!L22+'11'!L22+'12'!L22+'13'!L22+'14'!L22+'15'!L22+'16'!L25+'17'!L22+'18'!L22+'19'!L22+'20'!L22+'22'!L22+'23'!L22+'21'!L22+'24'!L22+'25'!L22+'26'!L22+'27'!L22+'28'!L22+'29'!L22+'30'!L22+'31'!L22+'32'!L22+'33'!L22+'34'!L22+'35'!L22+'36'!L22+'37'!L22+'7'!L22</f>
        <v>33700</v>
      </c>
      <c r="J30" s="326">
        <f>'1'!M22+'3'!M27+'4 (S)'!M22+'4 (N)'!M22+'5'!M22+'6'!M22+'8'!M22+'9'!M22+'10'!M22+'11'!M22+'12'!M22+'13'!M22+'14'!M22+'15'!M22+'16'!M25+'17'!M22+'18'!M22+'19'!M22+'20'!M22+'22'!M22+'23'!M22+'21'!M22+'24'!M22+'25'!M22+'26'!M22+'27'!M22+'28'!M22+'29'!M22+'30'!M22+'31'!M22+'32'!M22+'33'!M22+'34'!M22+'35'!M22+'36'!M22+'37'!M22+'7'!M22</f>
        <v>0</v>
      </c>
      <c r="K30" s="418">
        <f>'1'!N22+'3'!N27+'4 (S)'!N22+'4 (N)'!N22+'5'!N22+'6'!N22+'8'!N22+'9'!N22+'10'!N22+'11'!N22+'12'!N22+'13'!N22+'14'!N22+'15'!N22+'16'!N25+'17'!N22+'18'!N22+'19'!N22+'20'!N22+'22'!N22+'23'!N22+'21'!N22+'24'!N22+'25'!N22+'26'!N22+'27'!N22+'28'!N22+'29'!N22+'30'!N22+'31'!N22+'32'!N22+'33'!N22+'34'!N22+'35'!N22+'36'!N22+'37'!N22+'7'!N22</f>
        <v>33700</v>
      </c>
      <c r="L30" s="104">
        <f t="shared" si="2"/>
        <v>100</v>
      </c>
    </row>
    <row r="31" spans="2:15" ht="15" customHeight="1">
      <c r="B31" s="10"/>
      <c r="C31" s="267">
        <v>613700</v>
      </c>
      <c r="D31" s="349"/>
      <c r="E31" s="14" t="s">
        <v>86</v>
      </c>
      <c r="F31" s="85">
        <f>F32+F33</f>
        <v>642780</v>
      </c>
      <c r="G31" s="326">
        <f t="shared" ref="G31:K31" si="8">G32+G33</f>
        <v>642780</v>
      </c>
      <c r="H31" s="326">
        <f t="shared" si="8"/>
        <v>132079</v>
      </c>
      <c r="I31" s="326">
        <f t="shared" ref="I31:J31" si="9">I32+I33</f>
        <v>306100</v>
      </c>
      <c r="J31" s="326">
        <f t="shared" si="9"/>
        <v>200000</v>
      </c>
      <c r="K31" s="418">
        <f t="shared" si="8"/>
        <v>506100</v>
      </c>
      <c r="L31" s="104">
        <f t="shared" si="2"/>
        <v>78.736115000466725</v>
      </c>
    </row>
    <row r="32" spans="2:15" ht="15" customHeight="1">
      <c r="B32" s="10"/>
      <c r="C32" s="268">
        <v>613700</v>
      </c>
      <c r="D32" s="350"/>
      <c r="E32" s="255" t="s">
        <v>476</v>
      </c>
      <c r="F32" s="256">
        <f>'1'!I23+'3'!I28+'4 (S)'!I23+'4 (N)'!I23+'5'!I23+'6'!I23+'8'!I23+'9'!I23+'10'!I23+'11'!I23+'12'!I23+'13'!I23+'14'!I23+'15'!I23+'16'!I26+'17'!I23+'18'!I23+'19'!I23+'20'!I23+'22'!I23+'23'!I23+'21'!I23+'24'!I23+'25'!I23+'26'!I23+'27'!I23+'28'!I23+'29'!I23+'30'!I23+'31'!I23+'32'!I23+'33'!I23+'34'!I23+'35'!I23+'36'!I23+'37'!I23+'7'!I23</f>
        <v>342780</v>
      </c>
      <c r="G32" s="332">
        <f>'1'!J23+'3'!J28+'4 (S)'!J23+'4 (N)'!J23+'5'!J23+'6'!J23+'8'!J23+'9'!J23+'10'!J23+'11'!J23+'12'!J23+'13'!J23+'14'!J23+'15'!J23+'16'!J26+'17'!J23+'18'!J23+'19'!J23+'20'!J23+'22'!J23+'23'!J23+'21'!J23+'24'!J23+'25'!J23+'26'!J23+'27'!J23+'28'!J23+'29'!J23+'30'!J23+'31'!J23+'32'!J23+'33'!J23+'34'!J23+'35'!J23+'36'!J23+'37'!J23+'7'!J23</f>
        <v>342780</v>
      </c>
      <c r="H32" s="332">
        <f>'1'!K23+'3'!K28+'4 (S)'!K23+'4 (N)'!K23+'5'!K23+'6'!K23+'8'!K23+'9'!K23+'10'!K23+'11'!K23+'12'!K23+'13'!K23+'14'!K23+'15'!K23+'16'!K26+'17'!K23+'18'!K23+'19'!K23+'20'!K23+'22'!K23+'23'!K23+'21'!K23+'24'!K23+'25'!K23+'26'!K23+'27'!K23+'28'!K23+'29'!K23+'30'!K23+'31'!K23+'32'!K23+'33'!K23+'34'!K23+'35'!K23+'36'!K23+'37'!K23+'7'!K23</f>
        <v>87849</v>
      </c>
      <c r="I32" s="332">
        <f>'1'!L23+'3'!L28+'4 (S)'!L23+'4 (N)'!L23+'5'!L23+'6'!L23+'8'!L23+'9'!L23+'10'!L23+'11'!L23+'12'!L23+'13'!L23+'14'!L23+'15'!L23+'16'!L26+'17'!L23+'18'!L23+'19'!L23+'20'!L23+'22'!L23+'23'!L23+'21'!L23+'24'!L23+'25'!L23+'26'!L23+'27'!L23+'28'!L23+'29'!L23+'30'!L23+'31'!L23+'32'!L23+'33'!L23+'34'!L23+'35'!L23+'36'!L23+'37'!L23+'7'!L23</f>
        <v>306100</v>
      </c>
      <c r="J32" s="332">
        <f>'1'!M23+'3'!M28+'4 (S)'!M23+'4 (N)'!M23+'5'!M23+'6'!M23+'8'!M23+'9'!M23+'10'!M23+'11'!M23+'12'!M23+'13'!M23+'14'!M23+'15'!M23+'16'!M26+'17'!M23+'18'!M23+'19'!M23+'20'!M23+'22'!M23+'23'!M23+'21'!M23+'24'!M23+'25'!M23+'26'!M23+'27'!M23+'28'!M23+'29'!M23+'30'!M23+'31'!M23+'32'!M23+'33'!M23+'34'!M23+'35'!M23+'36'!M23+'37'!M23+'7'!M23</f>
        <v>0</v>
      </c>
      <c r="K32" s="433">
        <f>'1'!N23+'3'!N28+'4 (S)'!N23+'4 (N)'!N23+'5'!N23+'6'!N23+'8'!N23+'9'!N23+'10'!N23+'11'!N23+'12'!N23+'13'!N23+'14'!N23+'15'!N23+'16'!N26+'17'!N23+'18'!N23+'19'!N23+'20'!N23+'22'!N23+'23'!N23+'21'!N23+'24'!N23+'25'!N23+'26'!N23+'27'!N23+'28'!N23+'29'!N23+'30'!N23+'31'!N23+'32'!N23+'33'!N23+'34'!N23+'35'!N23+'36'!N23+'37'!N23+'7'!N23</f>
        <v>306100</v>
      </c>
      <c r="L32" s="254">
        <f t="shared" si="2"/>
        <v>89.299258999941657</v>
      </c>
    </row>
    <row r="33" spans="2:14" ht="15" customHeight="1">
      <c r="B33" s="10"/>
      <c r="C33" s="268">
        <v>613700</v>
      </c>
      <c r="D33" s="350" t="s">
        <v>578</v>
      </c>
      <c r="E33" s="255" t="s">
        <v>477</v>
      </c>
      <c r="F33" s="256">
        <f>'18'!I24</f>
        <v>300000</v>
      </c>
      <c r="G33" s="256">
        <f>'18'!J24</f>
        <v>300000</v>
      </c>
      <c r="H33" s="256">
        <f>'18'!K24</f>
        <v>44230</v>
      </c>
      <c r="I33" s="332">
        <f>'18'!L24</f>
        <v>0</v>
      </c>
      <c r="J33" s="332">
        <f>'18'!M24</f>
        <v>200000</v>
      </c>
      <c r="K33" s="433">
        <f>'18'!N24</f>
        <v>200000</v>
      </c>
      <c r="L33" s="254">
        <f t="shared" si="2"/>
        <v>66.666666666666657</v>
      </c>
    </row>
    <row r="34" spans="2:14" ht="15" customHeight="1">
      <c r="B34" s="10"/>
      <c r="C34" s="267">
        <v>613800</v>
      </c>
      <c r="D34" s="349"/>
      <c r="E34" s="78" t="s">
        <v>149</v>
      </c>
      <c r="F34" s="85">
        <f>F35+F36</f>
        <v>46880</v>
      </c>
      <c r="G34" s="85">
        <f t="shared" ref="G34:H34" si="10">G35+G36</f>
        <v>46880</v>
      </c>
      <c r="H34" s="85">
        <f t="shared" si="10"/>
        <v>9009</v>
      </c>
      <c r="I34" s="326">
        <f>I35+I36</f>
        <v>49980</v>
      </c>
      <c r="J34" s="326">
        <f>J35+J36</f>
        <v>0</v>
      </c>
      <c r="K34" s="418">
        <f>K35+K36</f>
        <v>49980</v>
      </c>
      <c r="L34" s="104">
        <f t="shared" si="2"/>
        <v>106.61262798634812</v>
      </c>
    </row>
    <row r="35" spans="2:14" ht="15" customHeight="1">
      <c r="B35" s="10"/>
      <c r="C35" s="268">
        <v>613800</v>
      </c>
      <c r="D35" s="350"/>
      <c r="E35" s="255" t="s">
        <v>478</v>
      </c>
      <c r="F35" s="256">
        <f>'1'!I24+'3'!I29+'4 (S)'!I24+'4 (N)'!I24+'5'!I24+'6'!I24+'8'!I24+'9'!I24+'10'!I24+'11'!I24+'12'!I24+'13'!I24+'14'!I24+'15'!I24+'16'!I27+'17'!I24+'18'!I25+'19'!I24+'20'!I24+'22'!I24+'23'!I24+'21'!I24+'24'!I24+'25'!I24+'26'!I24+'27'!I24+'28'!I24+'29'!I24+'30'!I24+'31'!I24+'32'!I24+'33'!I24+'34'!I24+'35'!I24+'36'!I24+'37'!I24+'7'!I24</f>
        <v>46880</v>
      </c>
      <c r="G35" s="332">
        <f>'1'!J24+'3'!J29+'4 (S)'!J24+'4 (N)'!J24+'5'!J24+'6'!J24+'8'!J24+'9'!J24+'10'!J24+'11'!J24+'12'!J24+'13'!J24+'14'!J24+'15'!J24+'16'!J27+'17'!J24+'18'!J25+'19'!J24+'20'!J24+'22'!J24+'23'!J24+'21'!J24+'24'!J24+'25'!J24+'26'!J24+'27'!J24+'28'!J24+'29'!J24+'30'!J24+'31'!J24+'32'!J24+'33'!J24+'34'!J24+'35'!J24+'36'!J24+'37'!J24+'7'!J24</f>
        <v>46880</v>
      </c>
      <c r="H35" s="332">
        <f>'1'!K24+'3'!K29+'4 (S)'!K24+'4 (N)'!K24+'5'!K24+'6'!K24+'8'!K24+'9'!K24+'10'!K24+'11'!K24+'12'!K24+'13'!K24+'14'!K24+'15'!K24+'16'!K27+'17'!K24+'18'!K25+'19'!K24+'20'!K24+'22'!K24+'23'!K24+'21'!K24+'24'!K24+'25'!K24+'26'!K24+'27'!K24+'28'!K24+'29'!K24+'30'!K24+'31'!K24+'32'!K24+'33'!K24+'34'!K24+'35'!K24+'36'!K24+'37'!K24+'7'!K24</f>
        <v>9009</v>
      </c>
      <c r="I35" s="332">
        <f>'1'!L24+'3'!L29+'4 (S)'!L24+'4 (N)'!L24+'5'!L24+'6'!L24+'8'!L24+'9'!L24+'10'!L24+'11'!L24+'12'!L24+'13'!L24+'14'!L24+'15'!L24+'16'!L27+'17'!L24+'18'!L25+'19'!L24+'20'!L24+'22'!L24+'23'!L24+'21'!L24+'24'!L24+'25'!L24+'26'!L24+'27'!L24+'28'!L24+'29'!L24+'30'!L24+'31'!L24+'32'!L24+'33'!L24+'34'!L24+'35'!L24+'36'!L24+'37'!L24+'7'!L24</f>
        <v>49980</v>
      </c>
      <c r="J35" s="332">
        <f>'1'!M24+'3'!M29+'4 (S)'!M24+'4 (N)'!M24+'5'!M24+'6'!M24+'8'!M24+'9'!M24+'10'!M24+'11'!M24+'12'!M24+'13'!M24+'14'!M24+'15'!M24+'16'!M27+'17'!M24+'18'!M25+'19'!M24+'20'!M24+'22'!M24+'23'!M24+'21'!M24+'24'!M24+'25'!M24+'26'!M24+'27'!M24+'28'!M24+'29'!M24+'30'!M24+'31'!M24+'32'!M24+'33'!M24+'34'!M24+'35'!M24+'36'!M24+'37'!M24+'7'!M24</f>
        <v>0</v>
      </c>
      <c r="K35" s="433">
        <f>'1'!N24+'3'!N29+'4 (S)'!N24+'4 (N)'!N24+'5'!N24+'6'!N24+'8'!N24+'9'!N24+'10'!N24+'11'!N24+'12'!N24+'13'!N24+'14'!N24+'15'!N24+'16'!N27+'17'!N24+'18'!N25+'19'!N24+'20'!N24+'22'!N24+'23'!N24+'21'!N24+'24'!N24+'25'!N24+'26'!N24+'27'!N24+'28'!N24+'29'!N24+'30'!N24+'31'!N24+'32'!N24+'33'!N24+'34'!N24+'35'!N24+'36'!N24+'37'!N24+'7'!N24</f>
        <v>49980</v>
      </c>
      <c r="L35" s="254">
        <f t="shared" si="2"/>
        <v>106.61262798634812</v>
      </c>
    </row>
    <row r="36" spans="2:14" ht="15" customHeight="1">
      <c r="B36" s="10"/>
      <c r="C36" s="268">
        <v>613800</v>
      </c>
      <c r="D36" s="350"/>
      <c r="E36" s="252" t="s">
        <v>479</v>
      </c>
      <c r="F36" s="253">
        <f>'20'!I25</f>
        <v>0</v>
      </c>
      <c r="G36" s="253">
        <f>'20'!J25</f>
        <v>0</v>
      </c>
      <c r="H36" s="253">
        <f>'20'!K25</f>
        <v>0</v>
      </c>
      <c r="I36" s="330">
        <f>'20'!L25</f>
        <v>0</v>
      </c>
      <c r="J36" s="330">
        <f>'20'!M25</f>
        <v>0</v>
      </c>
      <c r="K36" s="433">
        <f>'20'!N25</f>
        <v>0</v>
      </c>
      <c r="L36" s="254" t="str">
        <f t="shared" si="2"/>
        <v/>
      </c>
    </row>
    <row r="37" spans="2:14" ht="15" customHeight="1">
      <c r="B37" s="10"/>
      <c r="C37" s="269">
        <v>613900</v>
      </c>
      <c r="D37" s="351"/>
      <c r="E37" s="78" t="s">
        <v>150</v>
      </c>
      <c r="F37" s="86">
        <f t="shared" ref="F37:K37" si="11">SUM(F38:F45)</f>
        <v>1640150</v>
      </c>
      <c r="G37" s="86">
        <f t="shared" si="11"/>
        <v>1640150</v>
      </c>
      <c r="H37" s="86">
        <f t="shared" si="11"/>
        <v>335622</v>
      </c>
      <c r="I37" s="86">
        <f t="shared" si="11"/>
        <v>1384520</v>
      </c>
      <c r="J37" s="86">
        <f t="shared" si="11"/>
        <v>50000</v>
      </c>
      <c r="K37" s="434">
        <f t="shared" si="11"/>
        <v>1434520</v>
      </c>
      <c r="L37" s="104">
        <f t="shared" si="2"/>
        <v>87.462732067188981</v>
      </c>
    </row>
    <row r="38" spans="2:14" ht="15" customHeight="1">
      <c r="B38" s="10"/>
      <c r="C38" s="270">
        <v>613900</v>
      </c>
      <c r="D38" s="352"/>
      <c r="E38" s="255" t="s">
        <v>480</v>
      </c>
      <c r="F38" s="257">
        <f>'1'!I25+'3'!I30+'4 (S)'!I25+'4 (N)'!I25+'5'!I25+'6'!I25+'8'!I25+'9'!I25+'10'!I25+'11'!I25+'12'!I25+'13'!I25+'14'!I25+'15'!I25+'16'!I28+'17'!I25+'18'!I26+'19'!I25+'20'!I26+'22'!I25+'23'!I25+'21'!I25+'24'!I25+'25'!I25+'26'!I25+'27'!I25+'28'!I25+'29'!I25+'30'!I25+'31'!I25+'32'!I25+'33'!I25+'34'!I25+'35'!I25+'36'!I25+'37'!I25+'7'!I25</f>
        <v>1305950</v>
      </c>
      <c r="G38" s="333">
        <f>'1'!J25+'3'!J30+'4 (S)'!J25+'4 (N)'!J25+'5'!J25+'6'!J25+'8'!J25+'9'!J25+'10'!J25+'11'!J25+'12'!J25+'13'!J25+'14'!J25+'15'!J25+'16'!J28+'17'!J25+'18'!J26+'19'!J25+'20'!J26+'22'!J25+'23'!J25+'21'!J25+'24'!J25+'25'!J25+'26'!J25+'27'!J25+'28'!J25+'29'!J25+'30'!J25+'31'!J25+'32'!J25+'33'!J25+'34'!J25+'35'!J25+'36'!J25+'37'!J25+'7'!J25</f>
        <v>1305950</v>
      </c>
      <c r="H38" s="333">
        <f>'1'!K25+'3'!K30+'4 (S)'!K25+'4 (N)'!K25+'5'!K25+'6'!K25+'8'!K25+'9'!K25+'10'!K25+'11'!K25+'12'!K25+'13'!K25+'14'!K25+'15'!K25+'16'!K28+'17'!K25+'18'!K26+'19'!K25+'20'!K26+'22'!K25+'23'!K25+'21'!K25+'24'!K25+'25'!K25+'26'!K25+'27'!K25+'28'!K25+'29'!K25+'30'!K25+'31'!K25+'32'!K25+'33'!K25+'34'!K25+'35'!K25+'36'!K25+'37'!K25+'7'!K25</f>
        <v>311732</v>
      </c>
      <c r="I38" s="333">
        <f>'1'!L25+'3'!L30+'4 (S)'!L25+'4 (N)'!L25+'5'!L25+'6'!L25+'8'!L25+'9'!L25+'10'!L25+'11'!L25+'12'!L25+'13'!L25+'14'!L25+'15'!L25+'16'!L28+'17'!L25+'18'!L26+'19'!L25+'20'!L26+'22'!L25+'23'!L25+'21'!L25+'24'!L25+'25'!L25+'26'!L25+'27'!L25+'28'!L25+'29'!L25+'30'!L25+'31'!L25+'32'!L25+'33'!L25+'34'!L25+'35'!L25+'36'!L25+'37'!L25+'7'!L25</f>
        <v>1126440</v>
      </c>
      <c r="J38" s="333">
        <f>'1'!M25+'3'!M30+'4 (S)'!M25+'4 (N)'!M25+'5'!M25+'6'!M25+'8'!M25+'9'!M25+'10'!M25+'11'!M25+'12'!M25+'13'!M25+'14'!M25+'15'!M25+'16'!M28+'17'!M25+'18'!M26+'19'!M25+'20'!M26+'22'!M25+'23'!M25+'21'!M25+'24'!M25+'25'!M25+'26'!M25+'27'!M25+'28'!M25+'29'!M25+'30'!M25+'31'!M25+'32'!M25+'33'!M25+'34'!M25+'35'!M25+'36'!M25+'37'!M25+'7'!M25</f>
        <v>0</v>
      </c>
      <c r="K38" s="435">
        <f>'1'!N25+'3'!N30+'4 (S)'!N25+'4 (N)'!N25+'5'!N25+'6'!N25+'8'!N25+'9'!N25+'10'!N25+'11'!N25+'12'!N25+'13'!N25+'14'!N25+'15'!N25+'16'!N28+'17'!N25+'18'!N26+'19'!N25+'20'!N26+'22'!N25+'23'!N25+'21'!N25+'24'!N25+'25'!N25+'26'!N25+'27'!N25+'28'!N25+'29'!N25+'30'!N25+'31'!N25+'32'!N25+'33'!N25+'34'!N25+'35'!N25+'36'!N25+'37'!N25+'7'!N25</f>
        <v>1126440</v>
      </c>
      <c r="L38" s="254">
        <f t="shared" si="2"/>
        <v>86.254450782954933</v>
      </c>
    </row>
    <row r="39" spans="2:14" ht="15" customHeight="1">
      <c r="B39" s="10"/>
      <c r="C39" s="268">
        <v>613900</v>
      </c>
      <c r="D39" s="350" t="s">
        <v>558</v>
      </c>
      <c r="E39" s="252" t="s">
        <v>481</v>
      </c>
      <c r="F39" s="253">
        <f>'3'!I31</f>
        <v>0</v>
      </c>
      <c r="G39" s="253">
        <f>'3'!J31</f>
        <v>0</v>
      </c>
      <c r="H39" s="253">
        <f>'3'!K31</f>
        <v>0</v>
      </c>
      <c r="I39" s="330">
        <f>'3'!L31</f>
        <v>0</v>
      </c>
      <c r="J39" s="330">
        <f>'3'!M31</f>
        <v>0</v>
      </c>
      <c r="K39" s="433">
        <f>'3'!N31</f>
        <v>0</v>
      </c>
      <c r="L39" s="254" t="str">
        <f t="shared" si="2"/>
        <v/>
      </c>
    </row>
    <row r="40" spans="2:14" s="314" customFormat="1" ht="15" customHeight="1">
      <c r="B40" s="315"/>
      <c r="C40" s="268">
        <v>613900</v>
      </c>
      <c r="D40" s="352" t="s">
        <v>854</v>
      </c>
      <c r="E40" s="255" t="s">
        <v>853</v>
      </c>
      <c r="F40" s="330">
        <f>'10'!I26</f>
        <v>30000</v>
      </c>
      <c r="G40" s="330">
        <f>'10'!J26</f>
        <v>30000</v>
      </c>
      <c r="H40" s="330">
        <f>'10'!K26</f>
        <v>1725</v>
      </c>
      <c r="I40" s="330">
        <f>'10'!L26</f>
        <v>41000</v>
      </c>
      <c r="J40" s="330">
        <f>'10'!M26</f>
        <v>0</v>
      </c>
      <c r="K40" s="433">
        <f>'10'!N26</f>
        <v>41000</v>
      </c>
      <c r="L40" s="331">
        <f t="shared" ref="L40" si="12">IF(G40=0,"",K40/G40*100)</f>
        <v>136.66666666666666</v>
      </c>
      <c r="N40" s="820"/>
    </row>
    <row r="41" spans="2:14" s="314" customFormat="1" ht="15" customHeight="1">
      <c r="B41" s="315"/>
      <c r="C41" s="268">
        <v>613900</v>
      </c>
      <c r="D41" s="352" t="s">
        <v>908</v>
      </c>
      <c r="E41" s="255" t="s">
        <v>919</v>
      </c>
      <c r="F41" s="330">
        <f>'10'!I27</f>
        <v>0</v>
      </c>
      <c r="G41" s="330">
        <f>'10'!J27</f>
        <v>0</v>
      </c>
      <c r="H41" s="330">
        <f>'10'!K27</f>
        <v>0</v>
      </c>
      <c r="I41" s="330">
        <f>'10'!L27</f>
        <v>45000</v>
      </c>
      <c r="J41" s="330">
        <f>'10'!M27</f>
        <v>0</v>
      </c>
      <c r="K41" s="433">
        <f>'10'!N27</f>
        <v>45000</v>
      </c>
      <c r="L41" s="331" t="str">
        <f t="shared" ref="L41" si="13">IF(G41=0,"",K41/G41*100)</f>
        <v/>
      </c>
      <c r="N41" s="820"/>
    </row>
    <row r="42" spans="2:14" ht="15" customHeight="1">
      <c r="B42" s="10"/>
      <c r="C42" s="268">
        <v>613900</v>
      </c>
      <c r="D42" s="350" t="s">
        <v>571</v>
      </c>
      <c r="E42" s="252" t="s">
        <v>482</v>
      </c>
      <c r="F42" s="253">
        <f>'16'!I29</f>
        <v>70000</v>
      </c>
      <c r="G42" s="253">
        <f>'16'!J29</f>
        <v>70000</v>
      </c>
      <c r="H42" s="253">
        <f>'16'!K29</f>
        <v>13543</v>
      </c>
      <c r="I42" s="330">
        <f>'16'!L29</f>
        <v>65000</v>
      </c>
      <c r="J42" s="330">
        <f>'16'!M29</f>
        <v>0</v>
      </c>
      <c r="K42" s="433">
        <f>'16'!N29</f>
        <v>65000</v>
      </c>
      <c r="L42" s="254">
        <f t="shared" si="2"/>
        <v>92.857142857142861</v>
      </c>
    </row>
    <row r="43" spans="2:14" ht="15" customHeight="1">
      <c r="B43" s="10"/>
      <c r="C43" s="268">
        <v>613900</v>
      </c>
      <c r="D43" s="350" t="s">
        <v>585</v>
      </c>
      <c r="E43" s="252" t="s">
        <v>483</v>
      </c>
      <c r="F43" s="253">
        <f>'20'!I27</f>
        <v>60000</v>
      </c>
      <c r="G43" s="253">
        <f>'20'!J27</f>
        <v>60000</v>
      </c>
      <c r="H43" s="253">
        <f>'20'!K27</f>
        <v>6838</v>
      </c>
      <c r="I43" s="330">
        <f>'20'!L27</f>
        <v>50000</v>
      </c>
      <c r="J43" s="330">
        <f>'20'!M27</f>
        <v>0</v>
      </c>
      <c r="K43" s="433">
        <f>'20'!N27</f>
        <v>50000</v>
      </c>
      <c r="L43" s="254">
        <f t="shared" si="2"/>
        <v>83.333333333333343</v>
      </c>
    </row>
    <row r="44" spans="2:14" ht="15" customHeight="1">
      <c r="B44" s="10"/>
      <c r="C44" s="268">
        <v>613900</v>
      </c>
      <c r="D44" s="350" t="s">
        <v>557</v>
      </c>
      <c r="E44" s="329" t="s">
        <v>937</v>
      </c>
      <c r="F44" s="253">
        <f>'1'!I26+'3'!I32+'4 (S)'!I26+'4 (N)'!I26+'5'!I26+'6'!I26+'8'!I26+'9'!I26+'10'!I28+'11'!I26+'12'!I26+'13'!I26+'14'!I26+'15'!I26+'16'!I30+'17'!I26+'18'!I27+'19'!I26+'20'!I28+'22'!I26+'23'!I26+'21'!I26+'24'!I26+'25'!I26+'26'!I26+'27'!I26+'28'!I26+'29'!I26+'30'!I26+'31'!I26+'32'!I26+'33'!I26+'34'!I26+'35'!I26+'36'!I26+'37'!I26+'7'!I26</f>
        <v>74200</v>
      </c>
      <c r="G44" s="330">
        <f>'1'!J26+'3'!J32+'4 (S)'!J26+'4 (N)'!J26+'5'!J26+'6'!J26+'8'!J26+'9'!J26+'10'!J28+'11'!J26+'12'!J26+'13'!J26+'14'!J26+'15'!J26+'16'!J30+'17'!J26+'18'!J27+'19'!J26+'20'!J28+'22'!J26+'23'!J26+'21'!J26+'24'!J26+'25'!J26+'26'!J26+'27'!J26+'28'!J26+'29'!J26+'30'!J26+'31'!J26+'32'!J26+'33'!J26+'34'!J26+'35'!J26+'36'!J26+'37'!J26+'7'!J26</f>
        <v>74200</v>
      </c>
      <c r="H44" s="330">
        <f>'1'!K26+'3'!K32+'4 (S)'!K26+'4 (N)'!K26+'5'!K26+'6'!K26+'8'!K26+'9'!K26+'10'!K28+'11'!K26+'12'!K26+'13'!K26+'14'!K26+'15'!K26+'16'!K30+'17'!K26+'18'!K27+'19'!K26+'20'!K28+'22'!K26+'23'!K26+'21'!K26+'24'!K26+'25'!K26+'26'!K26+'27'!K26+'28'!K26+'29'!K26+'30'!K26+'31'!K26+'32'!K26+'33'!K26+'34'!K26+'35'!K26+'36'!K26+'37'!K26+'7'!K26</f>
        <v>1784</v>
      </c>
      <c r="I44" s="330">
        <f>'1'!L26+'3'!L32+'4 (S)'!L26+'4 (N)'!L26+'5'!L26+'6'!L26+'8'!L26+'9'!L26+'10'!L28+'11'!L26+'12'!L26+'13'!L26+'14'!L26+'15'!L26+'16'!L30+'17'!L26+'18'!L27+'19'!L26+'20'!L28+'22'!L26+'23'!L26+'21'!L26+'24'!L26+'25'!L26+'26'!L26+'27'!L26+'28'!L26+'29'!L26+'30'!L26+'31'!L26+'32'!L26+'33'!L26+'34'!L26+'35'!L26+'36'!L26+'37'!L26+'7'!L26</f>
        <v>57080</v>
      </c>
      <c r="J44" s="330">
        <f>'1'!M26+'3'!M32+'4 (S)'!M26+'4 (N)'!M26+'5'!M26+'6'!M26+'8'!M26+'9'!M26+'10'!M28+'11'!M26+'12'!M26+'13'!M26+'14'!M26+'15'!M26+'16'!M30+'17'!M26+'18'!M27+'19'!M26+'20'!M28+'22'!M26+'23'!M26+'21'!M26+'24'!M26+'25'!M26+'26'!M26+'27'!M26+'28'!M26+'29'!M26+'30'!M26+'31'!M26+'32'!M26+'33'!M26+'34'!M26+'35'!M26+'36'!M26+'37'!M26+'7'!M26</f>
        <v>0</v>
      </c>
      <c r="K44" s="433">
        <f>'1'!N26+'3'!N32+'4 (S)'!N26+'4 (N)'!N26+'5'!N26+'6'!N26+'8'!N26+'9'!N26+'10'!N28+'11'!N26+'12'!N26+'13'!N26+'14'!N26+'15'!N26+'16'!N30+'17'!N26+'18'!N27+'19'!N26+'20'!N28+'22'!N26+'23'!N26+'21'!N26+'24'!N26+'25'!N26+'26'!N26+'27'!N26+'28'!N26+'29'!N26+'30'!N26+'31'!N26+'32'!N26+'33'!N26+'34'!N26+'35'!N26+'36'!N26+'37'!N26+'7'!N26</f>
        <v>57080</v>
      </c>
      <c r="L44" s="254">
        <f t="shared" si="2"/>
        <v>76.927223719676547</v>
      </c>
    </row>
    <row r="45" spans="2:14" ht="15" customHeight="1">
      <c r="B45" s="10"/>
      <c r="C45" s="268">
        <v>613900</v>
      </c>
      <c r="D45" s="350" t="s">
        <v>569</v>
      </c>
      <c r="E45" s="252" t="s">
        <v>484</v>
      </c>
      <c r="F45" s="253">
        <f>'15'!I27</f>
        <v>100000</v>
      </c>
      <c r="G45" s="253">
        <f>'15'!J27</f>
        <v>100000</v>
      </c>
      <c r="H45" s="253">
        <f>'15'!K27</f>
        <v>0</v>
      </c>
      <c r="I45" s="330">
        <f>'15'!L27</f>
        <v>0</v>
      </c>
      <c r="J45" s="330">
        <f>'15'!M27</f>
        <v>50000</v>
      </c>
      <c r="K45" s="433">
        <f>'15'!N27</f>
        <v>50000</v>
      </c>
      <c r="L45" s="254">
        <f t="shared" si="2"/>
        <v>50</v>
      </c>
    </row>
    <row r="46" spans="2:14" ht="11.25" customHeight="1">
      <c r="B46" s="10"/>
      <c r="C46" s="267"/>
      <c r="D46" s="349"/>
      <c r="E46" s="11"/>
      <c r="F46" s="56"/>
      <c r="G46" s="56"/>
      <c r="H46" s="56"/>
      <c r="I46" s="310"/>
      <c r="J46" s="310"/>
      <c r="K46" s="418"/>
      <c r="L46" s="104" t="str">
        <f t="shared" si="2"/>
        <v/>
      </c>
    </row>
    <row r="47" spans="2:14" ht="15" customHeight="1">
      <c r="B47" s="10"/>
      <c r="C47" s="441">
        <v>614000</v>
      </c>
      <c r="D47" s="442"/>
      <c r="E47" s="443" t="s">
        <v>178</v>
      </c>
      <c r="F47" s="444">
        <f t="shared" ref="F47:K47" si="14">F48+F60+F70+F84+F89</f>
        <v>10625000</v>
      </c>
      <c r="G47" s="444">
        <f t="shared" si="14"/>
        <v>11385000</v>
      </c>
      <c r="H47" s="444">
        <f t="shared" si="14"/>
        <v>1136202</v>
      </c>
      <c r="I47" s="444">
        <f t="shared" si="14"/>
        <v>10081200</v>
      </c>
      <c r="J47" s="444">
        <f t="shared" si="14"/>
        <v>2335800</v>
      </c>
      <c r="K47" s="419">
        <f t="shared" si="14"/>
        <v>12417000</v>
      </c>
      <c r="L47" s="445">
        <f t="shared" si="2"/>
        <v>109.06455862977602</v>
      </c>
      <c r="N47" s="822"/>
    </row>
    <row r="48" spans="2:14" s="55" customFormat="1" ht="15" customHeight="1">
      <c r="B48" s="276"/>
      <c r="C48" s="277">
        <v>614100</v>
      </c>
      <c r="D48" s="349"/>
      <c r="E48" s="20" t="s">
        <v>512</v>
      </c>
      <c r="F48" s="101">
        <f t="shared" ref="F48:K48" si="15">SUM(F49:F59)</f>
        <v>2000000</v>
      </c>
      <c r="G48" s="101">
        <f t="shared" si="15"/>
        <v>2000000</v>
      </c>
      <c r="H48" s="101">
        <f t="shared" si="15"/>
        <v>50000</v>
      </c>
      <c r="I48" s="307">
        <f t="shared" si="15"/>
        <v>1365000</v>
      </c>
      <c r="J48" s="307">
        <f t="shared" si="15"/>
        <v>670000</v>
      </c>
      <c r="K48" s="418">
        <f t="shared" si="15"/>
        <v>2035000</v>
      </c>
      <c r="L48" s="104">
        <f t="shared" si="2"/>
        <v>101.75</v>
      </c>
      <c r="N48" s="823"/>
    </row>
    <row r="49" spans="2:14" s="68" customFormat="1" ht="15" customHeight="1">
      <c r="B49" s="69"/>
      <c r="C49" s="268">
        <v>614100</v>
      </c>
      <c r="D49" s="350" t="s">
        <v>559</v>
      </c>
      <c r="E49" s="255" t="s">
        <v>485</v>
      </c>
      <c r="F49" s="256">
        <f>'3'!I35</f>
        <v>200000</v>
      </c>
      <c r="G49" s="256">
        <f>'3'!J35</f>
        <v>200000</v>
      </c>
      <c r="H49" s="256">
        <f>'3'!K35</f>
        <v>50000</v>
      </c>
      <c r="I49" s="332">
        <f>'3'!L35</f>
        <v>200000</v>
      </c>
      <c r="J49" s="332">
        <f>'3'!M35</f>
        <v>0</v>
      </c>
      <c r="K49" s="433">
        <f>'3'!N35</f>
        <v>200000</v>
      </c>
      <c r="L49" s="254">
        <f t="shared" si="2"/>
        <v>100</v>
      </c>
      <c r="N49" s="824"/>
    </row>
    <row r="50" spans="2:14" s="311" customFormat="1" ht="15" customHeight="1">
      <c r="B50" s="317"/>
      <c r="C50" s="268">
        <v>614100</v>
      </c>
      <c r="D50" s="676" t="s">
        <v>729</v>
      </c>
      <c r="E50" s="677" t="s">
        <v>489</v>
      </c>
      <c r="F50" s="330">
        <f>'15'!I30</f>
        <v>30000</v>
      </c>
      <c r="G50" s="330">
        <f>'15'!J30</f>
        <v>30000</v>
      </c>
      <c r="H50" s="330">
        <f>'15'!K30</f>
        <v>0</v>
      </c>
      <c r="I50" s="330">
        <f>'15'!L30</f>
        <v>0</v>
      </c>
      <c r="J50" s="330">
        <f>'15'!M30</f>
        <v>0</v>
      </c>
      <c r="K50" s="433">
        <f>'15'!N30</f>
        <v>0</v>
      </c>
      <c r="L50" s="331">
        <f t="shared" ref="L50" si="16">IF(G50=0,"",K50/G50*100)</f>
        <v>0</v>
      </c>
      <c r="N50" s="821"/>
    </row>
    <row r="51" spans="2:14" s="1" customFormat="1" ht="15" customHeight="1">
      <c r="B51" s="12"/>
      <c r="C51" s="268">
        <v>614100</v>
      </c>
      <c r="D51" s="350" t="s">
        <v>572</v>
      </c>
      <c r="E51" s="258" t="s">
        <v>486</v>
      </c>
      <c r="F51" s="253">
        <f>'16'!I33</f>
        <v>300000</v>
      </c>
      <c r="G51" s="253">
        <f>'16'!J33</f>
        <v>300000</v>
      </c>
      <c r="H51" s="253">
        <f>'16'!K33</f>
        <v>0</v>
      </c>
      <c r="I51" s="330">
        <f>'16'!L33</f>
        <v>350000</v>
      </c>
      <c r="J51" s="330">
        <f>'16'!M33</f>
        <v>0</v>
      </c>
      <c r="K51" s="433">
        <f>'16'!N33</f>
        <v>350000</v>
      </c>
      <c r="L51" s="254">
        <f t="shared" si="2"/>
        <v>116.66666666666667</v>
      </c>
      <c r="N51" s="821"/>
    </row>
    <row r="52" spans="2:14" s="1" customFormat="1" ht="15" customHeight="1">
      <c r="B52" s="12"/>
      <c r="C52" s="271">
        <v>614100</v>
      </c>
      <c r="D52" s="353" t="s">
        <v>577</v>
      </c>
      <c r="E52" s="252" t="s">
        <v>487</v>
      </c>
      <c r="F52" s="253">
        <f>'17'!I29</f>
        <v>450000</v>
      </c>
      <c r="G52" s="253">
        <f>'17'!J29</f>
        <v>450000</v>
      </c>
      <c r="H52" s="253">
        <f>'17'!K29</f>
        <v>0</v>
      </c>
      <c r="I52" s="330">
        <f>'17'!L29</f>
        <v>450000</v>
      </c>
      <c r="J52" s="330">
        <f>'17'!M29</f>
        <v>250000</v>
      </c>
      <c r="K52" s="433">
        <f>'17'!N29</f>
        <v>700000</v>
      </c>
      <c r="L52" s="254">
        <f t="shared" si="2"/>
        <v>155.55555555555557</v>
      </c>
      <c r="N52" s="821"/>
    </row>
    <row r="53" spans="2:14" s="1" customFormat="1" ht="15" customHeight="1">
      <c r="B53" s="12"/>
      <c r="C53" s="268">
        <v>614100</v>
      </c>
      <c r="D53" s="354" t="s">
        <v>579</v>
      </c>
      <c r="E53" s="259" t="s">
        <v>488</v>
      </c>
      <c r="F53" s="253">
        <f>'18'!I30</f>
        <v>440000</v>
      </c>
      <c r="G53" s="253">
        <f>'18'!J30</f>
        <v>440000</v>
      </c>
      <c r="H53" s="253">
        <f>'18'!K30</f>
        <v>0</v>
      </c>
      <c r="I53" s="330">
        <f>'18'!L30</f>
        <v>0</v>
      </c>
      <c r="J53" s="330">
        <f>'18'!M30</f>
        <v>300000</v>
      </c>
      <c r="K53" s="433">
        <f>'18'!N30</f>
        <v>300000</v>
      </c>
      <c r="L53" s="254">
        <f t="shared" si="2"/>
        <v>68.181818181818173</v>
      </c>
      <c r="N53" s="821"/>
    </row>
    <row r="54" spans="2:14" s="1" customFormat="1" ht="15" customHeight="1">
      <c r="B54" s="12"/>
      <c r="C54" s="268">
        <v>614100</v>
      </c>
      <c r="D54" s="354" t="s">
        <v>580</v>
      </c>
      <c r="E54" s="259" t="s">
        <v>489</v>
      </c>
      <c r="F54" s="253">
        <f>'18'!I31</f>
        <v>0</v>
      </c>
      <c r="G54" s="253">
        <f>'18'!J31</f>
        <v>0</v>
      </c>
      <c r="H54" s="253">
        <f>'18'!K31</f>
        <v>0</v>
      </c>
      <c r="I54" s="332">
        <f>'18'!L31</f>
        <v>0</v>
      </c>
      <c r="J54" s="332">
        <f>'18'!M31</f>
        <v>0</v>
      </c>
      <c r="K54" s="433">
        <f>'18'!N31</f>
        <v>0</v>
      </c>
      <c r="L54" s="254" t="str">
        <f t="shared" si="2"/>
        <v/>
      </c>
      <c r="N54" s="821"/>
    </row>
    <row r="55" spans="2:14" s="1" customFormat="1" ht="15" customHeight="1">
      <c r="B55" s="12"/>
      <c r="C55" s="268">
        <v>614100</v>
      </c>
      <c r="D55" s="350" t="s">
        <v>582</v>
      </c>
      <c r="E55" s="255" t="s">
        <v>490</v>
      </c>
      <c r="F55" s="253">
        <f>'19'!I29</f>
        <v>150000</v>
      </c>
      <c r="G55" s="253">
        <f>'19'!J29</f>
        <v>150000</v>
      </c>
      <c r="H55" s="253">
        <f>'19'!K29</f>
        <v>0</v>
      </c>
      <c r="I55" s="330">
        <f>'19'!L29</f>
        <v>0</v>
      </c>
      <c r="J55" s="330">
        <f>'19'!M29</f>
        <v>120000</v>
      </c>
      <c r="K55" s="433">
        <f>'19'!N29</f>
        <v>120000</v>
      </c>
      <c r="L55" s="254">
        <f t="shared" si="2"/>
        <v>80</v>
      </c>
      <c r="N55" s="821"/>
    </row>
    <row r="56" spans="2:14" s="1" customFormat="1" ht="24.75" customHeight="1">
      <c r="B56" s="12"/>
      <c r="C56" s="271">
        <v>614100</v>
      </c>
      <c r="D56" s="353" t="s">
        <v>586</v>
      </c>
      <c r="E56" s="260" t="s">
        <v>491</v>
      </c>
      <c r="F56" s="253">
        <f>'20'!I31</f>
        <v>130000</v>
      </c>
      <c r="G56" s="253">
        <f>'20'!J31</f>
        <v>130000</v>
      </c>
      <c r="H56" s="253">
        <f>'20'!K31</f>
        <v>0</v>
      </c>
      <c r="I56" s="330">
        <f>'20'!L31</f>
        <v>125000</v>
      </c>
      <c r="J56" s="330">
        <f>'20'!M31</f>
        <v>0</v>
      </c>
      <c r="K56" s="433">
        <f>'20'!N31</f>
        <v>125000</v>
      </c>
      <c r="L56" s="254">
        <f t="shared" si="2"/>
        <v>96.15384615384616</v>
      </c>
      <c r="N56" s="821"/>
    </row>
    <row r="57" spans="2:14" s="311" customFormat="1" ht="15" customHeight="1">
      <c r="B57" s="317"/>
      <c r="C57" s="272" t="s">
        <v>105</v>
      </c>
      <c r="D57" s="355" t="s">
        <v>686</v>
      </c>
      <c r="E57" s="261" t="s">
        <v>700</v>
      </c>
      <c r="F57" s="332">
        <f>'20'!I32</f>
        <v>0</v>
      </c>
      <c r="G57" s="332">
        <f>'20'!J32</f>
        <v>0</v>
      </c>
      <c r="H57" s="332">
        <f>'20'!K32</f>
        <v>0</v>
      </c>
      <c r="I57" s="332">
        <f>'20'!L32</f>
        <v>0</v>
      </c>
      <c r="J57" s="332">
        <f>'20'!M32</f>
        <v>0</v>
      </c>
      <c r="K57" s="433">
        <f>'20'!N32</f>
        <v>0</v>
      </c>
      <c r="L57" s="331" t="str">
        <f t="shared" si="2"/>
        <v/>
      </c>
      <c r="N57" s="821"/>
    </row>
    <row r="58" spans="2:14" s="311" customFormat="1" ht="15" customHeight="1">
      <c r="B58" s="317"/>
      <c r="C58" s="272" t="s">
        <v>105</v>
      </c>
      <c r="D58" s="355" t="s">
        <v>687</v>
      </c>
      <c r="E58" s="261" t="s">
        <v>600</v>
      </c>
      <c r="F58" s="332">
        <f>'20'!I33</f>
        <v>0</v>
      </c>
      <c r="G58" s="332">
        <f>'20'!J33</f>
        <v>0</v>
      </c>
      <c r="H58" s="332">
        <f>'20'!K33</f>
        <v>0</v>
      </c>
      <c r="I58" s="332">
        <f>'20'!L33</f>
        <v>0</v>
      </c>
      <c r="J58" s="332">
        <f>'20'!M33</f>
        <v>0</v>
      </c>
      <c r="K58" s="433">
        <f>'20'!N33</f>
        <v>0</v>
      </c>
      <c r="L58" s="331" t="str">
        <f t="shared" si="2"/>
        <v/>
      </c>
      <c r="N58" s="821"/>
    </row>
    <row r="59" spans="2:14" s="1" customFormat="1" ht="15" customHeight="1">
      <c r="B59" s="12"/>
      <c r="C59" s="272" t="s">
        <v>105</v>
      </c>
      <c r="D59" s="355" t="s">
        <v>588</v>
      </c>
      <c r="E59" s="261" t="s">
        <v>492</v>
      </c>
      <c r="F59" s="256">
        <f>'20'!I34</f>
        <v>300000</v>
      </c>
      <c r="G59" s="256">
        <f>'20'!J34</f>
        <v>300000</v>
      </c>
      <c r="H59" s="256">
        <f>'20'!K34</f>
        <v>0</v>
      </c>
      <c r="I59" s="332">
        <f>'20'!L34</f>
        <v>240000</v>
      </c>
      <c r="J59" s="332">
        <f>'20'!M34</f>
        <v>0</v>
      </c>
      <c r="K59" s="433">
        <f>'20'!N34</f>
        <v>240000</v>
      </c>
      <c r="L59" s="254">
        <f t="shared" si="2"/>
        <v>80</v>
      </c>
      <c r="N59" s="821"/>
    </row>
    <row r="60" spans="2:14" s="55" customFormat="1" ht="15" customHeight="1">
      <c r="B60" s="276"/>
      <c r="C60" s="278" t="s">
        <v>103</v>
      </c>
      <c r="D60" s="356"/>
      <c r="E60" s="279" t="s">
        <v>513</v>
      </c>
      <c r="F60" s="101">
        <f>SUM(F61:F69)</f>
        <v>5215000</v>
      </c>
      <c r="G60" s="101">
        <f t="shared" ref="G60:K60" si="17">SUM(G61:G69)</f>
        <v>5275000</v>
      </c>
      <c r="H60" s="101">
        <f t="shared" si="17"/>
        <v>867026</v>
      </c>
      <c r="I60" s="307">
        <f t="shared" si="17"/>
        <v>4692500</v>
      </c>
      <c r="J60" s="307">
        <f t="shared" si="17"/>
        <v>352500</v>
      </c>
      <c r="K60" s="418">
        <f t="shared" si="17"/>
        <v>5045000</v>
      </c>
      <c r="L60" s="104">
        <f t="shared" si="2"/>
        <v>95.639810426540279</v>
      </c>
      <c r="N60" s="823"/>
    </row>
    <row r="61" spans="2:14" s="1" customFormat="1" ht="15" customHeight="1">
      <c r="B61" s="12"/>
      <c r="C61" s="272" t="s">
        <v>103</v>
      </c>
      <c r="D61" s="355" t="s">
        <v>560</v>
      </c>
      <c r="E61" s="262" t="s">
        <v>493</v>
      </c>
      <c r="F61" s="256">
        <f>'3'!I36</f>
        <v>150000</v>
      </c>
      <c r="G61" s="256">
        <f>'3'!J36</f>
        <v>150000</v>
      </c>
      <c r="H61" s="256">
        <f>'3'!K36</f>
        <v>0</v>
      </c>
      <c r="I61" s="332">
        <f>'3'!L36</f>
        <v>150000</v>
      </c>
      <c r="J61" s="332">
        <f>'3'!M36</f>
        <v>0</v>
      </c>
      <c r="K61" s="433">
        <f>'3'!N36</f>
        <v>150000</v>
      </c>
      <c r="L61" s="254">
        <f t="shared" si="2"/>
        <v>100</v>
      </c>
      <c r="N61" s="821"/>
    </row>
    <row r="62" spans="2:14" s="1" customFormat="1" ht="15" customHeight="1">
      <c r="B62" s="12"/>
      <c r="C62" s="271">
        <v>614200</v>
      </c>
      <c r="D62" s="355" t="s">
        <v>568</v>
      </c>
      <c r="E62" s="258" t="s">
        <v>494</v>
      </c>
      <c r="F62" s="253">
        <f>'4 (S)'!I29</f>
        <v>0</v>
      </c>
      <c r="G62" s="253">
        <f>'4 (S)'!J29</f>
        <v>0</v>
      </c>
      <c r="H62" s="253">
        <f>'4 (S)'!K29</f>
        <v>0</v>
      </c>
      <c r="I62" s="330">
        <f>'4 (S)'!L29</f>
        <v>0</v>
      </c>
      <c r="J62" s="330">
        <f>'4 (S)'!M29</f>
        <v>0</v>
      </c>
      <c r="K62" s="433">
        <f>'4 (S)'!N29</f>
        <v>0</v>
      </c>
      <c r="L62" s="331" t="str">
        <f t="shared" si="2"/>
        <v/>
      </c>
      <c r="N62" s="821"/>
    </row>
    <row r="63" spans="2:14" s="311" customFormat="1" ht="27" customHeight="1">
      <c r="B63" s="317"/>
      <c r="C63" s="271">
        <v>614200</v>
      </c>
      <c r="D63" s="355" t="s">
        <v>736</v>
      </c>
      <c r="E63" s="260" t="s">
        <v>857</v>
      </c>
      <c r="F63" s="330">
        <f>'4 (N)'!I29</f>
        <v>80000</v>
      </c>
      <c r="G63" s="330">
        <f>'4 (N)'!J29</f>
        <v>80000</v>
      </c>
      <c r="H63" s="330">
        <f>'4 (N)'!K29</f>
        <v>0</v>
      </c>
      <c r="I63" s="330">
        <f>'4 (N)'!L29</f>
        <v>50000</v>
      </c>
      <c r="J63" s="330">
        <f>'4 (N)'!M29</f>
        <v>0</v>
      </c>
      <c r="K63" s="433">
        <f>'4 (N)'!N29</f>
        <v>50000</v>
      </c>
      <c r="L63" s="331">
        <f t="shared" ref="L63:L65" si="18">IF(G63=0,"",K63/G63*100)</f>
        <v>62.5</v>
      </c>
      <c r="N63" s="821"/>
    </row>
    <row r="64" spans="2:14" s="311" customFormat="1" ht="15" customHeight="1">
      <c r="B64" s="317"/>
      <c r="C64" s="271" t="s">
        <v>103</v>
      </c>
      <c r="D64" s="355" t="s">
        <v>688</v>
      </c>
      <c r="E64" s="329" t="s">
        <v>598</v>
      </c>
      <c r="F64" s="330">
        <f>'17'!I30</f>
        <v>60000</v>
      </c>
      <c r="G64" s="330">
        <f>'17'!J30</f>
        <v>60000</v>
      </c>
      <c r="H64" s="330">
        <f>'17'!K30</f>
        <v>14250</v>
      </c>
      <c r="I64" s="330">
        <f>'17'!L30</f>
        <v>60000</v>
      </c>
      <c r="J64" s="330">
        <f>'17'!M30</f>
        <v>0</v>
      </c>
      <c r="K64" s="433">
        <f>'17'!N30</f>
        <v>60000</v>
      </c>
      <c r="L64" s="331">
        <f t="shared" si="18"/>
        <v>100</v>
      </c>
      <c r="N64" s="821"/>
    </row>
    <row r="65" spans="2:14" s="311" customFormat="1" ht="15" customHeight="1">
      <c r="B65" s="317"/>
      <c r="C65" s="271" t="s">
        <v>103</v>
      </c>
      <c r="D65" s="355" t="s">
        <v>689</v>
      </c>
      <c r="E65" s="329" t="s">
        <v>599</v>
      </c>
      <c r="F65" s="330">
        <f>'17'!I31</f>
        <v>3620000</v>
      </c>
      <c r="G65" s="330">
        <f>'17'!J31</f>
        <v>3620000</v>
      </c>
      <c r="H65" s="330">
        <f>'17'!K31</f>
        <v>571354</v>
      </c>
      <c r="I65" s="330">
        <f>'17'!L31</f>
        <v>3167500</v>
      </c>
      <c r="J65" s="330">
        <f>'17'!M31</f>
        <v>252500</v>
      </c>
      <c r="K65" s="433">
        <f>'17'!N31</f>
        <v>3420000</v>
      </c>
      <c r="L65" s="331">
        <f t="shared" si="18"/>
        <v>94.475138121546962</v>
      </c>
      <c r="N65" s="821"/>
    </row>
    <row r="66" spans="2:14" s="1" customFormat="1" ht="15" customHeight="1">
      <c r="B66" s="12"/>
      <c r="C66" s="271" t="s">
        <v>103</v>
      </c>
      <c r="D66" s="353" t="s">
        <v>589</v>
      </c>
      <c r="E66" s="258" t="s">
        <v>495</v>
      </c>
      <c r="F66" s="253">
        <f>'20'!I35</f>
        <v>150000</v>
      </c>
      <c r="G66" s="253">
        <f>'20'!J35</f>
        <v>150000</v>
      </c>
      <c r="H66" s="253">
        <f>'20'!K35</f>
        <v>29700</v>
      </c>
      <c r="I66" s="330">
        <f>'20'!L35</f>
        <v>150000</v>
      </c>
      <c r="J66" s="330">
        <f>'20'!M35</f>
        <v>0</v>
      </c>
      <c r="K66" s="433">
        <f>'20'!N35</f>
        <v>150000</v>
      </c>
      <c r="L66" s="254">
        <f t="shared" si="2"/>
        <v>100</v>
      </c>
      <c r="N66" s="821"/>
    </row>
    <row r="67" spans="2:14" s="1" customFormat="1" ht="24.75" customHeight="1">
      <c r="B67" s="12"/>
      <c r="C67" s="271" t="s">
        <v>103</v>
      </c>
      <c r="D67" s="353" t="s">
        <v>590</v>
      </c>
      <c r="E67" s="263" t="s">
        <v>496</v>
      </c>
      <c r="F67" s="253">
        <f>'20'!I36</f>
        <v>15000</v>
      </c>
      <c r="G67" s="253">
        <f>'20'!J36</f>
        <v>15000</v>
      </c>
      <c r="H67" s="253">
        <f>'20'!K36</f>
        <v>0</v>
      </c>
      <c r="I67" s="330">
        <f>'20'!L36</f>
        <v>15000</v>
      </c>
      <c r="J67" s="330">
        <f>'20'!M36</f>
        <v>0</v>
      </c>
      <c r="K67" s="433">
        <f>'20'!N36</f>
        <v>15000</v>
      </c>
      <c r="L67" s="254">
        <f t="shared" si="2"/>
        <v>100</v>
      </c>
      <c r="N67" s="821"/>
    </row>
    <row r="68" spans="2:14" s="1" customFormat="1" ht="15" customHeight="1">
      <c r="B68" s="12"/>
      <c r="C68" s="271">
        <v>614200</v>
      </c>
      <c r="D68" s="353" t="s">
        <v>593</v>
      </c>
      <c r="E68" s="258" t="s">
        <v>497</v>
      </c>
      <c r="F68" s="253">
        <f>'31'!I29</f>
        <v>1100000</v>
      </c>
      <c r="G68" s="253">
        <f>'31'!J28</f>
        <v>1100000</v>
      </c>
      <c r="H68" s="253">
        <f>'31'!K28</f>
        <v>250592</v>
      </c>
      <c r="I68" s="330">
        <f>'31'!L28</f>
        <v>1100000</v>
      </c>
      <c r="J68" s="330">
        <f>'31'!M28</f>
        <v>0</v>
      </c>
      <c r="K68" s="433">
        <f>'31'!N28</f>
        <v>1100000</v>
      </c>
      <c r="L68" s="254">
        <f t="shared" si="2"/>
        <v>100</v>
      </c>
      <c r="N68" s="821"/>
    </row>
    <row r="69" spans="2:14" s="1" customFormat="1" ht="15" customHeight="1">
      <c r="B69" s="12"/>
      <c r="C69" s="271" t="s">
        <v>103</v>
      </c>
      <c r="D69" s="353" t="s">
        <v>594</v>
      </c>
      <c r="E69" s="252" t="s">
        <v>498</v>
      </c>
      <c r="F69" s="253">
        <f>'33'!I29</f>
        <v>40000</v>
      </c>
      <c r="G69" s="253">
        <f>'33'!J29</f>
        <v>100000</v>
      </c>
      <c r="H69" s="253">
        <f>'33'!K29</f>
        <v>1130</v>
      </c>
      <c r="I69" s="330">
        <f>'33'!L29</f>
        <v>0</v>
      </c>
      <c r="J69" s="330">
        <f>'33'!M29</f>
        <v>100000</v>
      </c>
      <c r="K69" s="433">
        <f>'33'!N29</f>
        <v>100000</v>
      </c>
      <c r="L69" s="254">
        <f t="shared" si="2"/>
        <v>100</v>
      </c>
      <c r="N69" s="821"/>
    </row>
    <row r="70" spans="2:14" s="55" customFormat="1" ht="15" customHeight="1">
      <c r="B70" s="276"/>
      <c r="C70" s="280" t="s">
        <v>104</v>
      </c>
      <c r="D70" s="357"/>
      <c r="E70" s="264" t="s">
        <v>514</v>
      </c>
      <c r="F70" s="281">
        <f>SUM(F71:F83)</f>
        <v>1280000</v>
      </c>
      <c r="G70" s="306">
        <f t="shared" ref="G70:K70" si="19">SUM(G71:G83)</f>
        <v>1280000</v>
      </c>
      <c r="H70" s="306">
        <f t="shared" si="19"/>
        <v>140307</v>
      </c>
      <c r="I70" s="306">
        <f t="shared" si="19"/>
        <v>1057000</v>
      </c>
      <c r="J70" s="306">
        <f t="shared" si="19"/>
        <v>0</v>
      </c>
      <c r="K70" s="418">
        <f t="shared" si="19"/>
        <v>1057000</v>
      </c>
      <c r="L70" s="104">
        <f t="shared" si="2"/>
        <v>82.578125</v>
      </c>
      <c r="N70" s="823"/>
    </row>
    <row r="71" spans="2:14" s="1" customFormat="1" ht="15" customHeight="1">
      <c r="B71" s="12"/>
      <c r="C71" s="271" t="s">
        <v>104</v>
      </c>
      <c r="D71" s="353" t="s">
        <v>892</v>
      </c>
      <c r="E71" s="258" t="s">
        <v>499</v>
      </c>
      <c r="F71" s="253">
        <f>'3'!I44</f>
        <v>160000</v>
      </c>
      <c r="G71" s="253">
        <f>'3'!J44</f>
        <v>160000</v>
      </c>
      <c r="H71" s="253">
        <f>'3'!K44</f>
        <v>26667</v>
      </c>
      <c r="I71" s="330">
        <f>'3'!L44</f>
        <v>130000</v>
      </c>
      <c r="J71" s="330">
        <f>'3'!M44</f>
        <v>0</v>
      </c>
      <c r="K71" s="433">
        <f>'3'!N44</f>
        <v>130000</v>
      </c>
      <c r="L71" s="254">
        <f t="shared" si="2"/>
        <v>81.25</v>
      </c>
      <c r="N71" s="821"/>
    </row>
    <row r="72" spans="2:14" s="1" customFormat="1" ht="15" customHeight="1">
      <c r="B72" s="12"/>
      <c r="C72" s="271" t="s">
        <v>104</v>
      </c>
      <c r="D72" s="353" t="s">
        <v>561</v>
      </c>
      <c r="E72" s="255" t="s">
        <v>500</v>
      </c>
      <c r="F72" s="253">
        <f>'3'!I37</f>
        <v>70000</v>
      </c>
      <c r="G72" s="253">
        <f>'3'!J37</f>
        <v>70000</v>
      </c>
      <c r="H72" s="253">
        <f>'3'!K37</f>
        <v>0</v>
      </c>
      <c r="I72" s="330">
        <f>'3'!L37</f>
        <v>50000</v>
      </c>
      <c r="J72" s="330">
        <f>'3'!M37</f>
        <v>0</v>
      </c>
      <c r="K72" s="433">
        <f>'3'!N37</f>
        <v>50000</v>
      </c>
      <c r="L72" s="254">
        <f t="shared" si="2"/>
        <v>71.428571428571431</v>
      </c>
      <c r="N72" s="821"/>
    </row>
    <row r="73" spans="2:14" ht="15" customHeight="1">
      <c r="B73" s="10"/>
      <c r="C73" s="271" t="s">
        <v>104</v>
      </c>
      <c r="D73" s="353" t="s">
        <v>562</v>
      </c>
      <c r="E73" s="255" t="s">
        <v>501</v>
      </c>
      <c r="F73" s="256">
        <f>'3'!I38</f>
        <v>30000</v>
      </c>
      <c r="G73" s="256">
        <f>'3'!J38</f>
        <v>30000</v>
      </c>
      <c r="H73" s="256">
        <f>'3'!K38</f>
        <v>5000</v>
      </c>
      <c r="I73" s="332">
        <f>'3'!L38</f>
        <v>35000</v>
      </c>
      <c r="J73" s="332">
        <f>'3'!M38</f>
        <v>0</v>
      </c>
      <c r="K73" s="433">
        <f>'3'!N38</f>
        <v>35000</v>
      </c>
      <c r="L73" s="254">
        <f t="shared" si="2"/>
        <v>116.66666666666667</v>
      </c>
    </row>
    <row r="74" spans="2:14" s="1" customFormat="1" ht="15" customHeight="1">
      <c r="B74" s="12"/>
      <c r="C74" s="272" t="s">
        <v>104</v>
      </c>
      <c r="D74" s="355" t="s">
        <v>563</v>
      </c>
      <c r="E74" s="255" t="s">
        <v>502</v>
      </c>
      <c r="F74" s="256">
        <f>'3'!I39</f>
        <v>40000</v>
      </c>
      <c r="G74" s="256">
        <f>'3'!J39</f>
        <v>40000</v>
      </c>
      <c r="H74" s="256">
        <f>'3'!K39</f>
        <v>6670</v>
      </c>
      <c r="I74" s="332">
        <f>'3'!L39</f>
        <v>45000</v>
      </c>
      <c r="J74" s="332">
        <f>'3'!M39</f>
        <v>0</v>
      </c>
      <c r="K74" s="433">
        <f>'3'!N39</f>
        <v>45000</v>
      </c>
      <c r="L74" s="254">
        <f t="shared" si="2"/>
        <v>112.5</v>
      </c>
      <c r="N74" s="821"/>
    </row>
    <row r="75" spans="2:14" s="1" customFormat="1" ht="25.5" customHeight="1">
      <c r="B75" s="22"/>
      <c r="C75" s="272" t="s">
        <v>104</v>
      </c>
      <c r="D75" s="355" t="s">
        <v>564</v>
      </c>
      <c r="E75" s="262" t="s">
        <v>544</v>
      </c>
      <c r="F75" s="256">
        <f>'3'!I40</f>
        <v>40000</v>
      </c>
      <c r="G75" s="256">
        <f>'3'!J40</f>
        <v>40000</v>
      </c>
      <c r="H75" s="256">
        <f>'3'!K40</f>
        <v>6670</v>
      </c>
      <c r="I75" s="332">
        <f>'3'!L40</f>
        <v>45000</v>
      </c>
      <c r="J75" s="332">
        <f>'3'!M40</f>
        <v>0</v>
      </c>
      <c r="K75" s="433">
        <f>'3'!N40</f>
        <v>45000</v>
      </c>
      <c r="L75" s="254">
        <f t="shared" si="2"/>
        <v>112.5</v>
      </c>
      <c r="N75" s="821"/>
    </row>
    <row r="76" spans="2:14" s="1" customFormat="1" ht="26.25" customHeight="1">
      <c r="B76" s="22"/>
      <c r="C76" s="272" t="s">
        <v>104</v>
      </c>
      <c r="D76" s="355" t="s">
        <v>565</v>
      </c>
      <c r="E76" s="262" t="s">
        <v>503</v>
      </c>
      <c r="F76" s="256">
        <f>'3'!I41</f>
        <v>15000</v>
      </c>
      <c r="G76" s="256">
        <f>'3'!J41</f>
        <v>15000</v>
      </c>
      <c r="H76" s="256">
        <f>'3'!K41</f>
        <v>2500</v>
      </c>
      <c r="I76" s="332">
        <f>'3'!L41</f>
        <v>17000</v>
      </c>
      <c r="J76" s="332">
        <f>'3'!M41</f>
        <v>0</v>
      </c>
      <c r="K76" s="433">
        <f>'3'!N41</f>
        <v>17000</v>
      </c>
      <c r="L76" s="254">
        <f t="shared" si="2"/>
        <v>113.33333333333333</v>
      </c>
      <c r="N76" s="821"/>
    </row>
    <row r="77" spans="2:14" s="1" customFormat="1" ht="15" customHeight="1">
      <c r="B77" s="22"/>
      <c r="C77" s="272" t="s">
        <v>104</v>
      </c>
      <c r="D77" s="355" t="s">
        <v>566</v>
      </c>
      <c r="E77" s="255" t="s">
        <v>504</v>
      </c>
      <c r="F77" s="256">
        <f>'3'!I42</f>
        <v>30000</v>
      </c>
      <c r="G77" s="256">
        <f>'3'!J42</f>
        <v>30000</v>
      </c>
      <c r="H77" s="256">
        <f>'3'!K42</f>
        <v>7500</v>
      </c>
      <c r="I77" s="332">
        <f>'3'!L42</f>
        <v>30000</v>
      </c>
      <c r="J77" s="332">
        <f>'3'!M42</f>
        <v>0</v>
      </c>
      <c r="K77" s="433">
        <f>'3'!N42</f>
        <v>30000</v>
      </c>
      <c r="L77" s="254">
        <f t="shared" si="2"/>
        <v>100</v>
      </c>
      <c r="N77" s="821"/>
    </row>
    <row r="78" spans="2:14" s="1" customFormat="1" ht="15" customHeight="1">
      <c r="B78" s="22"/>
      <c r="C78" s="272" t="s">
        <v>104</v>
      </c>
      <c r="D78" s="355" t="s">
        <v>567</v>
      </c>
      <c r="E78" s="255" t="s">
        <v>542</v>
      </c>
      <c r="F78" s="256">
        <f>'3'!I43</f>
        <v>15000</v>
      </c>
      <c r="G78" s="256">
        <f>'3'!J43</f>
        <v>15000</v>
      </c>
      <c r="H78" s="256">
        <f>'3'!K43</f>
        <v>2500</v>
      </c>
      <c r="I78" s="332">
        <f>'3'!L43</f>
        <v>15000</v>
      </c>
      <c r="J78" s="332">
        <f>'3'!M43</f>
        <v>0</v>
      </c>
      <c r="K78" s="433">
        <f>'3'!N43</f>
        <v>15000</v>
      </c>
      <c r="L78" s="254">
        <f t="shared" ref="L78" si="20">IF(G78=0,"",K78/G78*100)</f>
        <v>100</v>
      </c>
      <c r="N78" s="821"/>
    </row>
    <row r="79" spans="2:14" ht="15" customHeight="1" thickBot="1">
      <c r="B79" s="16"/>
      <c r="C79" s="272" t="s">
        <v>104</v>
      </c>
      <c r="D79" s="355" t="s">
        <v>591</v>
      </c>
      <c r="E79" s="261" t="s">
        <v>505</v>
      </c>
      <c r="F79" s="256">
        <f>'20'!I37</f>
        <v>100000</v>
      </c>
      <c r="G79" s="256">
        <f>'20'!J37</f>
        <v>100000</v>
      </c>
      <c r="H79" s="256">
        <f>'20'!K37</f>
        <v>25000</v>
      </c>
      <c r="I79" s="332">
        <f>'20'!L37</f>
        <v>100000</v>
      </c>
      <c r="J79" s="332">
        <f>'20'!M37</f>
        <v>0</v>
      </c>
      <c r="K79" s="433">
        <f>'20'!N37</f>
        <v>100000</v>
      </c>
      <c r="L79" s="254">
        <f t="shared" ref="L79:L122" si="21">IF(G79=0,"",K79/G79*100)</f>
        <v>100</v>
      </c>
    </row>
    <row r="80" spans="2:14" ht="15" customHeight="1">
      <c r="C80" s="272" t="s">
        <v>104</v>
      </c>
      <c r="D80" s="355" t="s">
        <v>592</v>
      </c>
      <c r="E80" s="261" t="s">
        <v>506</v>
      </c>
      <c r="F80" s="256">
        <f>'20'!I38</f>
        <v>250000</v>
      </c>
      <c r="G80" s="256">
        <f>'20'!J38</f>
        <v>250000</v>
      </c>
      <c r="H80" s="256">
        <f>'20'!K38</f>
        <v>0</v>
      </c>
      <c r="I80" s="332">
        <f>'20'!L38</f>
        <v>220000</v>
      </c>
      <c r="J80" s="332">
        <f>'20'!M38</f>
        <v>0</v>
      </c>
      <c r="K80" s="433">
        <f>'20'!N38</f>
        <v>220000</v>
      </c>
      <c r="L80" s="254">
        <f t="shared" si="21"/>
        <v>88</v>
      </c>
    </row>
    <row r="81" spans="3:14" ht="15" customHeight="1">
      <c r="C81" s="272" t="s">
        <v>104</v>
      </c>
      <c r="D81" s="355" t="s">
        <v>595</v>
      </c>
      <c r="E81" s="261" t="s">
        <v>525</v>
      </c>
      <c r="F81" s="256">
        <f>'33'!I30</f>
        <v>150000</v>
      </c>
      <c r="G81" s="256">
        <f>'33'!J30</f>
        <v>150000</v>
      </c>
      <c r="H81" s="256">
        <f>'33'!K30</f>
        <v>0</v>
      </c>
      <c r="I81" s="332">
        <f>'33'!L30</f>
        <v>50000</v>
      </c>
      <c r="J81" s="332">
        <f>'33'!M30</f>
        <v>0</v>
      </c>
      <c r="K81" s="433">
        <f>'33'!N30</f>
        <v>50000</v>
      </c>
      <c r="L81" s="254">
        <f t="shared" si="21"/>
        <v>33.333333333333329</v>
      </c>
    </row>
    <row r="82" spans="3:14" s="314" customFormat="1" ht="15" customHeight="1">
      <c r="C82" s="272" t="s">
        <v>104</v>
      </c>
      <c r="D82" s="355" t="s">
        <v>726</v>
      </c>
      <c r="E82" s="261" t="s">
        <v>700</v>
      </c>
      <c r="F82" s="332">
        <f>'20'!I39</f>
        <v>280000</v>
      </c>
      <c r="G82" s="332">
        <f>'20'!J39</f>
        <v>280000</v>
      </c>
      <c r="H82" s="332">
        <f>'20'!K39</f>
        <v>57800</v>
      </c>
      <c r="I82" s="332">
        <f>'20'!L39</f>
        <v>240000</v>
      </c>
      <c r="J82" s="332">
        <f>'20'!M39</f>
        <v>0</v>
      </c>
      <c r="K82" s="433">
        <f>'20'!N39</f>
        <v>240000</v>
      </c>
      <c r="L82" s="331">
        <f t="shared" si="21"/>
        <v>85.714285714285708</v>
      </c>
      <c r="N82" s="820"/>
    </row>
    <row r="83" spans="3:14" s="314" customFormat="1" ht="15" customHeight="1">
      <c r="C83" s="272" t="s">
        <v>104</v>
      </c>
      <c r="D83" s="355" t="s">
        <v>727</v>
      </c>
      <c r="E83" s="261" t="s">
        <v>600</v>
      </c>
      <c r="F83" s="332">
        <f>'20'!I40</f>
        <v>100000</v>
      </c>
      <c r="G83" s="332">
        <f>'20'!J40</f>
        <v>100000</v>
      </c>
      <c r="H83" s="332">
        <f>'20'!K40</f>
        <v>0</v>
      </c>
      <c r="I83" s="332">
        <f>'20'!L40</f>
        <v>80000</v>
      </c>
      <c r="J83" s="332">
        <f>'20'!M40</f>
        <v>0</v>
      </c>
      <c r="K83" s="433">
        <f>'20'!N40</f>
        <v>80000</v>
      </c>
      <c r="L83" s="331">
        <f t="shared" si="21"/>
        <v>80</v>
      </c>
      <c r="N83" s="820"/>
    </row>
    <row r="84" spans="3:14" s="55" customFormat="1" ht="15" customHeight="1">
      <c r="C84" s="278" t="s">
        <v>182</v>
      </c>
      <c r="D84" s="356"/>
      <c r="E84" s="265" t="s">
        <v>515</v>
      </c>
      <c r="F84" s="101">
        <f>SUM(F85:F88)</f>
        <v>2000000</v>
      </c>
      <c r="G84" s="101">
        <f t="shared" ref="G84:K84" si="22">SUM(G85:G88)</f>
        <v>2700000</v>
      </c>
      <c r="H84" s="101">
        <f t="shared" si="22"/>
        <v>36270</v>
      </c>
      <c r="I84" s="307">
        <f t="shared" si="22"/>
        <v>2836700</v>
      </c>
      <c r="J84" s="307">
        <f t="shared" si="22"/>
        <v>1313300</v>
      </c>
      <c r="K84" s="418">
        <f t="shared" si="22"/>
        <v>4150000</v>
      </c>
      <c r="L84" s="104">
        <f t="shared" si="21"/>
        <v>153.7037037037037</v>
      </c>
      <c r="N84" s="823"/>
    </row>
    <row r="85" spans="3:14" ht="15" customHeight="1">
      <c r="C85" s="272" t="s">
        <v>182</v>
      </c>
      <c r="D85" s="355" t="s">
        <v>570</v>
      </c>
      <c r="E85" s="261" t="s">
        <v>547</v>
      </c>
      <c r="F85" s="256">
        <f>'15'!I31</f>
        <v>650000</v>
      </c>
      <c r="G85" s="256">
        <f>'15'!J31</f>
        <v>1350000</v>
      </c>
      <c r="H85" s="256">
        <f>'15'!K31</f>
        <v>36270</v>
      </c>
      <c r="I85" s="332">
        <f>'15'!L31</f>
        <v>1729650</v>
      </c>
      <c r="J85" s="332">
        <f>'15'!M31</f>
        <v>1070350</v>
      </c>
      <c r="K85" s="433">
        <f>'15'!N31</f>
        <v>2800000</v>
      </c>
      <c r="L85" s="254">
        <f t="shared" si="21"/>
        <v>207.40740740740739</v>
      </c>
    </row>
    <row r="86" spans="3:14" ht="15" customHeight="1">
      <c r="C86" s="271" t="s">
        <v>182</v>
      </c>
      <c r="D86" s="353" t="s">
        <v>581</v>
      </c>
      <c r="E86" s="258" t="s">
        <v>507</v>
      </c>
      <c r="F86" s="253">
        <f>'19'!I30</f>
        <v>1100000</v>
      </c>
      <c r="G86" s="253">
        <f>'19'!J30</f>
        <v>1100000</v>
      </c>
      <c r="H86" s="253">
        <f>'19'!K30</f>
        <v>0</v>
      </c>
      <c r="I86" s="330">
        <f>'19'!L30</f>
        <v>1100000</v>
      </c>
      <c r="J86" s="330">
        <f>'19'!M30</f>
        <v>0</v>
      </c>
      <c r="K86" s="433">
        <f>'19'!N30</f>
        <v>1100000</v>
      </c>
      <c r="L86" s="254">
        <f t="shared" si="21"/>
        <v>100</v>
      </c>
    </row>
    <row r="87" spans="3:14" ht="15" customHeight="1">
      <c r="C87" s="271" t="s">
        <v>182</v>
      </c>
      <c r="D87" s="353" t="s">
        <v>583</v>
      </c>
      <c r="E87" s="258" t="s">
        <v>508</v>
      </c>
      <c r="F87" s="253">
        <f>'19'!I31</f>
        <v>150000</v>
      </c>
      <c r="G87" s="253">
        <f>'19'!J31</f>
        <v>150000</v>
      </c>
      <c r="H87" s="253">
        <f>'19'!K31</f>
        <v>0</v>
      </c>
      <c r="I87" s="330">
        <f>'19'!L31</f>
        <v>0</v>
      </c>
      <c r="J87" s="330">
        <f>'19'!M31</f>
        <v>150000</v>
      </c>
      <c r="K87" s="433">
        <f>'19'!N31</f>
        <v>150000</v>
      </c>
      <c r="L87" s="254">
        <f t="shared" si="21"/>
        <v>100</v>
      </c>
    </row>
    <row r="88" spans="3:14" ht="15" customHeight="1">
      <c r="C88" s="271" t="s">
        <v>182</v>
      </c>
      <c r="D88" s="353" t="s">
        <v>584</v>
      </c>
      <c r="E88" s="258" t="s">
        <v>509</v>
      </c>
      <c r="F88" s="253">
        <f>'19'!I32</f>
        <v>100000</v>
      </c>
      <c r="G88" s="253">
        <f>'19'!J32</f>
        <v>100000</v>
      </c>
      <c r="H88" s="253">
        <f>'19'!K32</f>
        <v>0</v>
      </c>
      <c r="I88" s="330">
        <f>'19'!L32</f>
        <v>7050</v>
      </c>
      <c r="J88" s="330">
        <f>'19'!M32</f>
        <v>92950</v>
      </c>
      <c r="K88" s="433">
        <f>'19'!N32</f>
        <v>100000</v>
      </c>
      <c r="L88" s="254">
        <f t="shared" si="21"/>
        <v>100</v>
      </c>
    </row>
    <row r="89" spans="3:14" s="55" customFormat="1" ht="15" customHeight="1">
      <c r="C89" s="280">
        <v>614800</v>
      </c>
      <c r="D89" s="357"/>
      <c r="E89" s="264" t="s">
        <v>516</v>
      </c>
      <c r="F89" s="281">
        <f>SUM(F90:F91)</f>
        <v>130000</v>
      </c>
      <c r="G89" s="281">
        <f t="shared" ref="G89:K89" si="23">SUM(G90:G91)</f>
        <v>130000</v>
      </c>
      <c r="H89" s="281">
        <f t="shared" si="23"/>
        <v>42599</v>
      </c>
      <c r="I89" s="306">
        <f t="shared" si="23"/>
        <v>130000</v>
      </c>
      <c r="J89" s="306">
        <f t="shared" si="23"/>
        <v>0</v>
      </c>
      <c r="K89" s="418">
        <f t="shared" si="23"/>
        <v>130000</v>
      </c>
      <c r="L89" s="104">
        <f t="shared" si="21"/>
        <v>100</v>
      </c>
      <c r="N89" s="823"/>
    </row>
    <row r="90" spans="3:14" ht="15" customHeight="1">
      <c r="C90" s="271">
        <v>614800</v>
      </c>
      <c r="D90" s="353" t="s">
        <v>573</v>
      </c>
      <c r="E90" s="258" t="s">
        <v>510</v>
      </c>
      <c r="F90" s="253">
        <f>'16'!I34</f>
        <v>70000</v>
      </c>
      <c r="G90" s="253">
        <f>'16'!J34</f>
        <v>70000</v>
      </c>
      <c r="H90" s="253">
        <f>'16'!K34</f>
        <v>1127</v>
      </c>
      <c r="I90" s="330">
        <f>'16'!L34</f>
        <v>70000</v>
      </c>
      <c r="J90" s="330">
        <f>'16'!M34</f>
        <v>0</v>
      </c>
      <c r="K90" s="433">
        <f>'16'!N34</f>
        <v>70000</v>
      </c>
      <c r="L90" s="254">
        <f t="shared" si="21"/>
        <v>100</v>
      </c>
    </row>
    <row r="91" spans="3:14" ht="27" customHeight="1">
      <c r="C91" s="271">
        <v>614800</v>
      </c>
      <c r="D91" s="353" t="s">
        <v>574</v>
      </c>
      <c r="E91" s="263" t="s">
        <v>511</v>
      </c>
      <c r="F91" s="253">
        <f>'16'!I35</f>
        <v>60000</v>
      </c>
      <c r="G91" s="253">
        <f>'16'!J35</f>
        <v>60000</v>
      </c>
      <c r="H91" s="253">
        <f>'16'!K35</f>
        <v>41472</v>
      </c>
      <c r="I91" s="330">
        <f>'16'!L35</f>
        <v>60000</v>
      </c>
      <c r="J91" s="330">
        <f>'16'!M35</f>
        <v>0</v>
      </c>
      <c r="K91" s="433">
        <f>'16'!N35</f>
        <v>60000</v>
      </c>
      <c r="L91" s="254">
        <f t="shared" si="21"/>
        <v>100</v>
      </c>
    </row>
    <row r="92" spans="3:14" ht="13.5" customHeight="1">
      <c r="C92" s="273"/>
      <c r="D92" s="348"/>
      <c r="E92" s="8"/>
      <c r="F92" s="15"/>
      <c r="G92" s="15"/>
      <c r="H92" s="15"/>
      <c r="I92" s="318"/>
      <c r="J92" s="318"/>
      <c r="K92" s="419"/>
      <c r="L92" s="104" t="str">
        <f t="shared" si="21"/>
        <v/>
      </c>
    </row>
    <row r="93" spans="3:14" ht="15" customHeight="1">
      <c r="C93" s="446">
        <v>615000</v>
      </c>
      <c r="D93" s="447"/>
      <c r="E93" s="448" t="s">
        <v>88</v>
      </c>
      <c r="F93" s="444">
        <f>SUM(F94:F97)</f>
        <v>1050000</v>
      </c>
      <c r="G93" s="444">
        <f t="shared" ref="G93:K93" si="24">SUM(G94:G97)</f>
        <v>350000</v>
      </c>
      <c r="H93" s="444">
        <f t="shared" si="24"/>
        <v>0</v>
      </c>
      <c r="I93" s="444">
        <f t="shared" si="24"/>
        <v>250000</v>
      </c>
      <c r="J93" s="444">
        <f t="shared" si="24"/>
        <v>80000</v>
      </c>
      <c r="K93" s="419">
        <f t="shared" si="24"/>
        <v>330000</v>
      </c>
      <c r="L93" s="445">
        <f t="shared" si="21"/>
        <v>94.285714285714278</v>
      </c>
      <c r="N93" s="822"/>
    </row>
    <row r="94" spans="3:14" ht="15" customHeight="1">
      <c r="C94" s="274" t="s">
        <v>184</v>
      </c>
      <c r="D94" s="357"/>
      <c r="E94" s="44" t="s">
        <v>88</v>
      </c>
      <c r="F94" s="31">
        <f>'3'!I47</f>
        <v>300000</v>
      </c>
      <c r="G94" s="321">
        <f>'3'!J47</f>
        <v>100000</v>
      </c>
      <c r="H94" s="321">
        <f>'3'!K47</f>
        <v>0</v>
      </c>
      <c r="I94" s="321">
        <f>'3'!L47</f>
        <v>50000</v>
      </c>
      <c r="J94" s="321">
        <f>'3'!M47</f>
        <v>0</v>
      </c>
      <c r="K94" s="418">
        <f>'3'!N47</f>
        <v>50000</v>
      </c>
      <c r="L94" s="104">
        <f t="shared" si="21"/>
        <v>50</v>
      </c>
    </row>
    <row r="95" spans="3:14" s="314" customFormat="1" ht="15" customHeight="1">
      <c r="C95" s="678" t="s">
        <v>184</v>
      </c>
      <c r="D95" s="356" t="s">
        <v>855</v>
      </c>
      <c r="E95" s="679" t="s">
        <v>799</v>
      </c>
      <c r="F95" s="321">
        <f>'19'!I35</f>
        <v>150000</v>
      </c>
      <c r="G95" s="321">
        <f>'19'!J35</f>
        <v>150000</v>
      </c>
      <c r="H95" s="321">
        <f>'19'!K35</f>
        <v>0</v>
      </c>
      <c r="I95" s="321">
        <f>'19'!L35</f>
        <v>0</v>
      </c>
      <c r="J95" s="321">
        <f>'19'!M35</f>
        <v>30000</v>
      </c>
      <c r="K95" s="418">
        <f>'19'!N35</f>
        <v>30000</v>
      </c>
      <c r="L95" s="104">
        <f t="shared" ref="L95" si="25">IF(G95=0,"",K95/G95*100)</f>
        <v>20</v>
      </c>
      <c r="N95" s="820"/>
    </row>
    <row r="96" spans="3:14" s="314" customFormat="1" ht="15" customHeight="1">
      <c r="C96" s="678" t="s">
        <v>184</v>
      </c>
      <c r="D96" s="356" t="s">
        <v>856</v>
      </c>
      <c r="E96" s="679" t="s">
        <v>786</v>
      </c>
      <c r="F96" s="321">
        <f>'19'!I36</f>
        <v>100000</v>
      </c>
      <c r="G96" s="321">
        <f>'19'!J36</f>
        <v>100000</v>
      </c>
      <c r="H96" s="321">
        <f>'19'!K36</f>
        <v>0</v>
      </c>
      <c r="I96" s="321">
        <f>'19'!L36</f>
        <v>0</v>
      </c>
      <c r="J96" s="321">
        <f>'19'!M36</f>
        <v>50000</v>
      </c>
      <c r="K96" s="418">
        <f>'19'!N36</f>
        <v>50000</v>
      </c>
      <c r="L96" s="104">
        <f t="shared" si="21"/>
        <v>50</v>
      </c>
      <c r="N96" s="820"/>
    </row>
    <row r="97" spans="3:14" s="314" customFormat="1" ht="15" customHeight="1">
      <c r="C97" s="678" t="s">
        <v>731</v>
      </c>
      <c r="D97" s="356" t="s">
        <v>730</v>
      </c>
      <c r="E97" s="679" t="s">
        <v>785</v>
      </c>
      <c r="F97" s="321">
        <f>'15'!I34</f>
        <v>500000</v>
      </c>
      <c r="G97" s="321">
        <f>'15'!J34</f>
        <v>0</v>
      </c>
      <c r="H97" s="321">
        <f>'15'!K34</f>
        <v>0</v>
      </c>
      <c r="I97" s="321">
        <f>'15'!L34</f>
        <v>200000</v>
      </c>
      <c r="J97" s="321">
        <f>'15'!M34</f>
        <v>0</v>
      </c>
      <c r="K97" s="418">
        <f>'15'!N34</f>
        <v>200000</v>
      </c>
      <c r="L97" s="104" t="str">
        <f t="shared" si="21"/>
        <v/>
      </c>
      <c r="N97" s="820"/>
    </row>
    <row r="98" spans="3:14" ht="12.75" customHeight="1">
      <c r="C98" s="275"/>
      <c r="D98" s="358"/>
      <c r="E98" s="23"/>
      <c r="F98" s="31"/>
      <c r="G98" s="31"/>
      <c r="H98" s="31"/>
      <c r="I98" s="321"/>
      <c r="J98" s="321"/>
      <c r="K98" s="418"/>
      <c r="L98" s="104" t="str">
        <f t="shared" si="21"/>
        <v/>
      </c>
    </row>
    <row r="99" spans="3:14" ht="15" customHeight="1">
      <c r="C99" s="449" t="s">
        <v>101</v>
      </c>
      <c r="D99" s="450"/>
      <c r="E99" s="448" t="s">
        <v>179</v>
      </c>
      <c r="F99" s="444">
        <f>SUM(F100:F104)</f>
        <v>51750</v>
      </c>
      <c r="G99" s="444">
        <f t="shared" ref="G99:H99" si="26">SUM(G100:G104)</f>
        <v>51750</v>
      </c>
      <c r="H99" s="444">
        <f t="shared" si="26"/>
        <v>6263</v>
      </c>
      <c r="I99" s="444">
        <f>SUM(I100:I104)</f>
        <v>44710</v>
      </c>
      <c r="J99" s="444">
        <f>SUM(J100:J104)</f>
        <v>0</v>
      </c>
      <c r="K99" s="419">
        <f>SUM(K100:K104)</f>
        <v>44710</v>
      </c>
      <c r="L99" s="445">
        <f t="shared" si="21"/>
        <v>86.39613526570048</v>
      </c>
      <c r="N99" s="822"/>
    </row>
    <row r="100" spans="3:14" ht="15" customHeight="1">
      <c r="C100" s="267">
        <v>616300</v>
      </c>
      <c r="D100" s="349"/>
      <c r="E100" s="44" t="s">
        <v>167</v>
      </c>
      <c r="F100" s="31">
        <f>'20'!I43</f>
        <v>0</v>
      </c>
      <c r="G100" s="31">
        <f>'20'!J43</f>
        <v>0</v>
      </c>
      <c r="H100" s="31">
        <f>'20'!K43</f>
        <v>0</v>
      </c>
      <c r="I100" s="321">
        <f>'20'!L43</f>
        <v>0</v>
      </c>
      <c r="J100" s="321">
        <f>'20'!M43</f>
        <v>0</v>
      </c>
      <c r="K100" s="418">
        <f>'20'!N43</f>
        <v>0</v>
      </c>
      <c r="L100" s="104" t="str">
        <f t="shared" si="21"/>
        <v/>
      </c>
    </row>
    <row r="101" spans="3:14" s="314" customFormat="1" ht="15" customHeight="1">
      <c r="C101" s="267">
        <v>616200</v>
      </c>
      <c r="D101" s="349" t="s">
        <v>575</v>
      </c>
      <c r="E101" s="44" t="s">
        <v>925</v>
      </c>
      <c r="F101" s="321">
        <f>'16'!I38</f>
        <v>0</v>
      </c>
      <c r="G101" s="321">
        <f>'16'!J38</f>
        <v>0</v>
      </c>
      <c r="H101" s="321">
        <f>'16'!K38</f>
        <v>0</v>
      </c>
      <c r="I101" s="321">
        <f>'16'!L38</f>
        <v>19640</v>
      </c>
      <c r="J101" s="321">
        <f>'16'!M38</f>
        <v>0</v>
      </c>
      <c r="K101" s="418">
        <f>'16'!N38</f>
        <v>19640</v>
      </c>
      <c r="L101" s="104" t="str">
        <f t="shared" ref="L101:L102" si="27">IF(G101=0,"",K101/G101*100)</f>
        <v/>
      </c>
      <c r="N101" s="820"/>
    </row>
    <row r="102" spans="3:14" s="314" customFormat="1" ht="15" customHeight="1">
      <c r="C102" s="267">
        <v>616200</v>
      </c>
      <c r="D102" s="349" t="s">
        <v>576</v>
      </c>
      <c r="E102" s="44" t="s">
        <v>926</v>
      </c>
      <c r="F102" s="321">
        <f>'16'!I39</f>
        <v>0</v>
      </c>
      <c r="G102" s="321">
        <f>'16'!J39</f>
        <v>0</v>
      </c>
      <c r="H102" s="321">
        <f>'16'!K39</f>
        <v>0</v>
      </c>
      <c r="I102" s="321">
        <f>'16'!L39</f>
        <v>25070</v>
      </c>
      <c r="J102" s="321">
        <f>'16'!M39</f>
        <v>0</v>
      </c>
      <c r="K102" s="418">
        <f>'16'!N39</f>
        <v>25070</v>
      </c>
      <c r="L102" s="104" t="str">
        <f t="shared" si="27"/>
        <v/>
      </c>
      <c r="N102" s="820"/>
    </row>
    <row r="103" spans="3:14" ht="15" customHeight="1">
      <c r="C103" s="267">
        <v>616300</v>
      </c>
      <c r="D103" s="349" t="s">
        <v>575</v>
      </c>
      <c r="E103" s="44" t="s">
        <v>186</v>
      </c>
      <c r="F103" s="31">
        <f>'16'!I40</f>
        <v>24100</v>
      </c>
      <c r="G103" s="31">
        <f>'16'!J40</f>
        <v>24100</v>
      </c>
      <c r="H103" s="31">
        <f>'16'!K40</f>
        <v>0</v>
      </c>
      <c r="I103" s="321">
        <f>'16'!L40</f>
        <v>0</v>
      </c>
      <c r="J103" s="321">
        <f>'16'!M40</f>
        <v>0</v>
      </c>
      <c r="K103" s="418">
        <f>'16'!N40</f>
        <v>0</v>
      </c>
      <c r="L103" s="104">
        <f t="shared" si="21"/>
        <v>0</v>
      </c>
    </row>
    <row r="104" spans="3:14" ht="15" customHeight="1">
      <c r="C104" s="267">
        <v>616300</v>
      </c>
      <c r="D104" s="349" t="s">
        <v>576</v>
      </c>
      <c r="E104" s="44" t="s">
        <v>190</v>
      </c>
      <c r="F104" s="31">
        <f>'16'!I41</f>
        <v>27650</v>
      </c>
      <c r="G104" s="31">
        <f>'16'!J41</f>
        <v>27650</v>
      </c>
      <c r="H104" s="31">
        <f>'16'!K41</f>
        <v>6263</v>
      </c>
      <c r="I104" s="321">
        <f>'16'!L41</f>
        <v>0</v>
      </c>
      <c r="J104" s="321">
        <f>'16'!M41</f>
        <v>0</v>
      </c>
      <c r="K104" s="418">
        <f>'16'!N41</f>
        <v>0</v>
      </c>
      <c r="L104" s="104">
        <f t="shared" si="21"/>
        <v>0</v>
      </c>
    </row>
    <row r="105" spans="3:14" ht="12" customHeight="1">
      <c r="C105" s="267"/>
      <c r="D105" s="349"/>
      <c r="E105" s="44"/>
      <c r="F105" s="31"/>
      <c r="G105" s="31"/>
      <c r="H105" s="31"/>
      <c r="I105" s="321"/>
      <c r="J105" s="321"/>
      <c r="K105" s="418"/>
      <c r="L105" s="104" t="str">
        <f t="shared" si="21"/>
        <v/>
      </c>
    </row>
    <row r="106" spans="3:14" ht="15" customHeight="1">
      <c r="C106" s="441">
        <v>821000</v>
      </c>
      <c r="D106" s="442"/>
      <c r="E106" s="443" t="s">
        <v>89</v>
      </c>
      <c r="F106" s="444">
        <f t="shared" ref="F106:K106" si="28">SUM(F107:F112)</f>
        <v>1829000</v>
      </c>
      <c r="G106" s="444">
        <f t="shared" si="28"/>
        <v>1979393</v>
      </c>
      <c r="H106" s="444">
        <f t="shared" si="28"/>
        <v>126098</v>
      </c>
      <c r="I106" s="444">
        <f t="shared" si="28"/>
        <v>423917</v>
      </c>
      <c r="J106" s="444">
        <f t="shared" si="28"/>
        <v>1535393</v>
      </c>
      <c r="K106" s="419">
        <f t="shared" si="28"/>
        <v>1959310</v>
      </c>
      <c r="L106" s="445">
        <f t="shared" si="21"/>
        <v>98.985396027974232</v>
      </c>
      <c r="N106" s="822"/>
    </row>
    <row r="107" spans="3:14" ht="15" customHeight="1">
      <c r="C107" s="269">
        <v>821200</v>
      </c>
      <c r="D107" s="351"/>
      <c r="E107" s="14" t="s">
        <v>90</v>
      </c>
      <c r="F107" s="85">
        <f>'1'!I29+'3'!I50+'4 (S)'!I32+'4 (N)'!I32+'5'!I29+'6'!I29+'7'!I29+'8'!I29+'9'!I29+'10'!I31+'11'!I30+'12'!I29+'13'!I29+'14'!I29+'15'!I37+'16'!I44+'17'!I34+'18'!I34+'19'!I39+'20'!I46+'21'!I29+'22'!I29+'23'!I29+'24'!I29+'25'!I29+'26'!I29+'27'!I29+'28'!I29+'29'!I29+'30'!I29+'31'!I32+'32'!I29+'33'!I33+'34'!I29+'35'!I29+'36'!I29+'37'!I29</f>
        <v>245000</v>
      </c>
      <c r="G107" s="326">
        <f>'1'!J29+'3'!J50+'4 (S)'!J32+'4 (N)'!J32+'5'!J29+'6'!J29+'7'!J29+'8'!J29+'9'!J29+'10'!J31+'11'!J30+'12'!J29+'13'!J29+'14'!J29+'15'!J37+'16'!J44+'17'!J34+'18'!J34+'19'!J39+'20'!J46+'21'!J29+'22'!J29+'23'!J29+'24'!J29+'25'!J29+'26'!J29+'27'!J29+'28'!J29+'29'!J29+'30'!J29+'31'!J32+'32'!J29+'33'!J33+'34'!J29+'35'!J29+'36'!J29+'37'!J29</f>
        <v>377942</v>
      </c>
      <c r="H107" s="326">
        <f>'1'!K29+'3'!K50+'4 (S)'!K32+'4 (N)'!K32+'5'!K29+'6'!K29+'7'!K29+'8'!K29+'9'!K29+'10'!K31+'11'!K30+'12'!K29+'13'!K29+'14'!K29+'15'!K37+'16'!K44+'17'!K34+'18'!K34+'19'!K39+'20'!K46+'21'!K29+'22'!K29+'23'!K29+'24'!K29+'25'!K29+'26'!K29+'27'!K29+'28'!K29+'29'!K29+'30'!K29+'31'!K32+'32'!K29+'33'!K33+'34'!K29+'35'!K29+'36'!K29+'37'!K29</f>
        <v>103955</v>
      </c>
      <c r="I107" s="326">
        <f>'1'!L29+'3'!L50+'4 (S)'!L32+'4 (N)'!L32+'5'!L29+'6'!L29+'7'!L29+'8'!L29+'9'!L29+'10'!L31+'11'!L30+'12'!L29+'13'!L29+'14'!L29+'15'!L37+'16'!L44+'17'!L34+'18'!L34+'19'!L39+'20'!L46+'21'!L29+'22'!L29+'23'!L29+'24'!L29+'25'!L29+'26'!L29+'27'!L29+'28'!L29+'29'!L29+'30'!L29+'31'!L32+'32'!L29+'33'!L33+'34'!L29+'35'!L29+'36'!L29+'37'!L29</f>
        <v>189008</v>
      </c>
      <c r="J107" s="326">
        <f>'1'!M29+'3'!M50+'4 (S)'!M32+'4 (N)'!M32+'5'!M29+'6'!M29+'7'!M29+'8'!M29+'9'!M29+'10'!M31+'11'!M30+'12'!M29+'13'!M29+'14'!M29+'15'!M37+'16'!M44+'17'!M34+'18'!M34+'19'!M39+'20'!M46+'21'!M29+'22'!M29+'23'!M29+'24'!M29+'25'!M29+'26'!M29+'27'!M29+'28'!M29+'29'!M29+'30'!M29+'31'!M32+'32'!M29+'33'!M33+'34'!M29+'35'!M29+'36'!M29+'37'!M29</f>
        <v>332942</v>
      </c>
      <c r="K107" s="418">
        <f>'1'!N29+'3'!N50+'4 (S)'!N32+'4 (N)'!N32+'5'!N29+'6'!N29+'7'!N29+'8'!N29+'9'!N29+'10'!N31+'11'!N30+'12'!N29+'13'!N29+'14'!N29+'15'!N37+'16'!N44+'17'!N34+'18'!N34+'19'!N39+'20'!N46+'21'!N29+'22'!N29+'23'!N29+'24'!N29+'25'!N29+'26'!N29+'27'!N29+'28'!N29+'29'!N29+'30'!N29+'31'!N32+'32'!N29+'33'!N33+'34'!N29+'35'!N29+'36'!N29+'37'!N29</f>
        <v>521950</v>
      </c>
      <c r="L107" s="104">
        <f t="shared" si="21"/>
        <v>138.10320102026236</v>
      </c>
    </row>
    <row r="108" spans="3:14" ht="15" customHeight="1">
      <c r="C108" s="269">
        <v>821300</v>
      </c>
      <c r="D108" s="351"/>
      <c r="E108" s="14" t="s">
        <v>91</v>
      </c>
      <c r="F108" s="85">
        <f>'1'!I30+'3'!I51+'4 (S)'!I33+'4 (N)'!I33+'5'!I30+'6'!I30+'7'!I30+'8'!I30+'9'!I30+'10'!I32+'11'!I31+'12'!I30+'13'!I30+'14'!I30+'15'!I38+'16'!I45+'17'!I35+'18'!I35+'19'!I40+'20'!I47+'21'!I30+'22'!I30+'23'!I30+'24'!I30+'25'!I30+'26'!I30+'27'!I30+'28'!I30+'29'!I30+'30'!I30+'31'!I33+'32'!I30+'33'!I34+'34'!I30+'35'!I30+'36'!I30+'37'!I30</f>
        <v>314000</v>
      </c>
      <c r="G108" s="326">
        <f>'1'!J30+'3'!J51+'4 (S)'!J33+'4 (N)'!J33+'5'!J30+'6'!J30+'7'!J30+'8'!J30+'9'!J30+'10'!J32+'11'!J31+'12'!J30+'13'!J30+'14'!J30+'15'!J38+'16'!J45+'17'!J35+'18'!J35+'19'!J40+'20'!J47+'21'!J30+'22'!J30+'23'!J30+'24'!J30+'25'!J30+'26'!J30+'27'!J30+'28'!J30+'29'!J30+'30'!J30+'31'!J33+'32'!J30+'33'!J34+'34'!J30+'35'!J30+'36'!J30+'37'!J30</f>
        <v>331451</v>
      </c>
      <c r="H108" s="326">
        <f>'1'!K30+'3'!K51+'4 (S)'!K33+'4 (N)'!K33+'5'!K30+'6'!K30+'7'!K30+'8'!K30+'9'!K30+'10'!K32+'11'!K31+'12'!K30+'13'!K30+'14'!K30+'15'!K38+'16'!K45+'17'!K35+'18'!K35+'19'!K40+'20'!K47+'21'!K30+'22'!K30+'23'!K30+'24'!K30+'25'!K30+'26'!K30+'27'!K30+'28'!K30+'29'!K30+'30'!K30+'31'!K33+'32'!K30+'33'!K34+'34'!K30+'35'!K30+'36'!K30+'37'!K30</f>
        <v>22143</v>
      </c>
      <c r="I108" s="326">
        <f>'1'!L30+'3'!L51+'4 (S)'!L33+'4 (N)'!L33+'5'!L30+'6'!L30+'7'!L30+'8'!L30+'9'!L30+'10'!L32+'11'!L31+'12'!L30+'13'!L30+'14'!L30+'15'!L38+'16'!L45+'17'!L35+'18'!L35+'19'!L40+'20'!L47+'21'!L30+'22'!L30+'23'!L30+'24'!L30+'25'!L30+'26'!L30+'27'!L30+'28'!L30+'29'!L30+'30'!L30+'31'!L33+'32'!L30+'33'!L34+'34'!L30+'35'!L30+'36'!L30+'37'!L30</f>
        <v>234909</v>
      </c>
      <c r="J108" s="326">
        <f>'1'!M30+'3'!M51+'4 (S)'!M33+'4 (N)'!M33+'5'!M30+'6'!M30+'7'!M30+'8'!M30+'9'!M30+'10'!M32+'11'!M31+'12'!M30+'13'!M30+'14'!M30+'15'!M38+'16'!M45+'17'!M35+'18'!M35+'19'!M40+'20'!M47+'21'!M30+'22'!M30+'23'!M30+'24'!M30+'25'!M30+'26'!M30+'27'!M30+'28'!M30+'29'!M30+'30'!M30+'31'!M33+'32'!M30+'33'!M34+'34'!M30+'35'!M30+'36'!M30+'37'!M30</f>
        <v>52451</v>
      </c>
      <c r="K108" s="418">
        <f>'1'!N30+'3'!N51+'4 (S)'!N33+'4 (N)'!N33+'5'!N30+'6'!N30+'7'!N30+'8'!N30+'9'!N30+'10'!N32+'11'!N31+'12'!N30+'13'!N30+'14'!N30+'15'!N38+'16'!N45+'17'!N35+'18'!N35+'19'!N40+'20'!N47+'21'!N30+'22'!N30+'23'!N30+'24'!N30+'25'!N30+'26'!N30+'27'!N30+'28'!N30+'29'!N30+'30'!N30+'31'!N33+'32'!N30+'33'!N34+'34'!N30+'35'!N30+'36'!N30+'37'!N30</f>
        <v>287360</v>
      </c>
      <c r="L108" s="104">
        <f t="shared" si="21"/>
        <v>86.697581241269447</v>
      </c>
    </row>
    <row r="109" spans="3:14" ht="15" customHeight="1">
      <c r="C109" s="269">
        <v>821500</v>
      </c>
      <c r="D109" s="351"/>
      <c r="E109" s="183" t="s">
        <v>456</v>
      </c>
      <c r="F109" s="85">
        <f>'3'!I52</f>
        <v>20000</v>
      </c>
      <c r="G109" s="85">
        <f>'3'!J52</f>
        <v>20000</v>
      </c>
      <c r="H109" s="85">
        <f>'3'!K52</f>
        <v>0</v>
      </c>
      <c r="I109" s="326">
        <f>'3'!L52</f>
        <v>0</v>
      </c>
      <c r="J109" s="326">
        <f>'3'!M52</f>
        <v>0</v>
      </c>
      <c r="K109" s="418">
        <f>'3'!N52</f>
        <v>0</v>
      </c>
      <c r="L109" s="104">
        <f t="shared" si="21"/>
        <v>0</v>
      </c>
    </row>
    <row r="110" spans="3:14" s="314" customFormat="1" ht="15" customHeight="1">
      <c r="C110" s="269">
        <v>821500</v>
      </c>
      <c r="D110" s="351" t="s">
        <v>734</v>
      </c>
      <c r="E110" s="675" t="s">
        <v>733</v>
      </c>
      <c r="F110" s="326">
        <f>'18'!I36</f>
        <v>850000</v>
      </c>
      <c r="G110" s="326">
        <f>'18'!J36</f>
        <v>850000</v>
      </c>
      <c r="H110" s="326">
        <f>'18'!K36</f>
        <v>0</v>
      </c>
      <c r="I110" s="326">
        <f>'18'!L36</f>
        <v>0</v>
      </c>
      <c r="J110" s="326">
        <f>'18'!M36</f>
        <v>750000</v>
      </c>
      <c r="K110" s="418">
        <f>'18'!N36</f>
        <v>750000</v>
      </c>
      <c r="L110" s="104">
        <f t="shared" ref="L110" si="29">IF(G110=0,"",K110/G110*100)</f>
        <v>88.235294117647058</v>
      </c>
      <c r="N110" s="820"/>
    </row>
    <row r="111" spans="3:14" ht="15" customHeight="1">
      <c r="C111" s="269">
        <v>821600</v>
      </c>
      <c r="D111" s="351"/>
      <c r="E111" s="78" t="s">
        <v>102</v>
      </c>
      <c r="F111" s="85">
        <f>'18'!I37</f>
        <v>0</v>
      </c>
      <c r="G111" s="85">
        <f>'18'!J37</f>
        <v>0</v>
      </c>
      <c r="H111" s="85">
        <f>'18'!K37</f>
        <v>0</v>
      </c>
      <c r="I111" s="326">
        <f>'18'!L37</f>
        <v>0</v>
      </c>
      <c r="J111" s="326">
        <f>'18'!M37</f>
        <v>0</v>
      </c>
      <c r="K111" s="418">
        <f>'18'!N37</f>
        <v>0</v>
      </c>
      <c r="L111" s="104" t="str">
        <f t="shared" si="21"/>
        <v/>
      </c>
    </row>
    <row r="112" spans="3:14" s="314" customFormat="1" ht="15" customHeight="1">
      <c r="C112" s="269">
        <v>821600</v>
      </c>
      <c r="D112" s="351" t="s">
        <v>735</v>
      </c>
      <c r="E112" s="675" t="s">
        <v>732</v>
      </c>
      <c r="F112" s="326">
        <f>'18'!I38</f>
        <v>400000</v>
      </c>
      <c r="G112" s="326">
        <f>'18'!J38</f>
        <v>400000</v>
      </c>
      <c r="H112" s="326">
        <f>'18'!K38</f>
        <v>0</v>
      </c>
      <c r="I112" s="326">
        <f>'18'!L38</f>
        <v>0</v>
      </c>
      <c r="J112" s="326">
        <f>'18'!M38</f>
        <v>400000</v>
      </c>
      <c r="K112" s="418">
        <f>'18'!N38</f>
        <v>400000</v>
      </c>
      <c r="L112" s="104">
        <f t="shared" ref="L112" si="30">IF(G112=0,"",K112/G112*100)</f>
        <v>100</v>
      </c>
      <c r="N112" s="820"/>
    </row>
    <row r="113" spans="3:14" ht="11.25" customHeight="1">
      <c r="C113" s="267"/>
      <c r="D113" s="349"/>
      <c r="E113" s="11"/>
      <c r="F113" s="30"/>
      <c r="G113" s="30"/>
      <c r="H113" s="30"/>
      <c r="I113" s="309"/>
      <c r="J113" s="309"/>
      <c r="K113" s="418"/>
      <c r="L113" s="104" t="str">
        <f t="shared" si="21"/>
        <v/>
      </c>
    </row>
    <row r="114" spans="3:14" ht="15" customHeight="1">
      <c r="C114" s="441">
        <v>823000</v>
      </c>
      <c r="D114" s="442"/>
      <c r="E114" s="443" t="s">
        <v>180</v>
      </c>
      <c r="F114" s="444">
        <f>SUM(F115:F119)</f>
        <v>527820</v>
      </c>
      <c r="G114" s="444">
        <f t="shared" ref="G114:K114" si="31">SUM(G115:G119)</f>
        <v>527820</v>
      </c>
      <c r="H114" s="444">
        <f t="shared" si="31"/>
        <v>215141</v>
      </c>
      <c r="I114" s="444">
        <f t="shared" ref="I114:J114" si="32">SUM(I115:I119)</f>
        <v>518280</v>
      </c>
      <c r="J114" s="444">
        <f t="shared" si="32"/>
        <v>0</v>
      </c>
      <c r="K114" s="419">
        <f t="shared" si="31"/>
        <v>518280</v>
      </c>
      <c r="L114" s="445">
        <f t="shared" si="21"/>
        <v>98.192565647379794</v>
      </c>
      <c r="N114" s="822"/>
    </row>
    <row r="115" spans="3:14" ht="15" customHeight="1">
      <c r="C115" s="267">
        <v>823300</v>
      </c>
      <c r="D115" s="349"/>
      <c r="E115" s="20" t="s">
        <v>189</v>
      </c>
      <c r="F115" s="30">
        <f>'20'!I50</f>
        <v>0</v>
      </c>
      <c r="G115" s="30">
        <f>'20'!J50</f>
        <v>0</v>
      </c>
      <c r="H115" s="30">
        <f>'20'!K50</f>
        <v>0</v>
      </c>
      <c r="I115" s="309">
        <f>'20'!L50</f>
        <v>0</v>
      </c>
      <c r="J115" s="309">
        <f>'20'!M50</f>
        <v>0</v>
      </c>
      <c r="K115" s="418">
        <f>'20'!N50</f>
        <v>0</v>
      </c>
      <c r="L115" s="104" t="str">
        <f t="shared" si="21"/>
        <v/>
      </c>
    </row>
    <row r="116" spans="3:14" s="314" customFormat="1" ht="15" customHeight="1">
      <c r="C116" s="267">
        <v>823200</v>
      </c>
      <c r="D116" s="349" t="s">
        <v>575</v>
      </c>
      <c r="E116" s="386" t="s">
        <v>929</v>
      </c>
      <c r="F116" s="321">
        <f>'16'!I48</f>
        <v>0</v>
      </c>
      <c r="G116" s="321">
        <f>'16'!J48</f>
        <v>0</v>
      </c>
      <c r="H116" s="321">
        <f>'16'!K48</f>
        <v>0</v>
      </c>
      <c r="I116" s="321">
        <f>'16'!L48</f>
        <v>87990</v>
      </c>
      <c r="J116" s="321">
        <f>'16'!M48</f>
        <v>0</v>
      </c>
      <c r="K116" s="418">
        <f>'16'!N48</f>
        <v>87990</v>
      </c>
      <c r="L116" s="104" t="str">
        <f t="shared" ref="L116:L117" si="33">IF(G116=0,"",K116/G116*100)</f>
        <v/>
      </c>
      <c r="N116" s="820"/>
    </row>
    <row r="117" spans="3:14" s="314" customFormat="1" ht="15" customHeight="1">
      <c r="C117" s="267">
        <v>823200</v>
      </c>
      <c r="D117" s="349" t="s">
        <v>576</v>
      </c>
      <c r="E117" s="386" t="s">
        <v>930</v>
      </c>
      <c r="F117" s="321">
        <f>'16'!I49</f>
        <v>0</v>
      </c>
      <c r="G117" s="321">
        <f>'16'!J49</f>
        <v>0</v>
      </c>
      <c r="H117" s="321">
        <f>'16'!K49</f>
        <v>0</v>
      </c>
      <c r="I117" s="321">
        <f>'16'!L49</f>
        <v>430290</v>
      </c>
      <c r="J117" s="321">
        <f>'16'!M49</f>
        <v>0</v>
      </c>
      <c r="K117" s="418">
        <f>'16'!N49</f>
        <v>430290</v>
      </c>
      <c r="L117" s="104" t="str">
        <f t="shared" si="33"/>
        <v/>
      </c>
      <c r="N117" s="820"/>
    </row>
    <row r="118" spans="3:14" ht="15" customHeight="1">
      <c r="C118" s="267">
        <v>823300</v>
      </c>
      <c r="D118" s="349" t="s">
        <v>575</v>
      </c>
      <c r="E118" s="20" t="s">
        <v>523</v>
      </c>
      <c r="F118" s="31">
        <f>'16'!I50</f>
        <v>97530</v>
      </c>
      <c r="G118" s="31">
        <f>'16'!J50</f>
        <v>97530</v>
      </c>
      <c r="H118" s="31">
        <f>'16'!K50</f>
        <v>0</v>
      </c>
      <c r="I118" s="321">
        <f>'16'!L50</f>
        <v>0</v>
      </c>
      <c r="J118" s="321">
        <f>'16'!M50</f>
        <v>0</v>
      </c>
      <c r="K118" s="418">
        <f>'16'!N50</f>
        <v>0</v>
      </c>
      <c r="L118" s="104">
        <f t="shared" si="21"/>
        <v>0</v>
      </c>
    </row>
    <row r="119" spans="3:14" ht="15" customHeight="1">
      <c r="C119" s="267">
        <v>823300</v>
      </c>
      <c r="D119" s="349" t="s">
        <v>576</v>
      </c>
      <c r="E119" s="20" t="s">
        <v>522</v>
      </c>
      <c r="F119" s="31">
        <f>'16'!I51</f>
        <v>430290</v>
      </c>
      <c r="G119" s="31">
        <f>'16'!J51</f>
        <v>430290</v>
      </c>
      <c r="H119" s="31">
        <f>'16'!K51</f>
        <v>215141</v>
      </c>
      <c r="I119" s="321">
        <f>'16'!L51</f>
        <v>0</v>
      </c>
      <c r="J119" s="321">
        <f>'16'!M51</f>
        <v>0</v>
      </c>
      <c r="K119" s="418">
        <f>'16'!N51</f>
        <v>0</v>
      </c>
      <c r="L119" s="104">
        <f t="shared" si="21"/>
        <v>0</v>
      </c>
    </row>
    <row r="120" spans="3:14" ht="15" customHeight="1">
      <c r="C120" s="28"/>
      <c r="D120" s="359"/>
      <c r="E120" s="11"/>
      <c r="F120" s="30"/>
      <c r="G120" s="30"/>
      <c r="H120" s="30"/>
      <c r="I120" s="309"/>
      <c r="J120" s="309"/>
      <c r="K120" s="418"/>
      <c r="L120" s="104" t="str">
        <f t="shared" si="21"/>
        <v/>
      </c>
    </row>
    <row r="121" spans="3:14" ht="15" customHeight="1">
      <c r="C121" s="4"/>
      <c r="D121" s="347"/>
      <c r="E121" s="8" t="s">
        <v>92</v>
      </c>
      <c r="F121" s="327" t="s">
        <v>859</v>
      </c>
      <c r="G121" s="327" t="s">
        <v>859</v>
      </c>
      <c r="H121" s="327" t="s">
        <v>906</v>
      </c>
      <c r="I121" s="327" t="s">
        <v>934</v>
      </c>
      <c r="J121" s="327"/>
      <c r="K121" s="439" t="s">
        <v>934</v>
      </c>
      <c r="L121" s="104"/>
    </row>
    <row r="122" spans="3:14" ht="15" customHeight="1">
      <c r="C122" s="4"/>
      <c r="D122" s="347"/>
      <c r="E122" s="8" t="s">
        <v>110</v>
      </c>
      <c r="F122" s="15">
        <f>'1'!I33+'3'!I55+'4 (S)'!I36+'4 (N)'!I36+'5'!I33+'6'!I33+'7'!I33+'8'!I33+'9'!I33+'10'!I35+'11'!I34+'12'!I33+'13'!I33+'14'!I33+'15'!I41+'16'!I54+'17'!I38+'18'!I41+'19'!I43+'20'!I53+'21'!I33+'22'!I33+'23'!I33+'24'!I33+'25'!I33+'26'!I33+'27'!I33+'28'!I33+'29'!I33+'30'!I33+'31'!I36+'32'!I33+'33'!I37+'34'!I33+'35'!I33+'36'!I33+'37'!I33</f>
        <v>43396460</v>
      </c>
      <c r="G122" s="318">
        <f>'1'!J33+'3'!J55+'4 (S)'!J36+'4 (N)'!J36+'5'!J33+'6'!J33+'7'!J33+'8'!J33+'9'!J33+'10'!J35+'11'!J34+'12'!J33+'13'!J33+'14'!J33+'15'!J41+'16'!J54+'17'!J38+'18'!J41+'19'!J43+'20'!J53+'21'!J33+'22'!J33+'23'!J33+'24'!J33+'25'!J33+'26'!J33+'27'!J33+'28'!J33+'29'!J33+'30'!J33+'31'!J36+'32'!J33+'33'!J37+'34'!J33+'35'!J33+'36'!J33+'37'!J33</f>
        <v>43606853</v>
      </c>
      <c r="H122" s="318">
        <f>'1'!K33+'3'!K55+'4 (S)'!K36+'4 (N)'!K36+'5'!K33+'6'!K33+'7'!K33+'8'!K33+'9'!K33+'10'!K35+'11'!K34+'12'!K33+'13'!K33+'14'!K33+'15'!K41+'16'!K54+'17'!K38+'18'!K41+'19'!K43+'20'!K53+'21'!K33+'22'!K33+'23'!K33+'24'!K33+'25'!K33+'26'!K33+'27'!K33+'28'!K33+'29'!K33+'30'!K33+'31'!K36+'32'!K33+'33'!K37+'34'!K33+'35'!K33+'36'!K33+'37'!K33</f>
        <v>8305889</v>
      </c>
      <c r="I122" s="318">
        <f>'1'!L33+'3'!L55+'4 (S)'!L36+'4 (N)'!L36+'5'!L33+'6'!L33+'7'!L33+'8'!L33+'9'!L33+'10'!L35+'11'!L34+'12'!L33+'13'!L33+'14'!L33+'15'!L41+'16'!L54+'17'!L38+'18'!L41+'19'!L43+'20'!L53+'21'!L33+'22'!L33+'23'!L33+'24'!L33+'25'!L33+'26'!L33+'27'!L33+'28'!L33+'29'!L33+'30'!L33+'31'!L36+'32'!L33+'33'!L37+'34'!L33+'35'!L33+'36'!L33+'37'!L33</f>
        <v>39378647</v>
      </c>
      <c r="J122" s="318">
        <f>'1'!M33+'3'!M55+'4 (S)'!M36+'4 (N)'!M36+'5'!M33+'6'!M33+'7'!M33+'8'!M33+'9'!M33+'10'!M35+'11'!M34+'12'!M33+'13'!M33+'14'!M33+'15'!M41+'16'!M54+'17'!M38+'18'!M41+'19'!M43+'20'!M53+'21'!M33+'22'!M33+'23'!M33+'24'!M33+'25'!M33+'26'!M33+'27'!M33+'28'!M33+'29'!M33+'30'!M33+'31'!M36+'32'!M33+'33'!M37+'34'!M33+'35'!M33+'36'!M33+'37'!M33</f>
        <v>4201193</v>
      </c>
      <c r="K122" s="419">
        <f>'1'!N33+'3'!N55+'4 (S)'!N36+'4 (N)'!N36+'5'!N33+'6'!N33+'7'!N33+'8'!N33+'9'!N33+'10'!N35+'11'!N34+'12'!N33+'13'!N33+'14'!N33+'15'!N41+'16'!N54+'17'!N38+'18'!N41+'19'!N43+'20'!N53+'21'!N33+'22'!N33+'23'!N33+'24'!N33+'25'!N33+'26'!N33+'27'!N33+'28'!N33+'29'!N33+'30'!N33+'31'!N36+'32'!N33+'33'!N37+'34'!N33+'35'!N33+'36'!N33+'37'!N33</f>
        <v>43579840</v>
      </c>
      <c r="L122" s="294">
        <f t="shared" si="21"/>
        <v>99.938053314693448</v>
      </c>
    </row>
    <row r="123" spans="3:14" ht="15" customHeight="1" thickBot="1">
      <c r="C123" s="29"/>
      <c r="D123" s="360"/>
      <c r="E123" s="17"/>
      <c r="F123" s="27"/>
      <c r="G123" s="27"/>
      <c r="H123" s="27"/>
      <c r="I123" s="17"/>
      <c r="J123" s="17"/>
      <c r="K123" s="426"/>
      <c r="L123" s="98"/>
    </row>
    <row r="124" spans="3:14" ht="15" customHeight="1" thickBot="1">
      <c r="C124" s="53"/>
      <c r="D124" s="334"/>
      <c r="E124" s="54"/>
      <c r="F124" s="54"/>
      <c r="G124" s="54"/>
      <c r="H124" s="54"/>
      <c r="I124" s="54"/>
      <c r="J124" s="54"/>
      <c r="K124" s="54"/>
      <c r="L124" s="96"/>
    </row>
    <row r="125" spans="3:14" ht="7.5" customHeight="1"/>
    <row r="126" spans="3:14" ht="8.25" customHeight="1">
      <c r="C126" s="33"/>
      <c r="D126" s="322"/>
    </row>
    <row r="127" spans="3:14" ht="12" customHeight="1">
      <c r="C127" s="75" t="s">
        <v>192</v>
      </c>
      <c r="D127" s="324"/>
      <c r="K127" s="63"/>
    </row>
    <row r="128" spans="3:14" ht="6.75" customHeight="1">
      <c r="C128" s="76"/>
      <c r="D128" s="76"/>
      <c r="K128" s="63"/>
    </row>
    <row r="129" spans="3:12" ht="12" customHeight="1">
      <c r="C129" s="874" t="s">
        <v>193</v>
      </c>
      <c r="D129" s="874"/>
      <c r="E129" s="874"/>
      <c r="F129" s="34"/>
      <c r="G129" s="34"/>
      <c r="H129" s="34"/>
      <c r="I129" s="402"/>
      <c r="J129" s="402"/>
      <c r="K129" s="34"/>
      <c r="L129" s="97"/>
    </row>
    <row r="130" spans="3:12" ht="18" customHeight="1">
      <c r="C130" s="690" t="s">
        <v>879</v>
      </c>
      <c r="D130" s="690"/>
      <c r="E130" s="690"/>
      <c r="F130" s="690"/>
      <c r="G130" s="690"/>
      <c r="H130" s="691"/>
      <c r="I130" s="690"/>
      <c r="J130" s="690"/>
      <c r="K130" s="690"/>
      <c r="L130" s="692"/>
    </row>
    <row r="131" spans="3:12" ht="12" customHeight="1">
      <c r="C131" s="870" t="str">
        <f>CONCATENATE("     Rashodi i izdaci u Proračunu u iznosu od ",TEXT(K122,"#.##0")," KM raspoređuju se po korisnicima proračuna u Posebnom dijelu Proračuna kako slijedi:")</f>
        <v xml:space="preserve">     Rashodi i izdaci u Proračunu u iznosu od 43.579.840 KM raspoređuju se po korisnicima proračuna u Posebnom dijelu Proračuna kako slijedi:</v>
      </c>
      <c r="D131" s="870"/>
      <c r="E131" s="870"/>
      <c r="F131" s="870"/>
      <c r="G131" s="870"/>
      <c r="H131" s="870"/>
      <c r="I131" s="870"/>
      <c r="J131" s="870"/>
      <c r="K131" s="870"/>
      <c r="L131" s="870"/>
    </row>
  </sheetData>
  <mergeCells count="12">
    <mergeCell ref="C131:L131"/>
    <mergeCell ref="K3:L3"/>
    <mergeCell ref="C3:E3"/>
    <mergeCell ref="C129:E129"/>
    <mergeCell ref="I4:K4"/>
    <mergeCell ref="C4:C5"/>
    <mergeCell ref="D4:D5"/>
    <mergeCell ref="E4:E5"/>
    <mergeCell ref="F4:F5"/>
    <mergeCell ref="G4:G5"/>
    <mergeCell ref="H4:H5"/>
    <mergeCell ref="L4:L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87" firstPageNumber="7" orientation="landscape" r:id="rId1"/>
  <headerFooter alignWithMargins="0">
    <oddFooter>&amp;R&amp;P</oddFooter>
  </headerFooter>
  <rowBreaks count="2" manualBreakCount="2">
    <brk id="40" min="2" max="11" man="1"/>
    <brk id="102" min="2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S96"/>
  <sheetViews>
    <sheetView zoomScaleNormal="100" workbookViewId="0">
      <selection activeCell="H42" sqref="H42"/>
    </sheetView>
  </sheetViews>
  <sheetFormatPr defaultRowHeight="12.75"/>
  <cols>
    <col min="1" max="1" width="9.140625" style="314"/>
    <col min="2" max="2" width="4.7109375" style="9" customWidth="1"/>
    <col min="3" max="3" width="5.140625" style="9" customWidth="1"/>
    <col min="4" max="4" width="5" style="9" customWidth="1"/>
    <col min="5" max="5" width="5" style="314" customWidth="1"/>
    <col min="6" max="6" width="8.7109375" style="18" customWidth="1"/>
    <col min="7" max="7" width="8.7109375" style="319" customWidth="1"/>
    <col min="8" max="8" width="50.7109375" style="9" customWidth="1"/>
    <col min="9" max="11" width="14.7109375" style="9" customWidth="1"/>
    <col min="12" max="13" width="14.7109375" style="314" customWidth="1"/>
    <col min="14" max="14" width="15.7109375" style="9" customWidth="1"/>
    <col min="15" max="15" width="7.7109375" style="380" customWidth="1"/>
    <col min="16" max="16" width="9.140625" style="9"/>
    <col min="17" max="17" width="9.5703125" style="9" bestFit="1" customWidth="1"/>
    <col min="18" max="16384" width="9.140625" style="9"/>
  </cols>
  <sheetData>
    <row r="1" spans="1:19" ht="13.5" thickBot="1"/>
    <row r="2" spans="1:19" s="113" customFormat="1" ht="20.100000000000001" customHeight="1" thickTop="1" thickBot="1">
      <c r="A2" s="408"/>
      <c r="B2" s="887" t="s">
        <v>112</v>
      </c>
      <c r="C2" s="888"/>
      <c r="D2" s="888"/>
      <c r="E2" s="888"/>
      <c r="F2" s="888"/>
      <c r="G2" s="888"/>
      <c r="H2" s="888"/>
      <c r="I2" s="888"/>
      <c r="J2" s="888"/>
      <c r="K2" s="888"/>
      <c r="L2" s="888"/>
      <c r="M2" s="888"/>
      <c r="N2" s="888"/>
      <c r="O2" s="889"/>
    </row>
    <row r="3" spans="1:19" s="1" customFormat="1" ht="8.1" customHeight="1" thickTop="1" thickBot="1">
      <c r="A3" s="311"/>
      <c r="E3" s="311"/>
      <c r="F3" s="2"/>
      <c r="G3" s="312"/>
      <c r="H3" s="890"/>
      <c r="I3" s="890"/>
      <c r="J3" s="282"/>
      <c r="K3" s="282"/>
      <c r="L3" s="107"/>
      <c r="M3" s="107"/>
      <c r="N3" s="107"/>
      <c r="O3" s="374"/>
    </row>
    <row r="4" spans="1:19" s="1" customFormat="1" ht="39" customHeight="1">
      <c r="A4" s="311"/>
      <c r="B4" s="894" t="s">
        <v>77</v>
      </c>
      <c r="C4" s="896" t="s">
        <v>78</v>
      </c>
      <c r="D4" s="898" t="s">
        <v>107</v>
      </c>
      <c r="E4" s="898" t="s">
        <v>828</v>
      </c>
      <c r="F4" s="900" t="s">
        <v>517</v>
      </c>
      <c r="G4" s="899" t="s">
        <v>556</v>
      </c>
      <c r="H4" s="900" t="s">
        <v>79</v>
      </c>
      <c r="I4" s="902" t="s">
        <v>697</v>
      </c>
      <c r="J4" s="903" t="s">
        <v>862</v>
      </c>
      <c r="K4" s="904" t="s">
        <v>863</v>
      </c>
      <c r="L4" s="891" t="s">
        <v>865</v>
      </c>
      <c r="M4" s="892"/>
      <c r="N4" s="893"/>
      <c r="O4" s="906" t="s">
        <v>866</v>
      </c>
      <c r="Q4" s="81"/>
    </row>
    <row r="5" spans="1:19" s="311" customFormat="1" ht="27" customHeight="1">
      <c r="B5" s="895"/>
      <c r="C5" s="897"/>
      <c r="D5" s="897"/>
      <c r="E5" s="897"/>
      <c r="F5" s="901"/>
      <c r="G5" s="897"/>
      <c r="H5" s="901"/>
      <c r="I5" s="901"/>
      <c r="J5" s="901"/>
      <c r="K5" s="905"/>
      <c r="L5" s="577" t="s">
        <v>601</v>
      </c>
      <c r="M5" s="403" t="s">
        <v>602</v>
      </c>
      <c r="N5" s="720" t="s">
        <v>349</v>
      </c>
      <c r="O5" s="907"/>
    </row>
    <row r="6" spans="1:19" s="2" customFormat="1" ht="12.75" customHeight="1">
      <c r="A6" s="312"/>
      <c r="B6" s="525">
        <v>1</v>
      </c>
      <c r="C6" s="361">
        <v>2</v>
      </c>
      <c r="D6" s="361">
        <v>3</v>
      </c>
      <c r="E6" s="361">
        <v>4</v>
      </c>
      <c r="F6" s="361">
        <v>5</v>
      </c>
      <c r="G6" s="361">
        <v>6</v>
      </c>
      <c r="H6" s="361">
        <v>7</v>
      </c>
      <c r="I6" s="361">
        <v>8</v>
      </c>
      <c r="J6" s="361">
        <v>9</v>
      </c>
      <c r="K6" s="526">
        <v>10</v>
      </c>
      <c r="L6" s="525">
        <v>11</v>
      </c>
      <c r="M6" s="361">
        <v>12</v>
      </c>
      <c r="N6" s="721" t="s">
        <v>830</v>
      </c>
      <c r="O6" s="527">
        <v>14</v>
      </c>
    </row>
    <row r="7" spans="1:19" s="2" customFormat="1" ht="12.95" customHeight="1">
      <c r="A7" s="312"/>
      <c r="B7" s="6">
        <v>10</v>
      </c>
      <c r="C7" s="7" t="s">
        <v>80</v>
      </c>
      <c r="D7" s="7" t="s">
        <v>81</v>
      </c>
      <c r="E7" s="667" t="s">
        <v>829</v>
      </c>
      <c r="F7" s="5"/>
      <c r="G7" s="313"/>
      <c r="H7" s="5"/>
      <c r="I7" s="5"/>
      <c r="J7" s="5"/>
      <c r="K7" s="574"/>
      <c r="L7" s="4"/>
      <c r="M7" s="313"/>
      <c r="N7" s="722"/>
      <c r="O7" s="375"/>
    </row>
    <row r="8" spans="1:19" s="1" customFormat="1" ht="12.95" customHeight="1">
      <c r="A8" s="311"/>
      <c r="B8" s="12"/>
      <c r="C8" s="8"/>
      <c r="D8" s="8"/>
      <c r="E8" s="8"/>
      <c r="F8" s="335">
        <v>611000</v>
      </c>
      <c r="G8" s="361"/>
      <c r="H8" s="8" t="s">
        <v>146</v>
      </c>
      <c r="I8" s="389">
        <f t="shared" ref="I8:J8" si="0">SUM(I9:I11)</f>
        <v>586280</v>
      </c>
      <c r="J8" s="389">
        <f t="shared" si="0"/>
        <v>586280</v>
      </c>
      <c r="K8" s="556">
        <f>SUM(K9:K11)</f>
        <v>130836</v>
      </c>
      <c r="L8" s="573">
        <f t="shared" ref="L8" si="1">SUM(L9:L11)</f>
        <v>539150</v>
      </c>
      <c r="M8" s="236">
        <f>SUM(M9:M11)</f>
        <v>0</v>
      </c>
      <c r="N8" s="723">
        <f>SUM(N9:N11)</f>
        <v>539150</v>
      </c>
      <c r="O8" s="376">
        <f>IF(J8=0,"",N8/J8*100)</f>
        <v>91.96117895885925</v>
      </c>
      <c r="Q8" s="62"/>
    </row>
    <row r="9" spans="1:19" ht="12.95" customHeight="1">
      <c r="B9" s="10"/>
      <c r="C9" s="11"/>
      <c r="D9" s="11"/>
      <c r="E9" s="316"/>
      <c r="F9" s="336">
        <v>611100</v>
      </c>
      <c r="G9" s="362"/>
      <c r="H9" s="20" t="s">
        <v>174</v>
      </c>
      <c r="I9" s="392">
        <v>499700</v>
      </c>
      <c r="J9" s="392">
        <v>499700</v>
      </c>
      <c r="K9" s="557">
        <v>108558</v>
      </c>
      <c r="L9" s="572">
        <f>434180+4000+5*1140</f>
        <v>443880</v>
      </c>
      <c r="M9" s="235">
        <v>0</v>
      </c>
      <c r="N9" s="724">
        <f>SUM(L9:M9)</f>
        <v>443880</v>
      </c>
      <c r="O9" s="377">
        <f>IF(J9=0,"",N9/J9*100)</f>
        <v>88.829297578547127</v>
      </c>
      <c r="P9" s="55"/>
      <c r="Q9" s="62"/>
      <c r="R9" s="63"/>
      <c r="S9" s="63"/>
    </row>
    <row r="10" spans="1:19" ht="12.95" customHeight="1">
      <c r="B10" s="10"/>
      <c r="C10" s="11"/>
      <c r="D10" s="11"/>
      <c r="E10" s="316"/>
      <c r="F10" s="336">
        <v>611200</v>
      </c>
      <c r="G10" s="362"/>
      <c r="H10" s="20" t="s">
        <v>175</v>
      </c>
      <c r="I10" s="392">
        <v>86580</v>
      </c>
      <c r="J10" s="392">
        <v>86580</v>
      </c>
      <c r="K10" s="557">
        <v>22278</v>
      </c>
      <c r="L10" s="572">
        <f>92690+1000+1580</f>
        <v>95270</v>
      </c>
      <c r="M10" s="235">
        <v>0</v>
      </c>
      <c r="N10" s="724">
        <f t="shared" ref="N10:N11" si="2">SUM(L10:M10)</f>
        <v>95270</v>
      </c>
      <c r="O10" s="377">
        <f t="shared" ref="O10:O35" si="3">IF(J10=0,"",N10/J10*100)</f>
        <v>110.03696003696004</v>
      </c>
      <c r="Q10" s="62"/>
    </row>
    <row r="11" spans="1:19" ht="12.95" customHeight="1">
      <c r="B11" s="10"/>
      <c r="C11" s="11"/>
      <c r="D11" s="11"/>
      <c r="E11" s="316"/>
      <c r="F11" s="336">
        <v>611200</v>
      </c>
      <c r="G11" s="362"/>
      <c r="H11" s="210" t="s">
        <v>464</v>
      </c>
      <c r="I11" s="392">
        <f t="shared" ref="I11:L11" si="4">SUM(G11:H11)</f>
        <v>0</v>
      </c>
      <c r="J11" s="392">
        <f t="shared" si="4"/>
        <v>0</v>
      </c>
      <c r="K11" s="557">
        <v>0</v>
      </c>
      <c r="L11" s="572">
        <f t="shared" si="4"/>
        <v>0</v>
      </c>
      <c r="M11" s="235">
        <v>0</v>
      </c>
      <c r="N11" s="724">
        <f t="shared" si="2"/>
        <v>0</v>
      </c>
      <c r="O11" s="377" t="str">
        <f t="shared" si="3"/>
        <v/>
      </c>
      <c r="Q11" s="62"/>
    </row>
    <row r="12" spans="1:19" ht="8.1" customHeight="1">
      <c r="B12" s="10"/>
      <c r="C12" s="11"/>
      <c r="D12" s="11"/>
      <c r="E12" s="316"/>
      <c r="F12" s="336"/>
      <c r="G12" s="362"/>
      <c r="H12" s="210"/>
      <c r="I12" s="392"/>
      <c r="J12" s="392"/>
      <c r="K12" s="557"/>
      <c r="L12" s="572"/>
      <c r="M12" s="235"/>
      <c r="N12" s="724"/>
      <c r="O12" s="377" t="str">
        <f t="shared" si="3"/>
        <v/>
      </c>
      <c r="Q12" s="62"/>
    </row>
    <row r="13" spans="1:19" ht="12.95" customHeight="1">
      <c r="B13" s="12"/>
      <c r="C13" s="8"/>
      <c r="D13" s="8"/>
      <c r="E13" s="8"/>
      <c r="F13" s="335">
        <v>612000</v>
      </c>
      <c r="G13" s="361"/>
      <c r="H13" s="8" t="s">
        <v>145</v>
      </c>
      <c r="I13" s="389">
        <f t="shared" ref="I13:J13" si="5">I14+I15</f>
        <v>52970</v>
      </c>
      <c r="J13" s="389">
        <f t="shared" si="5"/>
        <v>52970</v>
      </c>
      <c r="K13" s="556">
        <f>K14</f>
        <v>11466</v>
      </c>
      <c r="L13" s="573">
        <f t="shared" ref="L13" si="6">L14+L15</f>
        <v>47420</v>
      </c>
      <c r="M13" s="236">
        <f>M14+M15</f>
        <v>0</v>
      </c>
      <c r="N13" s="723">
        <f>N14+N15</f>
        <v>47420</v>
      </c>
      <c r="O13" s="376">
        <f t="shared" si="3"/>
        <v>89.522371153483107</v>
      </c>
      <c r="Q13" s="62"/>
    </row>
    <row r="14" spans="1:19" s="1" customFormat="1" ht="12.95" customHeight="1">
      <c r="A14" s="311"/>
      <c r="B14" s="10"/>
      <c r="C14" s="11"/>
      <c r="D14" s="11"/>
      <c r="E14" s="316"/>
      <c r="F14" s="336">
        <v>612100</v>
      </c>
      <c r="G14" s="362"/>
      <c r="H14" s="13" t="s">
        <v>82</v>
      </c>
      <c r="I14" s="392">
        <v>52970</v>
      </c>
      <c r="J14" s="392">
        <v>52970</v>
      </c>
      <c r="K14" s="557">
        <v>11466</v>
      </c>
      <c r="L14" s="572">
        <f>45770+1000+5*130</f>
        <v>47420</v>
      </c>
      <c r="M14" s="235">
        <v>0</v>
      </c>
      <c r="N14" s="724">
        <f>SUM(L14:M14)</f>
        <v>47420</v>
      </c>
      <c r="O14" s="377">
        <f t="shared" si="3"/>
        <v>89.522371153483107</v>
      </c>
      <c r="Q14" s="62"/>
    </row>
    <row r="15" spans="1:19" ht="8.1" customHeight="1">
      <c r="B15" s="10"/>
      <c r="C15" s="11"/>
      <c r="D15" s="11"/>
      <c r="E15" s="316"/>
      <c r="F15" s="336"/>
      <c r="G15" s="362"/>
      <c r="H15" s="11"/>
      <c r="I15" s="392"/>
      <c r="J15" s="392"/>
      <c r="K15" s="557"/>
      <c r="L15" s="572"/>
      <c r="M15" s="309"/>
      <c r="N15" s="725"/>
      <c r="O15" s="377" t="str">
        <f t="shared" si="3"/>
        <v/>
      </c>
      <c r="Q15" s="62"/>
    </row>
    <row r="16" spans="1:19" ht="12.95" customHeight="1">
      <c r="B16" s="12"/>
      <c r="C16" s="8"/>
      <c r="D16" s="8"/>
      <c r="E16" s="8"/>
      <c r="F16" s="335">
        <v>613000</v>
      </c>
      <c r="G16" s="361"/>
      <c r="H16" s="8" t="s">
        <v>147</v>
      </c>
      <c r="I16" s="389">
        <f t="shared" ref="I16:J16" si="7">SUM(I17:I26)</f>
        <v>261720</v>
      </c>
      <c r="J16" s="389">
        <f t="shared" si="7"/>
        <v>261720</v>
      </c>
      <c r="K16" s="556">
        <f>SUM(K17:K26)</f>
        <v>54158</v>
      </c>
      <c r="L16" s="573">
        <f t="shared" ref="L16" si="8">SUM(L17:L26)</f>
        <v>248820</v>
      </c>
      <c r="M16" s="323">
        <f>SUM(M17:M26)</f>
        <v>0</v>
      </c>
      <c r="N16" s="726">
        <f>SUM(N17:N26)</f>
        <v>248820</v>
      </c>
      <c r="O16" s="376">
        <f t="shared" si="3"/>
        <v>95.071068317285651</v>
      </c>
      <c r="Q16" s="62"/>
    </row>
    <row r="17" spans="1:18" s="1" customFormat="1" ht="12.95" customHeight="1">
      <c r="A17" s="311"/>
      <c r="B17" s="10"/>
      <c r="C17" s="11"/>
      <c r="D17" s="11"/>
      <c r="E17" s="316"/>
      <c r="F17" s="336">
        <v>613100</v>
      </c>
      <c r="G17" s="362"/>
      <c r="H17" s="11" t="s">
        <v>83</v>
      </c>
      <c r="I17" s="392">
        <v>6500</v>
      </c>
      <c r="J17" s="392">
        <v>6500</v>
      </c>
      <c r="K17" s="557">
        <v>1327</v>
      </c>
      <c r="L17" s="572">
        <f>6500*80%</f>
        <v>5200</v>
      </c>
      <c r="M17" s="393">
        <v>0</v>
      </c>
      <c r="N17" s="724">
        <f t="shared" ref="N17:N26" si="9">SUM(L17:M17)</f>
        <v>5200</v>
      </c>
      <c r="O17" s="377">
        <f t="shared" si="3"/>
        <v>80</v>
      </c>
      <c r="Q17" s="62"/>
    </row>
    <row r="18" spans="1:18" ht="12.95" customHeight="1">
      <c r="B18" s="10"/>
      <c r="C18" s="11"/>
      <c r="D18" s="11"/>
      <c r="E18" s="316"/>
      <c r="F18" s="336">
        <v>613200</v>
      </c>
      <c r="G18" s="362"/>
      <c r="H18" s="11" t="s">
        <v>84</v>
      </c>
      <c r="I18" s="392">
        <v>12800</v>
      </c>
      <c r="J18" s="392">
        <v>12800</v>
      </c>
      <c r="K18" s="557">
        <v>910</v>
      </c>
      <c r="L18" s="572">
        <v>10800</v>
      </c>
      <c r="M18" s="393">
        <v>0</v>
      </c>
      <c r="N18" s="724">
        <f t="shared" si="9"/>
        <v>10800</v>
      </c>
      <c r="O18" s="377">
        <f t="shared" si="3"/>
        <v>84.375</v>
      </c>
      <c r="Q18" s="62"/>
    </row>
    <row r="19" spans="1:18" ht="12.95" customHeight="1">
      <c r="B19" s="10"/>
      <c r="C19" s="11"/>
      <c r="D19" s="11"/>
      <c r="E19" s="316"/>
      <c r="F19" s="336">
        <v>613300</v>
      </c>
      <c r="G19" s="362"/>
      <c r="H19" s="20" t="s">
        <v>176</v>
      </c>
      <c r="I19" s="392">
        <v>8600</v>
      </c>
      <c r="J19" s="392">
        <v>8600</v>
      </c>
      <c r="K19" s="557">
        <v>1810</v>
      </c>
      <c r="L19" s="572">
        <v>7000</v>
      </c>
      <c r="M19" s="393">
        <v>0</v>
      </c>
      <c r="N19" s="724">
        <f t="shared" si="9"/>
        <v>7000</v>
      </c>
      <c r="O19" s="377">
        <f t="shared" si="3"/>
        <v>81.395348837209298</v>
      </c>
      <c r="Q19" s="62"/>
    </row>
    <row r="20" spans="1:18" ht="12.95" customHeight="1">
      <c r="B20" s="10"/>
      <c r="C20" s="11"/>
      <c r="D20" s="11"/>
      <c r="E20" s="316"/>
      <c r="F20" s="336">
        <v>613400</v>
      </c>
      <c r="G20" s="362"/>
      <c r="H20" s="20" t="s">
        <v>148</v>
      </c>
      <c r="I20" s="392">
        <v>5500</v>
      </c>
      <c r="J20" s="392">
        <v>5500</v>
      </c>
      <c r="K20" s="557">
        <v>379</v>
      </c>
      <c r="L20" s="572">
        <v>5000</v>
      </c>
      <c r="M20" s="396">
        <v>0</v>
      </c>
      <c r="N20" s="724">
        <f t="shared" si="9"/>
        <v>5000</v>
      </c>
      <c r="O20" s="377">
        <f t="shared" si="3"/>
        <v>90.909090909090907</v>
      </c>
      <c r="Q20" s="62"/>
    </row>
    <row r="21" spans="1:18" ht="12.95" customHeight="1">
      <c r="B21" s="10"/>
      <c r="C21" s="11"/>
      <c r="D21" s="11"/>
      <c r="E21" s="316"/>
      <c r="F21" s="336">
        <v>613500</v>
      </c>
      <c r="G21" s="362"/>
      <c r="H21" s="11" t="s">
        <v>85</v>
      </c>
      <c r="I21" s="392">
        <v>10000</v>
      </c>
      <c r="J21" s="392">
        <v>10000</v>
      </c>
      <c r="K21" s="557">
        <v>1195</v>
      </c>
      <c r="L21" s="572">
        <v>8500</v>
      </c>
      <c r="M21" s="396">
        <v>0</v>
      </c>
      <c r="N21" s="724">
        <f t="shared" si="9"/>
        <v>8500</v>
      </c>
      <c r="O21" s="377">
        <f t="shared" si="3"/>
        <v>85</v>
      </c>
      <c r="Q21" s="62"/>
    </row>
    <row r="22" spans="1:18" ht="12.95" customHeight="1">
      <c r="B22" s="10"/>
      <c r="C22" s="11"/>
      <c r="D22" s="11"/>
      <c r="E22" s="316"/>
      <c r="F22" s="336">
        <v>613600</v>
      </c>
      <c r="G22" s="362"/>
      <c r="H22" s="20" t="s">
        <v>177</v>
      </c>
      <c r="I22" s="392">
        <v>0</v>
      </c>
      <c r="J22" s="392">
        <v>0</v>
      </c>
      <c r="K22" s="557">
        <v>0</v>
      </c>
      <c r="L22" s="572">
        <v>0</v>
      </c>
      <c r="M22" s="393">
        <v>0</v>
      </c>
      <c r="N22" s="724">
        <f t="shared" si="9"/>
        <v>0</v>
      </c>
      <c r="O22" s="377" t="str">
        <f t="shared" si="3"/>
        <v/>
      </c>
      <c r="Q22" s="62"/>
    </row>
    <row r="23" spans="1:18" ht="12.95" customHeight="1">
      <c r="B23" s="10"/>
      <c r="C23" s="11"/>
      <c r="D23" s="11"/>
      <c r="E23" s="316"/>
      <c r="F23" s="336">
        <v>613700</v>
      </c>
      <c r="G23" s="362"/>
      <c r="H23" s="11" t="s">
        <v>86</v>
      </c>
      <c r="I23" s="392">
        <v>6000</v>
      </c>
      <c r="J23" s="392">
        <v>6000</v>
      </c>
      <c r="K23" s="557">
        <v>971</v>
      </c>
      <c r="L23" s="572">
        <v>5000</v>
      </c>
      <c r="M23" s="393">
        <v>0</v>
      </c>
      <c r="N23" s="724">
        <f t="shared" si="9"/>
        <v>5000</v>
      </c>
      <c r="O23" s="377">
        <f t="shared" si="3"/>
        <v>83.333333333333343</v>
      </c>
      <c r="Q23" s="62"/>
    </row>
    <row r="24" spans="1:18" ht="12.95" customHeight="1">
      <c r="B24" s="10"/>
      <c r="C24" s="11"/>
      <c r="D24" s="11"/>
      <c r="E24" s="316"/>
      <c r="F24" s="336">
        <v>613800</v>
      </c>
      <c r="G24" s="362"/>
      <c r="H24" s="20" t="s">
        <v>149</v>
      </c>
      <c r="I24" s="392">
        <v>2320</v>
      </c>
      <c r="J24" s="392">
        <v>2320</v>
      </c>
      <c r="K24" s="557">
        <v>0</v>
      </c>
      <c r="L24" s="572">
        <v>2320</v>
      </c>
      <c r="M24" s="393">
        <v>0</v>
      </c>
      <c r="N24" s="724">
        <f t="shared" si="9"/>
        <v>2320</v>
      </c>
      <c r="O24" s="377">
        <f t="shared" si="3"/>
        <v>100</v>
      </c>
      <c r="Q24" s="62"/>
    </row>
    <row r="25" spans="1:18" ht="12.95" customHeight="1">
      <c r="B25" s="10"/>
      <c r="C25" s="11"/>
      <c r="D25" s="11"/>
      <c r="E25" s="316"/>
      <c r="F25" s="336">
        <v>613900</v>
      </c>
      <c r="G25" s="362"/>
      <c r="H25" s="20" t="s">
        <v>150</v>
      </c>
      <c r="I25" s="392">
        <v>210000</v>
      </c>
      <c r="J25" s="392">
        <v>210000</v>
      </c>
      <c r="K25" s="557">
        <v>47566</v>
      </c>
      <c r="L25" s="572">
        <v>205000</v>
      </c>
      <c r="M25" s="396">
        <v>0</v>
      </c>
      <c r="N25" s="724">
        <f t="shared" si="9"/>
        <v>205000</v>
      </c>
      <c r="O25" s="377">
        <f t="shared" si="3"/>
        <v>97.61904761904762</v>
      </c>
      <c r="P25" s="77"/>
      <c r="Q25" s="62"/>
    </row>
    <row r="26" spans="1:18" ht="12.95" customHeight="1">
      <c r="B26" s="10"/>
      <c r="C26" s="11"/>
      <c r="D26" s="11"/>
      <c r="E26" s="316"/>
      <c r="F26" s="336">
        <v>613900</v>
      </c>
      <c r="G26" s="362"/>
      <c r="H26" s="210" t="s">
        <v>465</v>
      </c>
      <c r="I26" s="392">
        <f t="shared" ref="I26:L26" si="10">SUM(G26:H26)</f>
        <v>0</v>
      </c>
      <c r="J26" s="392">
        <f t="shared" si="10"/>
        <v>0</v>
      </c>
      <c r="K26" s="557">
        <v>0</v>
      </c>
      <c r="L26" s="572">
        <f t="shared" si="10"/>
        <v>0</v>
      </c>
      <c r="M26" s="393">
        <v>0</v>
      </c>
      <c r="N26" s="724">
        <f t="shared" si="9"/>
        <v>0</v>
      </c>
      <c r="O26" s="377" t="str">
        <f t="shared" si="3"/>
        <v/>
      </c>
      <c r="Q26" s="62"/>
      <c r="R26" s="55"/>
    </row>
    <row r="27" spans="1:18" ht="8.1" customHeight="1">
      <c r="B27" s="10"/>
      <c r="C27" s="11"/>
      <c r="D27" s="11"/>
      <c r="E27" s="316"/>
      <c r="F27" s="336"/>
      <c r="G27" s="362"/>
      <c r="H27" s="11"/>
      <c r="I27" s="392"/>
      <c r="J27" s="392"/>
      <c r="K27" s="557"/>
      <c r="L27" s="572"/>
      <c r="M27" s="309"/>
      <c r="N27" s="725"/>
      <c r="O27" s="377" t="str">
        <f t="shared" si="3"/>
        <v/>
      </c>
      <c r="Q27" s="62"/>
    </row>
    <row r="28" spans="1:18" ht="12.95" customHeight="1">
      <c r="B28" s="12"/>
      <c r="C28" s="8"/>
      <c r="D28" s="8"/>
      <c r="E28" s="8"/>
      <c r="F28" s="335">
        <v>821000</v>
      </c>
      <c r="G28" s="361"/>
      <c r="H28" s="8" t="s">
        <v>89</v>
      </c>
      <c r="I28" s="389">
        <f t="shared" ref="I28:J28" si="11">SUM(I29:I30)</f>
        <v>13000</v>
      </c>
      <c r="J28" s="389">
        <f t="shared" si="11"/>
        <v>13000</v>
      </c>
      <c r="K28" s="556">
        <f>SUM(K29:K30)</f>
        <v>0</v>
      </c>
      <c r="L28" s="573">
        <f t="shared" ref="L28" si="12">SUM(L29:L30)</f>
        <v>3000</v>
      </c>
      <c r="M28" s="318">
        <f>SUM(M29:M30)</f>
        <v>0</v>
      </c>
      <c r="N28" s="726">
        <f>SUM(N29:N30)</f>
        <v>3000</v>
      </c>
      <c r="O28" s="376">
        <f t="shared" si="3"/>
        <v>23.076923076923077</v>
      </c>
      <c r="Q28" s="62"/>
    </row>
    <row r="29" spans="1:18" s="1" customFormat="1" ht="12.95" customHeight="1">
      <c r="A29" s="311"/>
      <c r="B29" s="10"/>
      <c r="C29" s="11"/>
      <c r="D29" s="11"/>
      <c r="E29" s="316"/>
      <c r="F29" s="336">
        <v>821200</v>
      </c>
      <c r="G29" s="362"/>
      <c r="H29" s="11" t="s">
        <v>90</v>
      </c>
      <c r="I29" s="392">
        <v>10000</v>
      </c>
      <c r="J29" s="392">
        <v>10000</v>
      </c>
      <c r="K29" s="557">
        <v>0</v>
      </c>
      <c r="L29" s="572">
        <v>1000</v>
      </c>
      <c r="M29" s="310">
        <v>0</v>
      </c>
      <c r="N29" s="724">
        <f t="shared" ref="N29:N30" si="13">SUM(L29:M29)</f>
        <v>1000</v>
      </c>
      <c r="O29" s="377">
        <f t="shared" si="3"/>
        <v>10</v>
      </c>
      <c r="Q29" s="62"/>
    </row>
    <row r="30" spans="1:18" ht="12.95" customHeight="1">
      <c r="B30" s="10"/>
      <c r="C30" s="11"/>
      <c r="D30" s="11"/>
      <c r="E30" s="316"/>
      <c r="F30" s="336">
        <v>821300</v>
      </c>
      <c r="G30" s="362"/>
      <c r="H30" s="11" t="s">
        <v>91</v>
      </c>
      <c r="I30" s="392">
        <v>3000</v>
      </c>
      <c r="J30" s="392">
        <v>3000</v>
      </c>
      <c r="K30" s="557">
        <v>0</v>
      </c>
      <c r="L30" s="572">
        <v>2000</v>
      </c>
      <c r="M30" s="310">
        <v>0</v>
      </c>
      <c r="N30" s="724">
        <f t="shared" si="13"/>
        <v>2000</v>
      </c>
      <c r="O30" s="377">
        <f t="shared" si="3"/>
        <v>66.666666666666657</v>
      </c>
      <c r="P30" s="55"/>
      <c r="Q30" s="62"/>
    </row>
    <row r="31" spans="1:18" ht="8.1" customHeight="1">
      <c r="B31" s="10"/>
      <c r="C31" s="11"/>
      <c r="D31" s="11"/>
      <c r="E31" s="316"/>
      <c r="F31" s="336"/>
      <c r="G31" s="362"/>
      <c r="H31" s="11"/>
      <c r="I31" s="392"/>
      <c r="J31" s="392"/>
      <c r="K31" s="557"/>
      <c r="L31" s="572"/>
      <c r="M31" s="309"/>
      <c r="N31" s="725"/>
      <c r="O31" s="377" t="str">
        <f t="shared" si="3"/>
        <v/>
      </c>
      <c r="Q31" s="62"/>
    </row>
    <row r="32" spans="1:18" ht="12.95" customHeight="1">
      <c r="B32" s="12"/>
      <c r="C32" s="8"/>
      <c r="D32" s="8"/>
      <c r="E32" s="8"/>
      <c r="F32" s="335"/>
      <c r="G32" s="361"/>
      <c r="H32" s="8" t="s">
        <v>92</v>
      </c>
      <c r="I32" s="555" t="s">
        <v>794</v>
      </c>
      <c r="J32" s="555" t="s">
        <v>794</v>
      </c>
      <c r="K32" s="558">
        <v>21</v>
      </c>
      <c r="L32" s="806" t="s">
        <v>922</v>
      </c>
      <c r="M32" s="327"/>
      <c r="N32" s="727" t="s">
        <v>922</v>
      </c>
      <c r="O32" s="377"/>
      <c r="Q32" s="62"/>
    </row>
    <row r="33" spans="1:17" s="1" customFormat="1" ht="12.95" customHeight="1">
      <c r="A33" s="311"/>
      <c r="B33" s="12"/>
      <c r="C33" s="8"/>
      <c r="D33" s="8"/>
      <c r="E33" s="8"/>
      <c r="F33" s="335"/>
      <c r="G33" s="361"/>
      <c r="H33" s="8" t="s">
        <v>110</v>
      </c>
      <c r="I33" s="15">
        <f t="shared" ref="I33:N33" si="14">I8+I13+I16+I28</f>
        <v>913970</v>
      </c>
      <c r="J33" s="15">
        <f t="shared" si="14"/>
        <v>913970</v>
      </c>
      <c r="K33" s="575">
        <f t="shared" si="14"/>
        <v>196460</v>
      </c>
      <c r="L33" s="582">
        <f t="shared" si="14"/>
        <v>838390</v>
      </c>
      <c r="M33" s="318">
        <f t="shared" si="14"/>
        <v>0</v>
      </c>
      <c r="N33" s="726">
        <f t="shared" si="14"/>
        <v>838390</v>
      </c>
      <c r="O33" s="376">
        <f t="shared" si="3"/>
        <v>91.730581966585333</v>
      </c>
      <c r="Q33" s="62"/>
    </row>
    <row r="34" spans="1:17" s="1" customFormat="1" ht="12.95" customHeight="1">
      <c r="A34" s="311"/>
      <c r="B34" s="12"/>
      <c r="C34" s="8"/>
      <c r="D34" s="8"/>
      <c r="E34" s="8"/>
      <c r="F34" s="335"/>
      <c r="G34" s="361"/>
      <c r="H34" s="8" t="s">
        <v>93</v>
      </c>
      <c r="I34" s="15">
        <f>I33</f>
        <v>913970</v>
      </c>
      <c r="J34" s="318">
        <f t="shared" ref="J34:L35" si="15">J33</f>
        <v>913970</v>
      </c>
      <c r="K34" s="575">
        <f t="shared" si="15"/>
        <v>196460</v>
      </c>
      <c r="L34" s="582">
        <f t="shared" si="15"/>
        <v>838390</v>
      </c>
      <c r="M34" s="318">
        <f>M33</f>
        <v>0</v>
      </c>
      <c r="N34" s="726">
        <f>N33</f>
        <v>838390</v>
      </c>
      <c r="O34" s="377">
        <f>IF(J34=0,"",N34/J34*100)</f>
        <v>91.730581966585333</v>
      </c>
    </row>
    <row r="35" spans="1:17" s="1" customFormat="1" ht="12.95" customHeight="1">
      <c r="A35" s="311"/>
      <c r="B35" s="12"/>
      <c r="C35" s="8"/>
      <c r="D35" s="8"/>
      <c r="E35" s="8"/>
      <c r="F35" s="335"/>
      <c r="G35" s="361"/>
      <c r="H35" s="8" t="s">
        <v>94</v>
      </c>
      <c r="I35" s="15">
        <f>I34</f>
        <v>913970</v>
      </c>
      <c r="J35" s="318">
        <f t="shared" si="15"/>
        <v>913970</v>
      </c>
      <c r="K35" s="575">
        <f t="shared" si="15"/>
        <v>196460</v>
      </c>
      <c r="L35" s="582">
        <f t="shared" si="15"/>
        <v>838390</v>
      </c>
      <c r="M35" s="318">
        <f>M34</f>
        <v>0</v>
      </c>
      <c r="N35" s="726">
        <f>N34</f>
        <v>838390</v>
      </c>
      <c r="O35" s="377">
        <f t="shared" si="3"/>
        <v>91.730581966585333</v>
      </c>
    </row>
    <row r="36" spans="1:17" s="1" customFormat="1" ht="8.1" customHeight="1" thickBot="1">
      <c r="A36" s="311"/>
      <c r="B36" s="16"/>
      <c r="C36" s="17"/>
      <c r="D36" s="17"/>
      <c r="E36" s="17"/>
      <c r="F36" s="337"/>
      <c r="G36" s="363"/>
      <c r="H36" s="17"/>
      <c r="I36" s="32"/>
      <c r="J36" s="32"/>
      <c r="K36" s="576"/>
      <c r="L36" s="585"/>
      <c r="M36" s="32"/>
      <c r="N36" s="728"/>
      <c r="O36" s="379"/>
    </row>
    <row r="37" spans="1:17" ht="12.95" customHeight="1">
      <c r="F37" s="338"/>
      <c r="G37" s="364"/>
      <c r="N37" s="423"/>
    </row>
    <row r="38" spans="1:17" ht="12.95" customHeight="1">
      <c r="B38" s="55"/>
      <c r="F38" s="338"/>
      <c r="G38" s="364"/>
      <c r="N38" s="423"/>
    </row>
    <row r="39" spans="1:17" ht="12.95" customHeight="1">
      <c r="F39" s="338"/>
      <c r="G39" s="364"/>
      <c r="N39" s="423"/>
    </row>
    <row r="40" spans="1:17" ht="12.95" customHeight="1">
      <c r="F40" s="338"/>
      <c r="G40" s="364"/>
      <c r="N40" s="423"/>
    </row>
    <row r="41" spans="1:17" ht="12.95" customHeight="1">
      <c r="F41" s="338"/>
      <c r="G41" s="364"/>
      <c r="N41" s="423"/>
    </row>
    <row r="42" spans="1:17" ht="12.95" customHeight="1">
      <c r="F42" s="338"/>
      <c r="G42" s="364"/>
      <c r="N42" s="423"/>
    </row>
    <row r="43" spans="1:17" ht="12.95" customHeight="1">
      <c r="F43" s="338"/>
      <c r="G43" s="364"/>
      <c r="N43" s="423"/>
    </row>
    <row r="44" spans="1:17" ht="12.95" customHeight="1">
      <c r="F44" s="338"/>
      <c r="G44" s="364"/>
      <c r="N44" s="423"/>
    </row>
    <row r="45" spans="1:17" ht="12.95" customHeight="1">
      <c r="F45" s="338"/>
      <c r="G45" s="364"/>
      <c r="N45" s="423"/>
    </row>
    <row r="46" spans="1:17" ht="12.95" customHeight="1">
      <c r="F46" s="338"/>
      <c r="G46" s="364"/>
      <c r="N46" s="423"/>
    </row>
    <row r="47" spans="1:17" ht="12.95" customHeight="1">
      <c r="F47" s="338"/>
      <c r="G47" s="364"/>
      <c r="N47" s="423"/>
    </row>
    <row r="48" spans="1:17" ht="12.95" customHeight="1">
      <c r="F48" s="338"/>
      <c r="G48" s="364"/>
      <c r="N48" s="423"/>
    </row>
    <row r="49" spans="6:14" ht="12.95" customHeight="1">
      <c r="F49" s="338"/>
      <c r="G49" s="364"/>
      <c r="N49" s="423"/>
    </row>
    <row r="50" spans="6:14" ht="12.95" customHeight="1">
      <c r="F50" s="338"/>
      <c r="G50" s="364"/>
      <c r="N50" s="423"/>
    </row>
    <row r="51" spans="6:14" ht="12.95" customHeight="1">
      <c r="F51" s="338"/>
      <c r="G51" s="364"/>
      <c r="N51" s="423"/>
    </row>
    <row r="52" spans="6:14" ht="12.95" customHeight="1">
      <c r="F52" s="338"/>
      <c r="G52" s="364"/>
      <c r="N52" s="423"/>
    </row>
    <row r="53" spans="6:14" ht="12.95" customHeight="1">
      <c r="F53" s="338"/>
      <c r="G53" s="364"/>
      <c r="N53" s="423"/>
    </row>
    <row r="54" spans="6:14" ht="12.95" customHeight="1">
      <c r="F54" s="338"/>
      <c r="G54" s="364"/>
      <c r="N54" s="423"/>
    </row>
    <row r="55" spans="6:14" ht="12.95" customHeight="1">
      <c r="F55" s="338"/>
      <c r="G55" s="364"/>
      <c r="N55" s="423"/>
    </row>
    <row r="56" spans="6:14" ht="12.95" customHeight="1">
      <c r="F56" s="338"/>
      <c r="G56" s="364"/>
      <c r="N56" s="423"/>
    </row>
    <row r="57" spans="6:14" ht="12.95" customHeight="1">
      <c r="F57" s="338"/>
      <c r="G57" s="364"/>
      <c r="N57" s="423"/>
    </row>
    <row r="58" spans="6:14" ht="12.95" customHeight="1">
      <c r="F58" s="338"/>
      <c r="G58" s="364"/>
      <c r="N58" s="423"/>
    </row>
    <row r="59" spans="6:14" ht="12.95" customHeight="1">
      <c r="F59" s="338"/>
      <c r="G59" s="364"/>
      <c r="N59" s="423"/>
    </row>
    <row r="60" spans="6:14" ht="17.100000000000001" customHeight="1">
      <c r="F60" s="338"/>
      <c r="G60" s="364"/>
      <c r="N60" s="423"/>
    </row>
    <row r="61" spans="6:14" ht="14.25">
      <c r="F61" s="338"/>
      <c r="G61" s="364"/>
      <c r="N61" s="423"/>
    </row>
    <row r="62" spans="6:14" ht="14.25">
      <c r="F62" s="338"/>
      <c r="G62" s="364"/>
      <c r="N62" s="423"/>
    </row>
    <row r="63" spans="6:14" ht="14.25">
      <c r="F63" s="338"/>
      <c r="G63" s="364"/>
      <c r="N63" s="423"/>
    </row>
    <row r="64" spans="6:14" ht="14.25">
      <c r="F64" s="338"/>
      <c r="G64" s="364"/>
      <c r="N64" s="423"/>
    </row>
    <row r="65" spans="6:14" ht="14.25">
      <c r="F65" s="338"/>
      <c r="G65" s="364"/>
      <c r="N65" s="423"/>
    </row>
    <row r="66" spans="6:14" ht="14.25">
      <c r="F66" s="338"/>
      <c r="G66" s="364"/>
      <c r="N66" s="423"/>
    </row>
    <row r="67" spans="6:14" ht="14.25">
      <c r="F67" s="338"/>
      <c r="G67" s="364"/>
      <c r="N67" s="423"/>
    </row>
    <row r="68" spans="6:14" ht="14.25">
      <c r="F68" s="338"/>
      <c r="G68" s="364"/>
      <c r="N68" s="423"/>
    </row>
    <row r="69" spans="6:14" ht="14.25">
      <c r="F69" s="338"/>
      <c r="G69" s="364"/>
      <c r="N69" s="423"/>
    </row>
    <row r="70" spans="6:14" ht="14.25">
      <c r="F70" s="338"/>
      <c r="G70" s="364"/>
      <c r="N70" s="423"/>
    </row>
    <row r="71" spans="6:14" ht="14.25">
      <c r="F71" s="338"/>
      <c r="G71" s="364"/>
      <c r="N71" s="423"/>
    </row>
    <row r="72" spans="6:14" ht="14.25">
      <c r="F72" s="338"/>
      <c r="G72" s="364"/>
      <c r="N72" s="423"/>
    </row>
    <row r="73" spans="6:14" ht="14.25">
      <c r="F73" s="338"/>
      <c r="G73" s="364"/>
      <c r="N73" s="423"/>
    </row>
    <row r="74" spans="6:14" ht="14.25">
      <c r="F74" s="338"/>
      <c r="G74" s="338"/>
      <c r="N74" s="423"/>
    </row>
    <row r="75" spans="6:14" ht="14.25">
      <c r="F75" s="338"/>
      <c r="G75" s="338"/>
      <c r="N75" s="423"/>
    </row>
    <row r="76" spans="6:14" ht="14.25">
      <c r="F76" s="338"/>
      <c r="G76" s="338"/>
      <c r="N76" s="423"/>
    </row>
    <row r="77" spans="6:14" ht="14.25">
      <c r="F77" s="338"/>
      <c r="G77" s="338"/>
      <c r="N77" s="423"/>
    </row>
    <row r="78" spans="6:14" ht="14.25">
      <c r="F78" s="338"/>
      <c r="G78" s="338"/>
      <c r="N78" s="423"/>
    </row>
    <row r="79" spans="6:14" ht="14.25">
      <c r="F79" s="338"/>
      <c r="G79" s="338"/>
      <c r="N79" s="423"/>
    </row>
    <row r="80" spans="6:14" ht="14.25">
      <c r="F80" s="338"/>
      <c r="G80" s="338"/>
      <c r="N80" s="423"/>
    </row>
    <row r="81" spans="6:14" ht="14.25">
      <c r="F81" s="338"/>
      <c r="G81" s="338"/>
      <c r="N81" s="423"/>
    </row>
    <row r="82" spans="6:14" ht="14.25">
      <c r="F82" s="338"/>
      <c r="G82" s="338"/>
      <c r="N82" s="423"/>
    </row>
    <row r="83" spans="6:14" ht="14.25">
      <c r="F83" s="338"/>
      <c r="G83" s="338"/>
      <c r="N83" s="423"/>
    </row>
    <row r="84" spans="6:14" ht="14.25">
      <c r="F84" s="338"/>
      <c r="G84" s="338"/>
      <c r="N84" s="423"/>
    </row>
    <row r="85" spans="6:14" ht="14.25">
      <c r="F85" s="338"/>
      <c r="G85" s="338"/>
      <c r="N85" s="423"/>
    </row>
    <row r="86" spans="6:14" ht="14.25">
      <c r="F86" s="338"/>
      <c r="G86" s="338"/>
      <c r="N86" s="423"/>
    </row>
    <row r="87" spans="6:14" ht="14.25">
      <c r="F87" s="338"/>
      <c r="G87" s="338"/>
      <c r="N87" s="423"/>
    </row>
    <row r="88" spans="6:14" ht="14.25">
      <c r="F88" s="338"/>
      <c r="G88" s="338"/>
      <c r="N88" s="423"/>
    </row>
    <row r="89" spans="6:14" ht="14.25">
      <c r="F89" s="338"/>
      <c r="G89" s="338"/>
      <c r="N89" s="423"/>
    </row>
    <row r="90" spans="6:14" ht="14.25">
      <c r="F90" s="338"/>
      <c r="G90" s="338"/>
      <c r="N90" s="423"/>
    </row>
    <row r="91" spans="6:14">
      <c r="G91" s="338"/>
    </row>
    <row r="92" spans="6:14">
      <c r="G92" s="338"/>
    </row>
    <row r="93" spans="6:14">
      <c r="G93" s="338"/>
    </row>
    <row r="94" spans="6:14">
      <c r="G94" s="338"/>
    </row>
    <row r="95" spans="6:14">
      <c r="G95" s="338"/>
    </row>
    <row r="96" spans="6:14">
      <c r="G96" s="338"/>
    </row>
  </sheetData>
  <mergeCells count="14">
    <mergeCell ref="B2:O2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K4:K5"/>
    <mergeCell ref="O4:O5"/>
    <mergeCell ref="H4:H5"/>
    <mergeCell ref="E4:E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orientation="landscape" r:id="rId1"/>
  <headerFooter alignWithMargins="0"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S95"/>
  <sheetViews>
    <sheetView topLeftCell="A13" zoomScaleNormal="100" workbookViewId="0">
      <selection activeCell="P39" sqref="P39"/>
    </sheetView>
  </sheetViews>
  <sheetFormatPr defaultRowHeight="12.75"/>
  <cols>
    <col min="1" max="1" width="9.140625" style="314"/>
    <col min="2" max="2" width="4.7109375" style="9" customWidth="1"/>
    <col min="3" max="3" width="5.140625" style="9" customWidth="1"/>
    <col min="4" max="4" width="5" style="9" customWidth="1"/>
    <col min="5" max="5" width="5" style="314" customWidth="1"/>
    <col min="6" max="6" width="8.7109375" style="18" customWidth="1"/>
    <col min="7" max="7" width="8.7109375" style="319" customWidth="1"/>
    <col min="8" max="8" width="50.7109375" style="9" customWidth="1"/>
    <col min="9" max="11" width="14.7109375" style="9" customWidth="1"/>
    <col min="12" max="13" width="14.7109375" style="314" customWidth="1"/>
    <col min="14" max="14" width="15.7109375" style="9" customWidth="1"/>
    <col min="15" max="15" width="7.7109375" style="380" customWidth="1"/>
    <col min="16" max="16384" width="9.140625" style="9"/>
  </cols>
  <sheetData>
    <row r="1" spans="1:17" ht="13.5" thickBot="1"/>
    <row r="2" spans="1:17" s="113" customFormat="1" ht="20.100000000000001" customHeight="1" thickTop="1" thickBot="1">
      <c r="A2" s="408"/>
      <c r="B2" s="887" t="s">
        <v>114</v>
      </c>
      <c r="C2" s="888"/>
      <c r="D2" s="888"/>
      <c r="E2" s="888"/>
      <c r="F2" s="888"/>
      <c r="G2" s="888"/>
      <c r="H2" s="888"/>
      <c r="I2" s="888"/>
      <c r="J2" s="888"/>
      <c r="K2" s="888"/>
      <c r="L2" s="888"/>
      <c r="M2" s="888"/>
      <c r="N2" s="888"/>
      <c r="O2" s="412"/>
      <c r="Q2" s="408"/>
    </row>
    <row r="3" spans="1:17" s="1" customFormat="1" ht="8.1" customHeight="1" thickTop="1" thickBot="1">
      <c r="A3" s="311"/>
      <c r="E3" s="311"/>
      <c r="F3" s="2"/>
      <c r="G3" s="312"/>
      <c r="H3" s="890"/>
      <c r="I3" s="890"/>
      <c r="J3" s="282"/>
      <c r="K3" s="282"/>
      <c r="L3" s="107"/>
      <c r="M3" s="107"/>
      <c r="N3" s="107"/>
      <c r="O3" s="374"/>
    </row>
    <row r="4" spans="1:17" s="1" customFormat="1" ht="39" customHeight="1">
      <c r="A4" s="311"/>
      <c r="B4" s="894" t="s">
        <v>77</v>
      </c>
      <c r="C4" s="909" t="s">
        <v>78</v>
      </c>
      <c r="D4" s="910" t="s">
        <v>107</v>
      </c>
      <c r="E4" s="916" t="s">
        <v>828</v>
      </c>
      <c r="F4" s="911" t="s">
        <v>517</v>
      </c>
      <c r="G4" s="899" t="s">
        <v>556</v>
      </c>
      <c r="H4" s="900" t="s">
        <v>79</v>
      </c>
      <c r="I4" s="912" t="s">
        <v>697</v>
      </c>
      <c r="J4" s="913" t="s">
        <v>862</v>
      </c>
      <c r="K4" s="914" t="s">
        <v>863</v>
      </c>
      <c r="L4" s="908" t="s">
        <v>865</v>
      </c>
      <c r="M4" s="892"/>
      <c r="N4" s="893"/>
      <c r="O4" s="906" t="s">
        <v>866</v>
      </c>
    </row>
    <row r="5" spans="1:17" s="311" customFormat="1" ht="27" customHeight="1">
      <c r="B5" s="895"/>
      <c r="C5" s="897"/>
      <c r="D5" s="897"/>
      <c r="E5" s="897"/>
      <c r="F5" s="901"/>
      <c r="G5" s="897"/>
      <c r="H5" s="901"/>
      <c r="I5" s="901"/>
      <c r="J5" s="901"/>
      <c r="K5" s="915"/>
      <c r="L5" s="587" t="s">
        <v>601</v>
      </c>
      <c r="M5" s="404" t="s">
        <v>602</v>
      </c>
      <c r="N5" s="720" t="s">
        <v>349</v>
      </c>
      <c r="O5" s="907"/>
    </row>
    <row r="6" spans="1:17" s="2" customFormat="1" ht="12.95" customHeight="1">
      <c r="A6" s="312"/>
      <c r="B6" s="525">
        <v>1</v>
      </c>
      <c r="C6" s="361">
        <v>2</v>
      </c>
      <c r="D6" s="361">
        <v>3</v>
      </c>
      <c r="E6" s="361">
        <v>4</v>
      </c>
      <c r="F6" s="361">
        <v>5</v>
      </c>
      <c r="G6" s="361">
        <v>6</v>
      </c>
      <c r="H6" s="361">
        <v>7</v>
      </c>
      <c r="I6" s="361">
        <v>8</v>
      </c>
      <c r="J6" s="361">
        <v>9</v>
      </c>
      <c r="K6" s="563">
        <v>10</v>
      </c>
      <c r="L6" s="525">
        <v>11</v>
      </c>
      <c r="M6" s="361">
        <v>12</v>
      </c>
      <c r="N6" s="721" t="s">
        <v>830</v>
      </c>
      <c r="O6" s="527">
        <v>14</v>
      </c>
    </row>
    <row r="7" spans="1:17" s="2" customFormat="1" ht="12.95" customHeight="1">
      <c r="A7" s="312"/>
      <c r="B7" s="6" t="s">
        <v>115</v>
      </c>
      <c r="C7" s="7" t="s">
        <v>80</v>
      </c>
      <c r="D7" s="7" t="s">
        <v>81</v>
      </c>
      <c r="E7" s="667" t="s">
        <v>829</v>
      </c>
      <c r="F7" s="5"/>
      <c r="G7" s="313"/>
      <c r="H7" s="5"/>
      <c r="I7" s="99"/>
      <c r="J7" s="99"/>
      <c r="K7" s="564"/>
      <c r="L7" s="4"/>
      <c r="M7" s="328"/>
      <c r="N7" s="729"/>
      <c r="O7" s="375"/>
    </row>
    <row r="8" spans="1:17" s="2" customFormat="1" ht="12.95" customHeight="1">
      <c r="A8" s="312"/>
      <c r="B8" s="6"/>
      <c r="C8" s="7"/>
      <c r="D8" s="7"/>
      <c r="E8" s="7"/>
      <c r="F8" s="335">
        <v>600000</v>
      </c>
      <c r="G8" s="361"/>
      <c r="H8" s="21" t="s">
        <v>116</v>
      </c>
      <c r="I8" s="301">
        <f t="shared" ref="I8:K8" si="0">I9+I10+I11</f>
        <v>345000</v>
      </c>
      <c r="J8" s="698">
        <f t="shared" si="0"/>
        <v>345000</v>
      </c>
      <c r="K8" s="711">
        <f t="shared" si="0"/>
        <v>163100</v>
      </c>
      <c r="L8" s="584">
        <f t="shared" ref="L8" si="1">L9+L10+L11</f>
        <v>486000</v>
      </c>
      <c r="M8" s="301">
        <f>M9+M10+M11</f>
        <v>0</v>
      </c>
      <c r="N8" s="730">
        <f>N9+N10+N11</f>
        <v>486000</v>
      </c>
      <c r="O8" s="376">
        <f>IF(J8=0,"",N8/J8*100)</f>
        <v>140.86956521739131</v>
      </c>
    </row>
    <row r="9" spans="1:17" s="2" customFormat="1" ht="12.95" customHeight="1">
      <c r="A9" s="312"/>
      <c r="B9" s="6"/>
      <c r="C9" s="7"/>
      <c r="D9" s="7"/>
      <c r="E9" s="7"/>
      <c r="F9" s="336">
        <v>600000</v>
      </c>
      <c r="G9" s="362"/>
      <c r="H9" s="40" t="s">
        <v>96</v>
      </c>
      <c r="I9" s="300">
        <v>300000</v>
      </c>
      <c r="J9" s="699">
        <v>300000</v>
      </c>
      <c r="K9" s="712">
        <v>154200</v>
      </c>
      <c r="L9" s="583">
        <v>450000</v>
      </c>
      <c r="M9" s="300">
        <v>0</v>
      </c>
      <c r="N9" s="731">
        <f t="shared" ref="N9:N11" si="2">SUM(L9:M9)</f>
        <v>450000</v>
      </c>
      <c r="O9" s="377">
        <f>IF(J9=0,"",N9/J9*100)</f>
        <v>150</v>
      </c>
    </row>
    <row r="10" spans="1:17" s="2" customFormat="1" ht="12.95" customHeight="1">
      <c r="A10" s="312"/>
      <c r="B10" s="6"/>
      <c r="C10" s="7"/>
      <c r="D10" s="7"/>
      <c r="E10" s="7"/>
      <c r="F10" s="336">
        <v>600000</v>
      </c>
      <c r="G10" s="362"/>
      <c r="H10" s="40" t="s">
        <v>97</v>
      </c>
      <c r="I10" s="300">
        <v>30000</v>
      </c>
      <c r="J10" s="699">
        <v>30000</v>
      </c>
      <c r="K10" s="712">
        <v>5500</v>
      </c>
      <c r="L10" s="583">
        <f>30000*80%</f>
        <v>24000</v>
      </c>
      <c r="M10" s="300">
        <v>0</v>
      </c>
      <c r="N10" s="731">
        <f t="shared" si="2"/>
        <v>24000</v>
      </c>
      <c r="O10" s="377">
        <f t="shared" ref="O10:O33" si="3">IF(J10=0,"",N10/J10*100)</f>
        <v>80</v>
      </c>
    </row>
    <row r="11" spans="1:17" s="2" customFormat="1" ht="12.95" customHeight="1">
      <c r="A11" s="312"/>
      <c r="B11" s="6"/>
      <c r="C11" s="7"/>
      <c r="D11" s="7"/>
      <c r="E11" s="7"/>
      <c r="F11" s="336">
        <v>600000</v>
      </c>
      <c r="G11" s="362"/>
      <c r="H11" s="40" t="s">
        <v>117</v>
      </c>
      <c r="I11" s="300">
        <v>15000</v>
      </c>
      <c r="J11" s="699">
        <v>15000</v>
      </c>
      <c r="K11" s="712">
        <v>3400</v>
      </c>
      <c r="L11" s="583">
        <f>15000*80%</f>
        <v>12000</v>
      </c>
      <c r="M11" s="300">
        <v>0</v>
      </c>
      <c r="N11" s="731">
        <f t="shared" si="2"/>
        <v>12000</v>
      </c>
      <c r="O11" s="377">
        <f t="shared" si="3"/>
        <v>80</v>
      </c>
    </row>
    <row r="12" spans="1:17" s="2" customFormat="1" ht="8.1" customHeight="1">
      <c r="A12" s="312"/>
      <c r="B12" s="6"/>
      <c r="C12" s="7"/>
      <c r="D12" s="7"/>
      <c r="E12" s="7"/>
      <c r="F12" s="335"/>
      <c r="G12" s="362"/>
      <c r="H12" s="5"/>
      <c r="I12" s="302"/>
      <c r="J12" s="700"/>
      <c r="K12" s="713"/>
      <c r="L12" s="588"/>
      <c r="M12" s="302"/>
      <c r="N12" s="732"/>
      <c r="O12" s="377" t="str">
        <f t="shared" si="3"/>
        <v/>
      </c>
    </row>
    <row r="13" spans="1:17" s="1" customFormat="1" ht="12.95" customHeight="1">
      <c r="A13" s="311"/>
      <c r="B13" s="12"/>
      <c r="C13" s="8"/>
      <c r="D13" s="8"/>
      <c r="E13" s="8"/>
      <c r="F13" s="335">
        <v>611000</v>
      </c>
      <c r="G13" s="361"/>
      <c r="H13" s="8" t="s">
        <v>146</v>
      </c>
      <c r="I13" s="240">
        <f t="shared" ref="I13:K13" si="4">SUM(I14:I17)</f>
        <v>227530</v>
      </c>
      <c r="J13" s="701">
        <f t="shared" si="4"/>
        <v>227530</v>
      </c>
      <c r="K13" s="714">
        <f t="shared" si="4"/>
        <v>38672</v>
      </c>
      <c r="L13" s="578">
        <f t="shared" ref="L13" si="5">SUM(L14:L17)</f>
        <v>225530</v>
      </c>
      <c r="M13" s="240">
        <f>SUM(M14:M17)</f>
        <v>0</v>
      </c>
      <c r="N13" s="733">
        <f>SUM(N14:N17)</f>
        <v>225530</v>
      </c>
      <c r="O13" s="376">
        <f t="shared" si="3"/>
        <v>99.120995033621938</v>
      </c>
    </row>
    <row r="14" spans="1:17" ht="12.95" customHeight="1">
      <c r="B14" s="10"/>
      <c r="C14" s="11"/>
      <c r="D14" s="11"/>
      <c r="E14" s="316"/>
      <c r="F14" s="336">
        <v>611100</v>
      </c>
      <c r="G14" s="362"/>
      <c r="H14" s="20" t="s">
        <v>174</v>
      </c>
      <c r="I14" s="237">
        <f>128050-12950+6*1430+1000+3200</f>
        <v>127880</v>
      </c>
      <c r="J14" s="702">
        <f>128050-12950+6*1430+1000+3200</f>
        <v>127880</v>
      </c>
      <c r="K14" s="712">
        <v>32851</v>
      </c>
      <c r="L14" s="579">
        <f>132670+1000+3*1430+420</f>
        <v>138380</v>
      </c>
      <c r="M14" s="237">
        <v>0</v>
      </c>
      <c r="N14" s="731">
        <f t="shared" ref="N14:N16" si="6">SUM(L14:M14)</f>
        <v>138380</v>
      </c>
      <c r="O14" s="377">
        <f t="shared" si="3"/>
        <v>108.21082264623084</v>
      </c>
    </row>
    <row r="15" spans="1:17" ht="12.95" customHeight="1">
      <c r="B15" s="10"/>
      <c r="C15" s="11"/>
      <c r="D15" s="11"/>
      <c r="E15" s="316"/>
      <c r="F15" s="336">
        <v>611200</v>
      </c>
      <c r="G15" s="362"/>
      <c r="H15" s="11" t="s">
        <v>175</v>
      </c>
      <c r="I15" s="237">
        <f>24350-7330+2100+930+500</f>
        <v>20550</v>
      </c>
      <c r="J15" s="702">
        <f>24350-7330+2100+930+500</f>
        <v>20550</v>
      </c>
      <c r="K15" s="712">
        <v>4491</v>
      </c>
      <c r="L15" s="579">
        <f>22240+3*320+950</f>
        <v>24150</v>
      </c>
      <c r="M15" s="237">
        <v>0</v>
      </c>
      <c r="N15" s="731">
        <f t="shared" si="6"/>
        <v>24150</v>
      </c>
      <c r="O15" s="377">
        <f t="shared" si="3"/>
        <v>117.51824817518248</v>
      </c>
    </row>
    <row r="16" spans="1:17" ht="12.95" customHeight="1">
      <c r="B16" s="10"/>
      <c r="C16" s="11"/>
      <c r="D16" s="11"/>
      <c r="E16" s="316"/>
      <c r="F16" s="336">
        <v>611200</v>
      </c>
      <c r="G16" s="362" t="s">
        <v>557</v>
      </c>
      <c r="H16" s="386" t="s">
        <v>935</v>
      </c>
      <c r="I16" s="237">
        <f>3500+25*9*21*10+9*21*6*25</f>
        <v>79100</v>
      </c>
      <c r="J16" s="702">
        <f>3500+25*9*21*10+9*21*6*25</f>
        <v>79100</v>
      </c>
      <c r="K16" s="712">
        <v>1330</v>
      </c>
      <c r="L16" s="579">
        <f>3500+14*7*340+11*7*340</f>
        <v>63000</v>
      </c>
      <c r="M16" s="237">
        <v>0</v>
      </c>
      <c r="N16" s="731">
        <f t="shared" si="6"/>
        <v>63000</v>
      </c>
      <c r="O16" s="377">
        <f t="shared" si="3"/>
        <v>79.646017699115049</v>
      </c>
      <c r="P16" s="640"/>
      <c r="Q16" s="62"/>
    </row>
    <row r="17" spans="1:16" ht="8.1" customHeight="1">
      <c r="B17" s="10"/>
      <c r="C17" s="11"/>
      <c r="D17" s="11"/>
      <c r="E17" s="316"/>
      <c r="F17" s="336"/>
      <c r="G17" s="362"/>
      <c r="H17" s="20"/>
      <c r="I17" s="240"/>
      <c r="J17" s="701"/>
      <c r="K17" s="714"/>
      <c r="L17" s="578"/>
      <c r="M17" s="240"/>
      <c r="N17" s="733"/>
      <c r="O17" s="377" t="str">
        <f t="shared" si="3"/>
        <v/>
      </c>
    </row>
    <row r="18" spans="1:16" s="1" customFormat="1" ht="12.95" customHeight="1">
      <c r="A18" s="311"/>
      <c r="B18" s="12"/>
      <c r="C18" s="8"/>
      <c r="D18" s="8"/>
      <c r="E18" s="8"/>
      <c r="F18" s="335">
        <v>612000</v>
      </c>
      <c r="G18" s="362"/>
      <c r="H18" s="8" t="s">
        <v>145</v>
      </c>
      <c r="I18" s="240">
        <f t="shared" ref="I18:K18" si="7">I19+I20</f>
        <v>13560</v>
      </c>
      <c r="J18" s="701">
        <f t="shared" si="7"/>
        <v>13560</v>
      </c>
      <c r="K18" s="714">
        <f t="shared" si="7"/>
        <v>3464</v>
      </c>
      <c r="L18" s="578">
        <f t="shared" ref="L18" si="8">L19+L20</f>
        <v>15010</v>
      </c>
      <c r="M18" s="240">
        <f>M19+M20</f>
        <v>0</v>
      </c>
      <c r="N18" s="733">
        <f>N19+N20</f>
        <v>15010</v>
      </c>
      <c r="O18" s="376">
        <f t="shared" si="3"/>
        <v>110.69321533923303</v>
      </c>
    </row>
    <row r="19" spans="1:16" ht="12.95" customHeight="1">
      <c r="B19" s="10"/>
      <c r="C19" s="11"/>
      <c r="D19" s="11"/>
      <c r="E19" s="316"/>
      <c r="F19" s="336">
        <v>612100</v>
      </c>
      <c r="G19" s="362"/>
      <c r="H19" s="13" t="s">
        <v>82</v>
      </c>
      <c r="I19" s="237">
        <f>13560-1500+6*160+200+340</f>
        <v>13560</v>
      </c>
      <c r="J19" s="702">
        <f>13560-1500+6*160+200+340</f>
        <v>13560</v>
      </c>
      <c r="K19" s="712">
        <v>3464</v>
      </c>
      <c r="L19" s="579">
        <f>13980+400+3*160+150</f>
        <v>15010</v>
      </c>
      <c r="M19" s="237">
        <v>0</v>
      </c>
      <c r="N19" s="731">
        <f>SUM(L19:M19)</f>
        <v>15010</v>
      </c>
      <c r="O19" s="377">
        <f t="shared" si="3"/>
        <v>110.69321533923303</v>
      </c>
    </row>
    <row r="20" spans="1:16" ht="8.1" customHeight="1">
      <c r="B20" s="10"/>
      <c r="C20" s="11"/>
      <c r="D20" s="11"/>
      <c r="E20" s="316"/>
      <c r="F20" s="336"/>
      <c r="G20" s="362"/>
      <c r="H20" s="11"/>
      <c r="I20" s="297"/>
      <c r="J20" s="703"/>
      <c r="K20" s="715"/>
      <c r="L20" s="583"/>
      <c r="M20" s="297"/>
      <c r="N20" s="731"/>
      <c r="O20" s="377" t="str">
        <f t="shared" si="3"/>
        <v/>
      </c>
    </row>
    <row r="21" spans="1:16" s="1" customFormat="1" ht="12.95" customHeight="1">
      <c r="A21" s="311"/>
      <c r="B21" s="12"/>
      <c r="C21" s="8"/>
      <c r="D21" s="8"/>
      <c r="E21" s="8"/>
      <c r="F21" s="335">
        <v>613000</v>
      </c>
      <c r="G21" s="362"/>
      <c r="H21" s="8" t="s">
        <v>147</v>
      </c>
      <c r="I21" s="298">
        <f t="shared" ref="I21:K21" si="9">SUM(I22:I32)</f>
        <v>253800</v>
      </c>
      <c r="J21" s="704">
        <f t="shared" si="9"/>
        <v>253800</v>
      </c>
      <c r="K21" s="716">
        <f t="shared" si="9"/>
        <v>37455</v>
      </c>
      <c r="L21" s="588">
        <f t="shared" ref="L21" si="10">SUM(L22:L32)</f>
        <v>197080</v>
      </c>
      <c r="M21" s="298">
        <f>SUM(M22:M32)</f>
        <v>0</v>
      </c>
      <c r="N21" s="732">
        <f>SUM(N22:N32)</f>
        <v>197080</v>
      </c>
      <c r="O21" s="376">
        <f t="shared" si="3"/>
        <v>77.651694247438925</v>
      </c>
    </row>
    <row r="22" spans="1:16" ht="12.95" customHeight="1">
      <c r="B22" s="10"/>
      <c r="C22" s="11"/>
      <c r="D22" s="11"/>
      <c r="E22" s="316"/>
      <c r="F22" s="336">
        <v>613100</v>
      </c>
      <c r="G22" s="362"/>
      <c r="H22" s="11" t="s">
        <v>83</v>
      </c>
      <c r="I22" s="297">
        <v>14000</v>
      </c>
      <c r="J22" s="703">
        <v>14000</v>
      </c>
      <c r="K22" s="715">
        <v>2843</v>
      </c>
      <c r="L22" s="583">
        <f>14000*80%</f>
        <v>11200</v>
      </c>
      <c r="M22" s="297">
        <v>0</v>
      </c>
      <c r="N22" s="731">
        <f t="shared" ref="N22:N32" si="11">SUM(L22:M22)</f>
        <v>11200</v>
      </c>
      <c r="O22" s="377">
        <f t="shared" si="3"/>
        <v>80</v>
      </c>
    </row>
    <row r="23" spans="1:16" ht="12.95" customHeight="1">
      <c r="B23" s="10"/>
      <c r="C23" s="11"/>
      <c r="D23" s="11"/>
      <c r="E23" s="316"/>
      <c r="F23" s="336">
        <v>613200</v>
      </c>
      <c r="G23" s="362"/>
      <c r="H23" s="11" t="s">
        <v>84</v>
      </c>
      <c r="I23" s="297">
        <v>0</v>
      </c>
      <c r="J23" s="703">
        <v>0</v>
      </c>
      <c r="K23" s="715">
        <v>0</v>
      </c>
      <c r="L23" s="583">
        <v>0</v>
      </c>
      <c r="M23" s="297">
        <v>0</v>
      </c>
      <c r="N23" s="731">
        <f t="shared" si="11"/>
        <v>0</v>
      </c>
      <c r="O23" s="377" t="str">
        <f t="shared" si="3"/>
        <v/>
      </c>
    </row>
    <row r="24" spans="1:16" ht="12.95" customHeight="1">
      <c r="B24" s="10"/>
      <c r="C24" s="11"/>
      <c r="D24" s="11"/>
      <c r="E24" s="316"/>
      <c r="F24" s="336">
        <v>613300</v>
      </c>
      <c r="G24" s="362"/>
      <c r="H24" s="20" t="s">
        <v>176</v>
      </c>
      <c r="I24" s="297">
        <v>5200</v>
      </c>
      <c r="J24" s="703">
        <v>5200</v>
      </c>
      <c r="K24" s="715">
        <v>641</v>
      </c>
      <c r="L24" s="583">
        <v>5200</v>
      </c>
      <c r="M24" s="297">
        <v>0</v>
      </c>
      <c r="N24" s="731">
        <f t="shared" si="11"/>
        <v>5200</v>
      </c>
      <c r="O24" s="377">
        <f t="shared" si="3"/>
        <v>100</v>
      </c>
    </row>
    <row r="25" spans="1:16" ht="12.95" customHeight="1">
      <c r="B25" s="10"/>
      <c r="C25" s="11"/>
      <c r="D25" s="11"/>
      <c r="E25" s="316"/>
      <c r="F25" s="336">
        <v>613400</v>
      </c>
      <c r="G25" s="362"/>
      <c r="H25" s="11" t="s">
        <v>148</v>
      </c>
      <c r="I25" s="297">
        <v>1200</v>
      </c>
      <c r="J25" s="703">
        <v>1200</v>
      </c>
      <c r="K25" s="715">
        <v>40</v>
      </c>
      <c r="L25" s="583">
        <v>1200</v>
      </c>
      <c r="M25" s="297">
        <v>0</v>
      </c>
      <c r="N25" s="731">
        <f t="shared" si="11"/>
        <v>1200</v>
      </c>
      <c r="O25" s="377">
        <f t="shared" si="3"/>
        <v>100</v>
      </c>
    </row>
    <row r="26" spans="1:16" ht="12.95" customHeight="1">
      <c r="B26" s="10"/>
      <c r="C26" s="11"/>
      <c r="D26" s="11"/>
      <c r="E26" s="316"/>
      <c r="F26" s="336">
        <v>613500</v>
      </c>
      <c r="G26" s="362"/>
      <c r="H26" s="11" t="s">
        <v>85</v>
      </c>
      <c r="I26" s="299">
        <v>1500</v>
      </c>
      <c r="J26" s="705">
        <v>1500</v>
      </c>
      <c r="K26" s="717">
        <v>60</v>
      </c>
      <c r="L26" s="622">
        <v>1500</v>
      </c>
      <c r="M26" s="299">
        <v>0</v>
      </c>
      <c r="N26" s="731">
        <f t="shared" si="11"/>
        <v>1500</v>
      </c>
      <c r="O26" s="377">
        <f t="shared" si="3"/>
        <v>100</v>
      </c>
    </row>
    <row r="27" spans="1:16" ht="12.95" customHeight="1">
      <c r="B27" s="10"/>
      <c r="C27" s="11"/>
      <c r="D27" s="11"/>
      <c r="E27" s="316"/>
      <c r="F27" s="336">
        <v>613600</v>
      </c>
      <c r="G27" s="362"/>
      <c r="H27" s="20" t="s">
        <v>177</v>
      </c>
      <c r="I27" s="297">
        <v>1200</v>
      </c>
      <c r="J27" s="703">
        <v>1200</v>
      </c>
      <c r="K27" s="715">
        <v>250</v>
      </c>
      <c r="L27" s="583">
        <v>1200</v>
      </c>
      <c r="M27" s="297">
        <v>0</v>
      </c>
      <c r="N27" s="731">
        <f t="shared" si="11"/>
        <v>1200</v>
      </c>
      <c r="O27" s="377">
        <f t="shared" si="3"/>
        <v>100</v>
      </c>
    </row>
    <row r="28" spans="1:16" ht="12.95" customHeight="1">
      <c r="B28" s="10"/>
      <c r="C28" s="11"/>
      <c r="D28" s="11"/>
      <c r="E28" s="316"/>
      <c r="F28" s="336">
        <v>613700</v>
      </c>
      <c r="G28" s="362"/>
      <c r="H28" s="11" t="s">
        <v>86</v>
      </c>
      <c r="I28" s="297">
        <v>4000</v>
      </c>
      <c r="J28" s="703">
        <v>4000</v>
      </c>
      <c r="K28" s="715">
        <v>748</v>
      </c>
      <c r="L28" s="583">
        <v>4000</v>
      </c>
      <c r="M28" s="297">
        <v>0</v>
      </c>
      <c r="N28" s="731">
        <f t="shared" si="11"/>
        <v>4000</v>
      </c>
      <c r="O28" s="377">
        <f t="shared" si="3"/>
        <v>100</v>
      </c>
    </row>
    <row r="29" spans="1:16" ht="12.95" customHeight="1">
      <c r="B29" s="10"/>
      <c r="C29" s="11"/>
      <c r="D29" s="11"/>
      <c r="E29" s="316"/>
      <c r="F29" s="336">
        <v>613800</v>
      </c>
      <c r="G29" s="362"/>
      <c r="H29" s="11" t="s">
        <v>149</v>
      </c>
      <c r="I29" s="300">
        <v>2500</v>
      </c>
      <c r="J29" s="699">
        <v>2500</v>
      </c>
      <c r="K29" s="712">
        <v>0</v>
      </c>
      <c r="L29" s="583">
        <v>2500</v>
      </c>
      <c r="M29" s="300">
        <v>0</v>
      </c>
      <c r="N29" s="731">
        <f t="shared" si="11"/>
        <v>2500</v>
      </c>
      <c r="O29" s="377">
        <f t="shared" si="3"/>
        <v>100</v>
      </c>
    </row>
    <row r="30" spans="1:16" ht="12.95" customHeight="1">
      <c r="B30" s="10"/>
      <c r="C30" s="11"/>
      <c r="D30" s="11"/>
      <c r="E30" s="316"/>
      <c r="F30" s="339">
        <v>613900</v>
      </c>
      <c r="G30" s="362"/>
      <c r="H30" s="14" t="s">
        <v>150</v>
      </c>
      <c r="I30" s="300">
        <v>150000</v>
      </c>
      <c r="J30" s="699">
        <v>150000</v>
      </c>
      <c r="K30" s="712">
        <v>31089</v>
      </c>
      <c r="L30" s="583">
        <f>150000-6800-30000</f>
        <v>113200</v>
      </c>
      <c r="M30" s="300">
        <v>0</v>
      </c>
      <c r="N30" s="731">
        <f t="shared" si="11"/>
        <v>113200</v>
      </c>
      <c r="O30" s="377">
        <f t="shared" si="3"/>
        <v>75.466666666666669</v>
      </c>
      <c r="P30" s="640"/>
    </row>
    <row r="31" spans="1:16" ht="12.95" customHeight="1">
      <c r="B31" s="10"/>
      <c r="C31" s="11"/>
      <c r="D31" s="11"/>
      <c r="E31" s="316"/>
      <c r="F31" s="336">
        <v>613900</v>
      </c>
      <c r="G31" s="362" t="s">
        <v>558</v>
      </c>
      <c r="H31" s="20" t="s">
        <v>183</v>
      </c>
      <c r="I31" s="300">
        <v>0</v>
      </c>
      <c r="J31" s="699">
        <v>0</v>
      </c>
      <c r="K31" s="712">
        <v>0</v>
      </c>
      <c r="L31" s="583">
        <v>0</v>
      </c>
      <c r="M31" s="300">
        <v>0</v>
      </c>
      <c r="N31" s="731">
        <f t="shared" si="11"/>
        <v>0</v>
      </c>
      <c r="O31" s="377" t="str">
        <f t="shared" si="3"/>
        <v/>
      </c>
    </row>
    <row r="32" spans="1:16" ht="12.95" customHeight="1">
      <c r="B32" s="10"/>
      <c r="C32" s="11"/>
      <c r="D32" s="11"/>
      <c r="E32" s="316"/>
      <c r="F32" s="336">
        <v>613900</v>
      </c>
      <c r="G32" s="362" t="s">
        <v>557</v>
      </c>
      <c r="H32" s="386" t="s">
        <v>936</v>
      </c>
      <c r="I32" s="300">
        <f>3700+25*300*9+25*120</f>
        <v>74200</v>
      </c>
      <c r="J32" s="699">
        <f>3700+25*300*9+25*120</f>
        <v>74200</v>
      </c>
      <c r="K32" s="712">
        <v>1784</v>
      </c>
      <c r="L32" s="583">
        <f>3700+7*14*305+11*7*305+5</f>
        <v>57080</v>
      </c>
      <c r="M32" s="300">
        <v>0</v>
      </c>
      <c r="N32" s="731">
        <f t="shared" si="11"/>
        <v>57080</v>
      </c>
      <c r="O32" s="377">
        <f t="shared" si="3"/>
        <v>76.927223719676547</v>
      </c>
    </row>
    <row r="33" spans="1:19" ht="8.1" customHeight="1">
      <c r="B33" s="10"/>
      <c r="C33" s="11"/>
      <c r="D33" s="11"/>
      <c r="E33" s="316"/>
      <c r="F33" s="336"/>
      <c r="G33" s="362"/>
      <c r="H33" s="11"/>
      <c r="I33" s="297"/>
      <c r="J33" s="703"/>
      <c r="K33" s="715"/>
      <c r="L33" s="583"/>
      <c r="M33" s="297"/>
      <c r="N33" s="731"/>
      <c r="O33" s="377" t="str">
        <f t="shared" si="3"/>
        <v/>
      </c>
    </row>
    <row r="34" spans="1:19" s="1" customFormat="1" ht="12.95" customHeight="1">
      <c r="A34" s="311"/>
      <c r="B34" s="12"/>
      <c r="C34" s="8"/>
      <c r="D34" s="8"/>
      <c r="E34" s="8"/>
      <c r="F34" s="335">
        <v>614000</v>
      </c>
      <c r="G34" s="362"/>
      <c r="H34" s="8" t="s">
        <v>178</v>
      </c>
      <c r="I34" s="302">
        <f>SUM(I35:I44)</f>
        <v>750000</v>
      </c>
      <c r="J34" s="700">
        <f>SUM(J35:J44)</f>
        <v>750000</v>
      </c>
      <c r="K34" s="713">
        <f t="shared" ref="K34" si="12">SUM(K35:K44)</f>
        <v>107507</v>
      </c>
      <c r="L34" s="588">
        <f>SUM(L35:L44)</f>
        <v>717000</v>
      </c>
      <c r="M34" s="302">
        <f>SUM(M35:M44)</f>
        <v>0</v>
      </c>
      <c r="N34" s="732">
        <f>SUM(N35:N44)</f>
        <v>717000</v>
      </c>
      <c r="O34" s="376">
        <f>IF(J34=0,"",N34/J34*100)</f>
        <v>95.6</v>
      </c>
    </row>
    <row r="35" spans="1:19" s="68" customFormat="1" ht="12.95" customHeight="1">
      <c r="B35" s="69"/>
      <c r="C35" s="13"/>
      <c r="D35" s="13"/>
      <c r="E35" s="13"/>
      <c r="F35" s="336">
        <v>614100</v>
      </c>
      <c r="G35" s="362" t="s">
        <v>559</v>
      </c>
      <c r="H35" s="84" t="s">
        <v>219</v>
      </c>
      <c r="I35" s="387">
        <v>200000</v>
      </c>
      <c r="J35" s="706">
        <v>200000</v>
      </c>
      <c r="K35" s="717">
        <v>50000</v>
      </c>
      <c r="L35" s="571">
        <v>200000</v>
      </c>
      <c r="M35" s="387">
        <v>0</v>
      </c>
      <c r="N35" s="731">
        <f t="shared" ref="N35:N44" si="13">SUM(L35:M35)</f>
        <v>200000</v>
      </c>
      <c r="O35" s="377">
        <f t="shared" ref="O35:O55" si="14">IF(J35=0,"",N35/J35*100)</f>
        <v>100</v>
      </c>
    </row>
    <row r="36" spans="1:19" s="118" customFormat="1" ht="12.95" customHeight="1">
      <c r="B36" s="115"/>
      <c r="C36" s="116"/>
      <c r="D36" s="116"/>
      <c r="E36" s="116"/>
      <c r="F36" s="340">
        <v>614200</v>
      </c>
      <c r="G36" s="362" t="s">
        <v>560</v>
      </c>
      <c r="H36" s="117" t="s">
        <v>543</v>
      </c>
      <c r="I36" s="414">
        <v>150000</v>
      </c>
      <c r="J36" s="707">
        <v>150000</v>
      </c>
      <c r="K36" s="718">
        <v>0</v>
      </c>
      <c r="L36" s="697">
        <v>150000</v>
      </c>
      <c r="M36" s="414">
        <v>0</v>
      </c>
      <c r="N36" s="731">
        <f t="shared" si="13"/>
        <v>150000</v>
      </c>
      <c r="O36" s="377">
        <f t="shared" si="14"/>
        <v>100</v>
      </c>
      <c r="S36" s="119"/>
    </row>
    <row r="37" spans="1:19" ht="12.95" customHeight="1">
      <c r="B37" s="10"/>
      <c r="C37" s="11"/>
      <c r="D37" s="11"/>
      <c r="E37" s="316"/>
      <c r="F37" s="336">
        <v>614300</v>
      </c>
      <c r="G37" s="362" t="s">
        <v>561</v>
      </c>
      <c r="H37" s="407" t="s">
        <v>605</v>
      </c>
      <c r="I37" s="388">
        <v>70000</v>
      </c>
      <c r="J37" s="708">
        <v>70000</v>
      </c>
      <c r="K37" s="719">
        <v>0</v>
      </c>
      <c r="L37" s="571">
        <v>50000</v>
      </c>
      <c r="M37" s="388">
        <v>0</v>
      </c>
      <c r="N37" s="731">
        <f t="shared" si="13"/>
        <v>50000</v>
      </c>
      <c r="O37" s="377">
        <f t="shared" si="14"/>
        <v>71.428571428571431</v>
      </c>
    </row>
    <row r="38" spans="1:19" ht="12.95" customHeight="1">
      <c r="B38" s="10"/>
      <c r="C38" s="11"/>
      <c r="D38" s="11"/>
      <c r="E38" s="316"/>
      <c r="F38" s="336">
        <v>614300</v>
      </c>
      <c r="G38" s="362" t="s">
        <v>562</v>
      </c>
      <c r="H38" s="78" t="s">
        <v>196</v>
      </c>
      <c r="I38" s="388">
        <v>30000</v>
      </c>
      <c r="J38" s="708">
        <v>30000</v>
      </c>
      <c r="K38" s="719">
        <v>5000</v>
      </c>
      <c r="L38" s="571">
        <v>35000</v>
      </c>
      <c r="M38" s="388">
        <v>0</v>
      </c>
      <c r="N38" s="731">
        <f t="shared" si="13"/>
        <v>35000</v>
      </c>
      <c r="O38" s="377">
        <f t="shared" si="14"/>
        <v>116.66666666666667</v>
      </c>
    </row>
    <row r="39" spans="1:19" ht="12.95" customHeight="1">
      <c r="B39" s="10"/>
      <c r="C39" s="11"/>
      <c r="D39" s="11"/>
      <c r="E39" s="316"/>
      <c r="F39" s="336">
        <v>614300</v>
      </c>
      <c r="G39" s="362" t="s">
        <v>563</v>
      </c>
      <c r="H39" s="78" t="s">
        <v>218</v>
      </c>
      <c r="I39" s="388">
        <v>40000</v>
      </c>
      <c r="J39" s="708">
        <v>40000</v>
      </c>
      <c r="K39" s="719">
        <v>6670</v>
      </c>
      <c r="L39" s="571">
        <v>45000</v>
      </c>
      <c r="M39" s="388">
        <v>0</v>
      </c>
      <c r="N39" s="731">
        <f t="shared" si="13"/>
        <v>45000</v>
      </c>
      <c r="O39" s="377">
        <f t="shared" si="14"/>
        <v>112.5</v>
      </c>
    </row>
    <row r="40" spans="1:19" ht="12.95" customHeight="1">
      <c r="B40" s="10"/>
      <c r="C40" s="11"/>
      <c r="D40" s="11"/>
      <c r="E40" s="316"/>
      <c r="F40" s="336">
        <v>614300</v>
      </c>
      <c r="G40" s="362" t="s">
        <v>564</v>
      </c>
      <c r="H40" s="406" t="s">
        <v>684</v>
      </c>
      <c r="I40" s="388">
        <v>40000</v>
      </c>
      <c r="J40" s="708">
        <v>40000</v>
      </c>
      <c r="K40" s="719">
        <v>6670</v>
      </c>
      <c r="L40" s="571">
        <v>45000</v>
      </c>
      <c r="M40" s="388">
        <v>0</v>
      </c>
      <c r="N40" s="731">
        <f t="shared" si="13"/>
        <v>45000</v>
      </c>
      <c r="O40" s="377">
        <f t="shared" si="14"/>
        <v>112.5</v>
      </c>
    </row>
    <row r="41" spans="1:19" ht="12.95" customHeight="1">
      <c r="B41" s="10"/>
      <c r="C41" s="11"/>
      <c r="D41" s="11"/>
      <c r="E41" s="316"/>
      <c r="F41" s="336">
        <v>614300</v>
      </c>
      <c r="G41" s="362" t="s">
        <v>565</v>
      </c>
      <c r="H41" s="406" t="s">
        <v>683</v>
      </c>
      <c r="I41" s="388">
        <v>15000</v>
      </c>
      <c r="J41" s="708">
        <v>15000</v>
      </c>
      <c r="K41" s="719">
        <v>2500</v>
      </c>
      <c r="L41" s="571">
        <v>17000</v>
      </c>
      <c r="M41" s="388">
        <v>0</v>
      </c>
      <c r="N41" s="731">
        <f t="shared" si="13"/>
        <v>17000</v>
      </c>
      <c r="O41" s="377">
        <f t="shared" si="14"/>
        <v>113.33333333333333</v>
      </c>
    </row>
    <row r="42" spans="1:19" ht="12.95" customHeight="1">
      <c r="B42" s="10"/>
      <c r="C42" s="11"/>
      <c r="D42" s="11"/>
      <c r="E42" s="316"/>
      <c r="F42" s="336">
        <v>614300</v>
      </c>
      <c r="G42" s="362" t="s">
        <v>566</v>
      </c>
      <c r="H42" s="78" t="s">
        <v>198</v>
      </c>
      <c r="I42" s="388">
        <v>30000</v>
      </c>
      <c r="J42" s="708">
        <v>30000</v>
      </c>
      <c r="K42" s="719">
        <v>7500</v>
      </c>
      <c r="L42" s="571">
        <v>30000</v>
      </c>
      <c r="M42" s="388">
        <v>0</v>
      </c>
      <c r="N42" s="731">
        <f t="shared" si="13"/>
        <v>30000</v>
      </c>
      <c r="O42" s="377">
        <f t="shared" si="14"/>
        <v>100</v>
      </c>
    </row>
    <row r="43" spans="1:19" ht="12.95" customHeight="1">
      <c r="B43" s="10"/>
      <c r="C43" s="11"/>
      <c r="D43" s="11"/>
      <c r="E43" s="316"/>
      <c r="F43" s="336">
        <v>614300</v>
      </c>
      <c r="G43" s="362" t="s">
        <v>567</v>
      </c>
      <c r="H43" s="78" t="s">
        <v>541</v>
      </c>
      <c r="I43" s="388">
        <v>15000</v>
      </c>
      <c r="J43" s="708">
        <v>15000</v>
      </c>
      <c r="K43" s="719">
        <v>2500</v>
      </c>
      <c r="L43" s="571">
        <v>15000</v>
      </c>
      <c r="M43" s="388">
        <v>0</v>
      </c>
      <c r="N43" s="731">
        <f t="shared" si="13"/>
        <v>15000</v>
      </c>
      <c r="O43" s="377">
        <f t="shared" ref="O43" si="15">IF(J43=0,"",N43/J43*100)</f>
        <v>100</v>
      </c>
    </row>
    <row r="44" spans="1:19" ht="12.95" customHeight="1">
      <c r="B44" s="10"/>
      <c r="C44" s="11"/>
      <c r="D44" s="11"/>
      <c r="E44" s="316"/>
      <c r="F44" s="336">
        <v>614300</v>
      </c>
      <c r="G44" s="362" t="s">
        <v>892</v>
      </c>
      <c r="H44" s="183" t="s">
        <v>95</v>
      </c>
      <c r="I44" s="388">
        <v>160000</v>
      </c>
      <c r="J44" s="708">
        <v>160000</v>
      </c>
      <c r="K44" s="719">
        <v>26667</v>
      </c>
      <c r="L44" s="571">
        <v>130000</v>
      </c>
      <c r="M44" s="388">
        <v>0</v>
      </c>
      <c r="N44" s="731">
        <f t="shared" si="13"/>
        <v>130000</v>
      </c>
      <c r="O44" s="377">
        <f t="shared" si="14"/>
        <v>81.25</v>
      </c>
    </row>
    <row r="45" spans="1:19" ht="8.1" customHeight="1">
      <c r="B45" s="10"/>
      <c r="C45" s="11"/>
      <c r="D45" s="11"/>
      <c r="E45" s="316"/>
      <c r="F45" s="336"/>
      <c r="G45" s="362"/>
      <c r="H45" s="78"/>
      <c r="I45" s="303"/>
      <c r="J45" s="709"/>
      <c r="K45" s="719"/>
      <c r="L45" s="622"/>
      <c r="M45" s="303"/>
      <c r="N45" s="731"/>
      <c r="O45" s="377" t="str">
        <f t="shared" si="14"/>
        <v/>
      </c>
    </row>
    <row r="46" spans="1:19" ht="12.95" customHeight="1">
      <c r="B46" s="10"/>
      <c r="C46" s="11"/>
      <c r="D46" s="11"/>
      <c r="E46" s="316"/>
      <c r="F46" s="335">
        <v>615000</v>
      </c>
      <c r="G46" s="362"/>
      <c r="H46" s="8" t="s">
        <v>88</v>
      </c>
      <c r="I46" s="302">
        <f t="shared" ref="I46:L46" si="16">I47</f>
        <v>300000</v>
      </c>
      <c r="J46" s="700">
        <f t="shared" si="16"/>
        <v>100000</v>
      </c>
      <c r="K46" s="713">
        <f t="shared" si="16"/>
        <v>0</v>
      </c>
      <c r="L46" s="582">
        <f t="shared" si="16"/>
        <v>50000</v>
      </c>
      <c r="M46" s="302">
        <f>M47</f>
        <v>0</v>
      </c>
      <c r="N46" s="732">
        <f>N47</f>
        <v>50000</v>
      </c>
      <c r="O46" s="376">
        <f t="shared" si="14"/>
        <v>50</v>
      </c>
    </row>
    <row r="47" spans="1:19" ht="12.95" customHeight="1">
      <c r="B47" s="10"/>
      <c r="C47" s="11"/>
      <c r="D47" s="11"/>
      <c r="E47" s="316"/>
      <c r="F47" s="336">
        <v>615100</v>
      </c>
      <c r="G47" s="362"/>
      <c r="H47" s="13" t="s">
        <v>88</v>
      </c>
      <c r="I47" s="299">
        <v>300000</v>
      </c>
      <c r="J47" s="705">
        <v>100000</v>
      </c>
      <c r="K47" s="717">
        <v>0</v>
      </c>
      <c r="L47" s="621">
        <v>50000</v>
      </c>
      <c r="M47" s="299">
        <v>0</v>
      </c>
      <c r="N47" s="731">
        <f>SUM(L47:M47)</f>
        <v>50000</v>
      </c>
      <c r="O47" s="377">
        <f t="shared" si="14"/>
        <v>50</v>
      </c>
    </row>
    <row r="48" spans="1:19" ht="8.1" customHeight="1">
      <c r="B48" s="10"/>
      <c r="C48" s="11"/>
      <c r="D48" s="11"/>
      <c r="E48" s="316"/>
      <c r="F48" s="336"/>
      <c r="G48" s="362"/>
      <c r="H48" s="14"/>
      <c r="I48" s="300"/>
      <c r="J48" s="699"/>
      <c r="K48" s="712"/>
      <c r="L48" s="583"/>
      <c r="M48" s="300"/>
      <c r="N48" s="731"/>
      <c r="O48" s="377" t="str">
        <f t="shared" si="14"/>
        <v/>
      </c>
    </row>
    <row r="49" spans="1:15" ht="12.95" customHeight="1">
      <c r="B49" s="12"/>
      <c r="C49" s="8"/>
      <c r="D49" s="8"/>
      <c r="E49" s="8"/>
      <c r="F49" s="335">
        <v>821000</v>
      </c>
      <c r="G49" s="362"/>
      <c r="H49" s="8" t="s">
        <v>89</v>
      </c>
      <c r="I49" s="302">
        <f t="shared" ref="I49:K49" si="17">SUM(I50:I52)</f>
        <v>72000</v>
      </c>
      <c r="J49" s="700">
        <f t="shared" si="17"/>
        <v>72000</v>
      </c>
      <c r="K49" s="713">
        <f t="shared" si="17"/>
        <v>1445</v>
      </c>
      <c r="L49" s="582">
        <f t="shared" ref="L49" si="18">SUM(L50:L52)</f>
        <v>30000</v>
      </c>
      <c r="M49" s="318">
        <f>SUM(M50:M52)</f>
        <v>0</v>
      </c>
      <c r="N49" s="726">
        <f>SUM(N50:N52)</f>
        <v>30000</v>
      </c>
      <c r="O49" s="376">
        <f t="shared" si="14"/>
        <v>41.666666666666671</v>
      </c>
    </row>
    <row r="50" spans="1:15" ht="12.95" customHeight="1">
      <c r="B50" s="10"/>
      <c r="C50" s="11"/>
      <c r="D50" s="11"/>
      <c r="E50" s="316"/>
      <c r="F50" s="336">
        <v>821200</v>
      </c>
      <c r="G50" s="362"/>
      <c r="H50" s="11" t="s">
        <v>90</v>
      </c>
      <c r="I50" s="300">
        <v>35000</v>
      </c>
      <c r="J50" s="699">
        <v>35000</v>
      </c>
      <c r="K50" s="712">
        <v>835</v>
      </c>
      <c r="L50" s="583">
        <v>25000</v>
      </c>
      <c r="M50" s="310">
        <v>0</v>
      </c>
      <c r="N50" s="731">
        <f t="shared" ref="N50:N52" si="19">SUM(L50:M50)</f>
        <v>25000</v>
      </c>
      <c r="O50" s="377">
        <f t="shared" si="14"/>
        <v>71.428571428571431</v>
      </c>
    </row>
    <row r="51" spans="1:15" ht="12.95" customHeight="1">
      <c r="B51" s="10"/>
      <c r="C51" s="11"/>
      <c r="D51" s="11"/>
      <c r="E51" s="316"/>
      <c r="F51" s="336">
        <v>821300</v>
      </c>
      <c r="G51" s="362"/>
      <c r="H51" s="11" t="s">
        <v>91</v>
      </c>
      <c r="I51" s="303">
        <v>17000</v>
      </c>
      <c r="J51" s="709">
        <v>17000</v>
      </c>
      <c r="K51" s="719">
        <v>610</v>
      </c>
      <c r="L51" s="622">
        <v>5000</v>
      </c>
      <c r="M51" s="326">
        <v>0</v>
      </c>
      <c r="N51" s="731">
        <f t="shared" si="19"/>
        <v>5000</v>
      </c>
      <c r="O51" s="377">
        <f t="shared" si="14"/>
        <v>29.411764705882355</v>
      </c>
    </row>
    <row r="52" spans="1:15" ht="12.95" customHeight="1">
      <c r="B52" s="10"/>
      <c r="C52" s="11"/>
      <c r="D52" s="11"/>
      <c r="E52" s="316"/>
      <c r="F52" s="336">
        <v>821500</v>
      </c>
      <c r="G52" s="362"/>
      <c r="H52" s="11" t="s">
        <v>456</v>
      </c>
      <c r="I52" s="561">
        <v>20000</v>
      </c>
      <c r="J52" s="710">
        <v>20000</v>
      </c>
      <c r="K52" s="559">
        <v>0</v>
      </c>
      <c r="L52" s="827">
        <v>0</v>
      </c>
      <c r="M52" s="102">
        <v>0</v>
      </c>
      <c r="N52" s="731">
        <f t="shared" si="19"/>
        <v>0</v>
      </c>
      <c r="O52" s="377">
        <f t="shared" si="14"/>
        <v>0</v>
      </c>
    </row>
    <row r="53" spans="1:15" s="1" customFormat="1" ht="8.1" customHeight="1">
      <c r="A53" s="311"/>
      <c r="B53" s="10"/>
      <c r="C53" s="11"/>
      <c r="D53" s="11"/>
      <c r="E53" s="316"/>
      <c r="F53" s="336"/>
      <c r="G53" s="362"/>
      <c r="H53" s="11"/>
      <c r="I53" s="302"/>
      <c r="J53" s="700"/>
      <c r="K53" s="713"/>
      <c r="L53" s="582"/>
      <c r="M53" s="318"/>
      <c r="N53" s="726"/>
      <c r="O53" s="377" t="str">
        <f t="shared" si="14"/>
        <v/>
      </c>
    </row>
    <row r="54" spans="1:15" ht="12.95" customHeight="1">
      <c r="B54" s="12"/>
      <c r="C54" s="8"/>
      <c r="D54" s="8"/>
      <c r="E54" s="8"/>
      <c r="F54" s="335"/>
      <c r="G54" s="362"/>
      <c r="H54" s="8" t="s">
        <v>92</v>
      </c>
      <c r="I54" s="302">
        <v>6</v>
      </c>
      <c r="J54" s="700">
        <v>6</v>
      </c>
      <c r="K54" s="713">
        <v>6</v>
      </c>
      <c r="L54" s="582">
        <v>7</v>
      </c>
      <c r="M54" s="318"/>
      <c r="N54" s="726">
        <v>7</v>
      </c>
      <c r="O54" s="377"/>
    </row>
    <row r="55" spans="1:15" ht="12.95" customHeight="1">
      <c r="B55" s="12"/>
      <c r="C55" s="8"/>
      <c r="D55" s="8"/>
      <c r="E55" s="8"/>
      <c r="F55" s="335"/>
      <c r="G55" s="362"/>
      <c r="H55" s="8" t="s">
        <v>110</v>
      </c>
      <c r="I55" s="15">
        <f t="shared" ref="I55:N55" si="20">I8+I13+I18+I21+I34+I46+I49</f>
        <v>1961890</v>
      </c>
      <c r="J55" s="575">
        <f t="shared" si="20"/>
        <v>1761890</v>
      </c>
      <c r="K55" s="565">
        <f t="shared" si="20"/>
        <v>351643</v>
      </c>
      <c r="L55" s="582">
        <f t="shared" si="20"/>
        <v>1720620</v>
      </c>
      <c r="M55" s="318">
        <f t="shared" si="20"/>
        <v>0</v>
      </c>
      <c r="N55" s="726">
        <f t="shared" si="20"/>
        <v>1720620</v>
      </c>
      <c r="O55" s="376">
        <f t="shared" si="14"/>
        <v>97.657629023378306</v>
      </c>
    </row>
    <row r="56" spans="1:15" ht="12.95" customHeight="1">
      <c r="B56" s="12"/>
      <c r="C56" s="8"/>
      <c r="D56" s="8"/>
      <c r="E56" s="8"/>
      <c r="F56" s="335"/>
      <c r="G56" s="362"/>
      <c r="H56" s="8" t="s">
        <v>93</v>
      </c>
      <c r="I56" s="11"/>
      <c r="J56" s="11"/>
      <c r="K56" s="566"/>
      <c r="L56" s="315"/>
      <c r="M56" s="316"/>
      <c r="N56" s="734"/>
      <c r="O56" s="378"/>
    </row>
    <row r="57" spans="1:15" ht="12.95" customHeight="1">
      <c r="B57" s="12"/>
      <c r="C57" s="8"/>
      <c r="D57" s="8"/>
      <c r="E57" s="8"/>
      <c r="F57" s="335"/>
      <c r="G57" s="362"/>
      <c r="H57" s="8" t="s">
        <v>94</v>
      </c>
      <c r="I57" s="11"/>
      <c r="J57" s="11"/>
      <c r="K57" s="566"/>
      <c r="L57" s="315"/>
      <c r="M57" s="316"/>
      <c r="N57" s="734"/>
      <c r="O57" s="378"/>
    </row>
    <row r="58" spans="1:15" s="1" customFormat="1" ht="8.1" customHeight="1" thickBot="1">
      <c r="A58" s="311"/>
      <c r="B58" s="16"/>
      <c r="C58" s="17"/>
      <c r="D58" s="17"/>
      <c r="E58" s="17"/>
      <c r="F58" s="337"/>
      <c r="G58" s="363"/>
      <c r="H58" s="17"/>
      <c r="I58" s="17"/>
      <c r="J58" s="17"/>
      <c r="K58" s="567"/>
      <c r="L58" s="16"/>
      <c r="M58" s="17"/>
      <c r="N58" s="735"/>
      <c r="O58" s="379"/>
    </row>
    <row r="59" spans="1:15" s="1" customFormat="1" ht="15.95" customHeight="1">
      <c r="A59" s="311"/>
      <c r="B59" s="9"/>
      <c r="C59" s="9"/>
      <c r="D59" s="9"/>
      <c r="E59" s="314"/>
      <c r="F59" s="338"/>
      <c r="G59" s="364"/>
      <c r="H59" s="9"/>
      <c r="I59" s="9"/>
      <c r="J59" s="9"/>
      <c r="K59" s="9"/>
      <c r="L59" s="314"/>
      <c r="M59" s="314"/>
      <c r="N59" s="423"/>
      <c r="O59" s="380"/>
    </row>
    <row r="60" spans="1:15" s="1" customFormat="1" ht="15.95" customHeight="1">
      <c r="A60" s="311"/>
      <c r="B60" s="9"/>
      <c r="C60" s="9"/>
      <c r="D60" s="9"/>
      <c r="E60" s="314"/>
      <c r="F60" s="338"/>
      <c r="G60" s="364"/>
      <c r="H60" s="9"/>
      <c r="I60" s="9"/>
      <c r="J60" s="9"/>
      <c r="K60" s="9"/>
      <c r="L60" s="314"/>
      <c r="M60" s="314"/>
      <c r="N60" s="423"/>
      <c r="O60" s="380"/>
    </row>
    <row r="61" spans="1:15" s="1" customFormat="1" ht="12.95" customHeight="1">
      <c r="A61" s="311"/>
      <c r="B61" s="9"/>
      <c r="C61" s="9"/>
      <c r="D61" s="9"/>
      <c r="E61" s="314"/>
      <c r="F61" s="338"/>
      <c r="G61" s="364"/>
      <c r="H61" s="9"/>
      <c r="I61" s="9"/>
      <c r="J61" s="9"/>
      <c r="K61" s="9"/>
      <c r="L61" s="314"/>
      <c r="M61" s="314"/>
      <c r="N61" s="423"/>
      <c r="O61" s="380"/>
    </row>
    <row r="62" spans="1:15" ht="12.95" customHeight="1">
      <c r="F62" s="338"/>
      <c r="G62" s="364"/>
      <c r="N62" s="423"/>
    </row>
    <row r="63" spans="1:15" ht="14.25">
      <c r="F63" s="338"/>
      <c r="G63" s="364"/>
      <c r="N63" s="423"/>
    </row>
    <row r="64" spans="1:15" ht="14.25">
      <c r="F64" s="338"/>
      <c r="G64" s="364"/>
      <c r="N64" s="423"/>
    </row>
    <row r="65" spans="6:14" ht="14.25">
      <c r="F65" s="338"/>
      <c r="G65" s="364"/>
      <c r="N65" s="423"/>
    </row>
    <row r="66" spans="6:14" ht="14.25">
      <c r="F66" s="338"/>
      <c r="G66" s="364"/>
      <c r="N66" s="423"/>
    </row>
    <row r="67" spans="6:14" ht="14.25">
      <c r="F67" s="338"/>
      <c r="G67" s="364"/>
      <c r="N67" s="423"/>
    </row>
    <row r="68" spans="6:14" ht="14.25">
      <c r="F68" s="338"/>
      <c r="G68" s="364"/>
      <c r="N68" s="423"/>
    </row>
    <row r="69" spans="6:14" ht="14.25">
      <c r="F69" s="338"/>
      <c r="G69" s="364"/>
      <c r="N69" s="423"/>
    </row>
    <row r="70" spans="6:14" ht="14.25">
      <c r="F70" s="338"/>
      <c r="G70" s="364"/>
      <c r="N70" s="423"/>
    </row>
    <row r="71" spans="6:14" ht="14.25">
      <c r="F71" s="338"/>
      <c r="G71" s="364"/>
      <c r="N71" s="423"/>
    </row>
    <row r="72" spans="6:14" ht="14.25">
      <c r="F72" s="338"/>
      <c r="G72" s="364"/>
      <c r="N72" s="423"/>
    </row>
    <row r="73" spans="6:14" ht="14.25">
      <c r="F73" s="338"/>
      <c r="G73" s="338"/>
      <c r="N73" s="423"/>
    </row>
    <row r="74" spans="6:14" ht="14.25">
      <c r="F74" s="338"/>
      <c r="G74" s="338"/>
      <c r="N74" s="423"/>
    </row>
    <row r="75" spans="6:14" ht="14.25">
      <c r="F75" s="338"/>
      <c r="G75" s="338"/>
      <c r="N75" s="423"/>
    </row>
    <row r="76" spans="6:14" ht="14.25">
      <c r="F76" s="338"/>
      <c r="G76" s="338"/>
      <c r="N76" s="423"/>
    </row>
    <row r="77" spans="6:14" ht="14.25">
      <c r="F77" s="338"/>
      <c r="G77" s="338"/>
      <c r="N77" s="423"/>
    </row>
    <row r="78" spans="6:14" ht="14.25">
      <c r="F78" s="338"/>
      <c r="G78" s="338"/>
      <c r="N78" s="423"/>
    </row>
    <row r="79" spans="6:14" ht="14.25">
      <c r="F79" s="338"/>
      <c r="G79" s="338"/>
      <c r="N79" s="423"/>
    </row>
    <row r="80" spans="6:14" ht="14.25">
      <c r="F80" s="338"/>
      <c r="G80" s="338"/>
      <c r="N80" s="423"/>
    </row>
    <row r="81" spans="6:14" ht="14.25">
      <c r="F81" s="338"/>
      <c r="G81" s="338"/>
      <c r="N81" s="423"/>
    </row>
    <row r="82" spans="6:14" ht="14.25">
      <c r="F82" s="338"/>
      <c r="G82" s="338"/>
      <c r="N82" s="423"/>
    </row>
    <row r="83" spans="6:14" ht="14.25">
      <c r="F83" s="338"/>
      <c r="G83" s="338"/>
      <c r="N83" s="423"/>
    </row>
    <row r="84" spans="6:14" ht="14.25">
      <c r="F84" s="338"/>
      <c r="G84" s="338"/>
      <c r="N84" s="423"/>
    </row>
    <row r="85" spans="6:14" ht="14.25">
      <c r="F85" s="338"/>
      <c r="G85" s="338"/>
      <c r="N85" s="423"/>
    </row>
    <row r="86" spans="6:14" ht="14.25">
      <c r="F86" s="338"/>
      <c r="G86" s="338"/>
      <c r="N86" s="423"/>
    </row>
    <row r="87" spans="6:14" ht="14.25">
      <c r="F87" s="338"/>
      <c r="G87" s="338"/>
      <c r="N87" s="423"/>
    </row>
    <row r="88" spans="6:14" ht="14.25">
      <c r="F88" s="338"/>
      <c r="G88" s="338"/>
      <c r="N88" s="423"/>
    </row>
    <row r="89" spans="6:14" ht="14.25">
      <c r="F89" s="338"/>
      <c r="G89" s="338"/>
      <c r="N89" s="423"/>
    </row>
    <row r="90" spans="6:14">
      <c r="G90" s="338"/>
    </row>
    <row r="91" spans="6:14">
      <c r="G91" s="338"/>
    </row>
    <row r="92" spans="6:14">
      <c r="G92" s="338"/>
    </row>
    <row r="93" spans="6:14">
      <c r="G93" s="338"/>
    </row>
    <row r="94" spans="6:14">
      <c r="G94" s="338"/>
    </row>
    <row r="95" spans="6:14">
      <c r="G95" s="338"/>
    </row>
  </sheetData>
  <mergeCells count="14">
    <mergeCell ref="O4:O5"/>
    <mergeCell ref="H4:H5"/>
    <mergeCell ref="B2:N2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K4:K5"/>
    <mergeCell ref="E4:E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R96"/>
  <sheetViews>
    <sheetView zoomScaleNormal="100" workbookViewId="0">
      <selection activeCell="P25" sqref="P25"/>
    </sheetView>
  </sheetViews>
  <sheetFormatPr defaultRowHeight="12.75"/>
  <cols>
    <col min="1" max="1" width="9.140625" style="314"/>
    <col min="2" max="2" width="4.7109375" style="9" customWidth="1"/>
    <col min="3" max="3" width="5.140625" style="9" customWidth="1"/>
    <col min="4" max="4" width="5" style="9" customWidth="1"/>
    <col min="5" max="5" width="5" style="314" customWidth="1"/>
    <col min="6" max="6" width="8.7109375" style="18" customWidth="1"/>
    <col min="7" max="7" width="8.7109375" style="319" customWidth="1"/>
    <col min="8" max="8" width="50.7109375" style="9" customWidth="1"/>
    <col min="9" max="11" width="14.7109375" style="9" customWidth="1"/>
    <col min="12" max="13" width="14.7109375" style="314" customWidth="1"/>
    <col min="14" max="14" width="15.7109375" style="9" customWidth="1"/>
    <col min="15" max="15" width="7.7109375" style="380" customWidth="1"/>
    <col min="16" max="16384" width="9.140625" style="9"/>
  </cols>
  <sheetData>
    <row r="1" spans="1:18" ht="13.5" thickBot="1"/>
    <row r="2" spans="1:18" s="408" customFormat="1" ht="20.100000000000001" customHeight="1" thickTop="1" thickBot="1">
      <c r="B2" s="887" t="s">
        <v>791</v>
      </c>
      <c r="C2" s="888"/>
      <c r="D2" s="888"/>
      <c r="E2" s="888"/>
      <c r="F2" s="888"/>
      <c r="G2" s="888"/>
      <c r="H2" s="888"/>
      <c r="I2" s="888"/>
      <c r="J2" s="888"/>
      <c r="K2" s="888"/>
      <c r="L2" s="888"/>
      <c r="M2" s="888"/>
      <c r="N2" s="888"/>
      <c r="O2" s="412"/>
    </row>
    <row r="3" spans="1:18" s="1" customFormat="1" ht="8.1" customHeight="1" thickTop="1" thickBot="1">
      <c r="A3" s="311"/>
      <c r="E3" s="311"/>
      <c r="F3" s="2"/>
      <c r="G3" s="312"/>
      <c r="H3" s="890"/>
      <c r="I3" s="890"/>
      <c r="J3" s="282"/>
      <c r="K3" s="282"/>
      <c r="L3" s="107"/>
      <c r="M3" s="107"/>
      <c r="N3" s="107"/>
      <c r="O3" s="374"/>
    </row>
    <row r="4" spans="1:18" s="1" customFormat="1" ht="39" customHeight="1">
      <c r="A4" s="311"/>
      <c r="B4" s="894" t="s">
        <v>77</v>
      </c>
      <c r="C4" s="909" t="s">
        <v>78</v>
      </c>
      <c r="D4" s="910" t="s">
        <v>107</v>
      </c>
      <c r="E4" s="916" t="s">
        <v>828</v>
      </c>
      <c r="F4" s="911" t="s">
        <v>517</v>
      </c>
      <c r="G4" s="899" t="s">
        <v>556</v>
      </c>
      <c r="H4" s="900" t="s">
        <v>79</v>
      </c>
      <c r="I4" s="912" t="s">
        <v>697</v>
      </c>
      <c r="J4" s="913" t="s">
        <v>862</v>
      </c>
      <c r="K4" s="917" t="s">
        <v>863</v>
      </c>
      <c r="L4" s="908" t="s">
        <v>865</v>
      </c>
      <c r="M4" s="892"/>
      <c r="N4" s="893"/>
      <c r="O4" s="906" t="s">
        <v>866</v>
      </c>
      <c r="Q4" s="81"/>
    </row>
    <row r="5" spans="1:18" s="311" customFormat="1" ht="27" customHeight="1">
      <c r="B5" s="895"/>
      <c r="C5" s="897"/>
      <c r="D5" s="897"/>
      <c r="E5" s="897"/>
      <c r="F5" s="901"/>
      <c r="G5" s="897"/>
      <c r="H5" s="901"/>
      <c r="I5" s="901"/>
      <c r="J5" s="901"/>
      <c r="K5" s="905"/>
      <c r="L5" s="587" t="s">
        <v>601</v>
      </c>
      <c r="M5" s="404" t="s">
        <v>602</v>
      </c>
      <c r="N5" s="720" t="s">
        <v>349</v>
      </c>
      <c r="O5" s="907"/>
    </row>
    <row r="6" spans="1:18" s="2" customFormat="1" ht="12.95" customHeight="1">
      <c r="A6" s="312"/>
      <c r="B6" s="525">
        <v>1</v>
      </c>
      <c r="C6" s="361">
        <v>2</v>
      </c>
      <c r="D6" s="361">
        <v>3</v>
      </c>
      <c r="E6" s="361">
        <v>4</v>
      </c>
      <c r="F6" s="361">
        <v>5</v>
      </c>
      <c r="G6" s="361">
        <v>6</v>
      </c>
      <c r="H6" s="361">
        <v>7</v>
      </c>
      <c r="I6" s="361">
        <v>8</v>
      </c>
      <c r="J6" s="361">
        <v>9</v>
      </c>
      <c r="K6" s="526">
        <v>10</v>
      </c>
      <c r="L6" s="525">
        <v>11</v>
      </c>
      <c r="M6" s="361">
        <v>12</v>
      </c>
      <c r="N6" s="721" t="s">
        <v>830</v>
      </c>
      <c r="O6" s="527">
        <v>14</v>
      </c>
    </row>
    <row r="7" spans="1:18" s="2" customFormat="1" ht="12.95" customHeight="1">
      <c r="A7" s="312"/>
      <c r="B7" s="6" t="s">
        <v>115</v>
      </c>
      <c r="C7" s="7" t="s">
        <v>80</v>
      </c>
      <c r="D7" s="7" t="s">
        <v>113</v>
      </c>
      <c r="E7" s="667" t="s">
        <v>829</v>
      </c>
      <c r="F7" s="5"/>
      <c r="G7" s="313"/>
      <c r="H7" s="5"/>
      <c r="I7" s="5"/>
      <c r="J7" s="5"/>
      <c r="K7" s="574"/>
      <c r="L7" s="4"/>
      <c r="M7" s="313"/>
      <c r="N7" s="722"/>
      <c r="O7" s="375"/>
    </row>
    <row r="8" spans="1:18" s="1" customFormat="1" ht="12.95" customHeight="1">
      <c r="A8" s="311"/>
      <c r="B8" s="12"/>
      <c r="C8" s="8"/>
      <c r="D8" s="8"/>
      <c r="E8" s="8"/>
      <c r="F8" s="335">
        <v>611000</v>
      </c>
      <c r="G8" s="361"/>
      <c r="H8" s="8" t="s">
        <v>146</v>
      </c>
      <c r="I8" s="389">
        <f t="shared" ref="I8" si="0">SUM(I9:I12)</f>
        <v>0</v>
      </c>
      <c r="J8" s="389">
        <f t="shared" ref="J8" si="1">SUM(J9:J12)</f>
        <v>0</v>
      </c>
      <c r="K8" s="560">
        <f>SUM(K9:K11)</f>
        <v>0</v>
      </c>
      <c r="L8" s="695">
        <f t="shared" ref="L8" si="2">SUM(L9:L12)</f>
        <v>0</v>
      </c>
      <c r="M8" s="236">
        <f>SUM(M9:M12)</f>
        <v>0</v>
      </c>
      <c r="N8" s="723">
        <f>SUM(N9:N12)</f>
        <v>0</v>
      </c>
      <c r="O8" s="376" t="str">
        <f>IF(J8=0,"",N8/J8*100)</f>
        <v/>
      </c>
    </row>
    <row r="9" spans="1:18" ht="12.95" customHeight="1">
      <c r="B9" s="10"/>
      <c r="C9" s="11"/>
      <c r="D9" s="11"/>
      <c r="E9" s="316"/>
      <c r="F9" s="336">
        <v>611100</v>
      </c>
      <c r="G9" s="362"/>
      <c r="H9" s="20" t="s">
        <v>174</v>
      </c>
      <c r="I9" s="392">
        <v>0</v>
      </c>
      <c r="J9" s="392">
        <v>0</v>
      </c>
      <c r="K9" s="559">
        <v>0</v>
      </c>
      <c r="L9" s="568">
        <v>0</v>
      </c>
      <c r="M9" s="235">
        <v>0</v>
      </c>
      <c r="N9" s="724">
        <f>SUM(L9:M9)</f>
        <v>0</v>
      </c>
      <c r="O9" s="377" t="str">
        <f>IF(J9=0,"",N9/J9*100)</f>
        <v/>
      </c>
    </row>
    <row r="10" spans="1:18" ht="12.95" customHeight="1">
      <c r="B10" s="10"/>
      <c r="C10" s="11"/>
      <c r="D10" s="11"/>
      <c r="E10" s="316"/>
      <c r="F10" s="336">
        <v>611200</v>
      </c>
      <c r="G10" s="362"/>
      <c r="H10" s="11" t="s">
        <v>175</v>
      </c>
      <c r="I10" s="392">
        <v>0</v>
      </c>
      <c r="J10" s="392">
        <v>0</v>
      </c>
      <c r="K10" s="559">
        <v>0</v>
      </c>
      <c r="L10" s="568">
        <v>0</v>
      </c>
      <c r="M10" s="235">
        <v>0</v>
      </c>
      <c r="N10" s="724">
        <f t="shared" ref="N10:N11" si="3">SUM(L10:M10)</f>
        <v>0</v>
      </c>
      <c r="O10" s="377" t="str">
        <f t="shared" ref="O10:O33" si="4">IF(J10=0,"",N10/J10*100)</f>
        <v/>
      </c>
    </row>
    <row r="11" spans="1:18" ht="12.95" customHeight="1">
      <c r="B11" s="10"/>
      <c r="C11" s="11"/>
      <c r="D11" s="11"/>
      <c r="E11" s="316"/>
      <c r="F11" s="336">
        <v>611200</v>
      </c>
      <c r="G11" s="362"/>
      <c r="H11" s="210" t="s">
        <v>464</v>
      </c>
      <c r="I11" s="392">
        <f t="shared" ref="I11:J11" si="5">SUM(G11:H11)</f>
        <v>0</v>
      </c>
      <c r="J11" s="392">
        <f t="shared" si="5"/>
        <v>0</v>
      </c>
      <c r="K11" s="559">
        <v>0</v>
      </c>
      <c r="L11" s="568">
        <v>0</v>
      </c>
      <c r="M11" s="235">
        <v>0</v>
      </c>
      <c r="N11" s="724">
        <f t="shared" si="3"/>
        <v>0</v>
      </c>
      <c r="O11" s="377" t="str">
        <f t="shared" si="4"/>
        <v/>
      </c>
      <c r="Q11" s="62"/>
    </row>
    <row r="12" spans="1:18" ht="8.1" customHeight="1">
      <c r="B12" s="10"/>
      <c r="C12" s="11"/>
      <c r="D12" s="11"/>
      <c r="E12" s="316"/>
      <c r="F12" s="336"/>
      <c r="G12" s="362"/>
      <c r="H12" s="20"/>
      <c r="I12" s="392"/>
      <c r="J12" s="392"/>
      <c r="K12" s="559"/>
      <c r="L12" s="568"/>
      <c r="M12" s="235"/>
      <c r="N12" s="724"/>
      <c r="O12" s="377" t="str">
        <f t="shared" si="4"/>
        <v/>
      </c>
    </row>
    <row r="13" spans="1:18" s="1" customFormat="1" ht="12.95" customHeight="1">
      <c r="A13" s="311"/>
      <c r="B13" s="12"/>
      <c r="C13" s="8"/>
      <c r="D13" s="8"/>
      <c r="E13" s="8"/>
      <c r="F13" s="335">
        <v>612000</v>
      </c>
      <c r="G13" s="361"/>
      <c r="H13" s="8" t="s">
        <v>145</v>
      </c>
      <c r="I13" s="389">
        <f t="shared" ref="I13:L13" si="6">I14</f>
        <v>0</v>
      </c>
      <c r="J13" s="389">
        <f t="shared" si="6"/>
        <v>0</v>
      </c>
      <c r="K13" s="560">
        <f>K14</f>
        <v>0</v>
      </c>
      <c r="L13" s="695">
        <f t="shared" si="6"/>
        <v>0</v>
      </c>
      <c r="M13" s="236">
        <f>M14</f>
        <v>0</v>
      </c>
      <c r="N13" s="723">
        <f>N14</f>
        <v>0</v>
      </c>
      <c r="O13" s="376" t="str">
        <f t="shared" si="4"/>
        <v/>
      </c>
      <c r="R13" s="68"/>
    </row>
    <row r="14" spans="1:18" ht="12.95" customHeight="1">
      <c r="B14" s="10"/>
      <c r="C14" s="11"/>
      <c r="D14" s="11"/>
      <c r="E14" s="316"/>
      <c r="F14" s="336">
        <v>612100</v>
      </c>
      <c r="G14" s="362"/>
      <c r="H14" s="13" t="s">
        <v>82</v>
      </c>
      <c r="I14" s="392">
        <v>0</v>
      </c>
      <c r="J14" s="392">
        <v>0</v>
      </c>
      <c r="K14" s="559">
        <v>0</v>
      </c>
      <c r="L14" s="568">
        <v>0</v>
      </c>
      <c r="M14" s="235">
        <v>0</v>
      </c>
      <c r="N14" s="724">
        <f>SUM(L14:M14)</f>
        <v>0</v>
      </c>
      <c r="O14" s="377" t="str">
        <f t="shared" si="4"/>
        <v/>
      </c>
      <c r="R14" s="55"/>
    </row>
    <row r="15" spans="1:18" ht="8.1" customHeight="1">
      <c r="B15" s="10"/>
      <c r="C15" s="11"/>
      <c r="D15" s="11"/>
      <c r="E15" s="316"/>
      <c r="F15" s="336"/>
      <c r="G15" s="362"/>
      <c r="H15" s="11"/>
      <c r="I15" s="392"/>
      <c r="J15" s="392"/>
      <c r="K15" s="559"/>
      <c r="L15" s="569"/>
      <c r="M15" s="309"/>
      <c r="N15" s="725"/>
      <c r="O15" s="377" t="str">
        <f t="shared" si="4"/>
        <v/>
      </c>
    </row>
    <row r="16" spans="1:18" s="1" customFormat="1" ht="12.95" customHeight="1">
      <c r="A16" s="311"/>
      <c r="B16" s="12"/>
      <c r="C16" s="8"/>
      <c r="D16" s="8"/>
      <c r="E16" s="8"/>
      <c r="F16" s="335">
        <v>613000</v>
      </c>
      <c r="G16" s="361"/>
      <c r="H16" s="8" t="s">
        <v>147</v>
      </c>
      <c r="I16" s="389">
        <f t="shared" ref="I16" si="7">SUM(I17:I26)</f>
        <v>0</v>
      </c>
      <c r="J16" s="389">
        <f t="shared" ref="J16" si="8">SUM(J17:J26)</f>
        <v>0</v>
      </c>
      <c r="K16" s="560">
        <f>SUM(K17:K26)</f>
        <v>0</v>
      </c>
      <c r="L16" s="696">
        <f t="shared" ref="L16" si="9">SUM(L17:L26)</f>
        <v>0</v>
      </c>
      <c r="M16" s="323">
        <f>SUM(M17:M26)</f>
        <v>0</v>
      </c>
      <c r="N16" s="726">
        <f>SUM(N17:N26)</f>
        <v>0</v>
      </c>
      <c r="O16" s="376" t="str">
        <f t="shared" si="4"/>
        <v/>
      </c>
    </row>
    <row r="17" spans="1:16" ht="12.95" customHeight="1">
      <c r="B17" s="10"/>
      <c r="C17" s="11"/>
      <c r="D17" s="11"/>
      <c r="E17" s="316"/>
      <c r="F17" s="336">
        <v>613100</v>
      </c>
      <c r="G17" s="362"/>
      <c r="H17" s="11" t="s">
        <v>83</v>
      </c>
      <c r="I17" s="392">
        <v>0</v>
      </c>
      <c r="J17" s="392">
        <v>0</v>
      </c>
      <c r="K17" s="559">
        <v>0</v>
      </c>
      <c r="L17" s="569">
        <v>0</v>
      </c>
      <c r="M17" s="393">
        <v>0</v>
      </c>
      <c r="N17" s="724">
        <f t="shared" ref="N17:N26" si="10">SUM(L17:M17)</f>
        <v>0</v>
      </c>
      <c r="O17" s="377" t="str">
        <f t="shared" si="4"/>
        <v/>
      </c>
    </row>
    <row r="18" spans="1:16" ht="12.95" customHeight="1">
      <c r="B18" s="10"/>
      <c r="C18" s="11"/>
      <c r="D18" s="11"/>
      <c r="E18" s="316"/>
      <c r="F18" s="336">
        <v>613200</v>
      </c>
      <c r="G18" s="362"/>
      <c r="H18" s="11" t="s">
        <v>84</v>
      </c>
      <c r="I18" s="392">
        <f t="shared" ref="I18:J24" si="11">SUM(G18:H18)</f>
        <v>0</v>
      </c>
      <c r="J18" s="392">
        <f t="shared" si="11"/>
        <v>0</v>
      </c>
      <c r="K18" s="559">
        <v>0</v>
      </c>
      <c r="L18" s="569">
        <v>0</v>
      </c>
      <c r="M18" s="393">
        <v>0</v>
      </c>
      <c r="N18" s="724">
        <f t="shared" si="10"/>
        <v>0</v>
      </c>
      <c r="O18" s="377" t="str">
        <f t="shared" si="4"/>
        <v/>
      </c>
    </row>
    <row r="19" spans="1:16" ht="12.95" customHeight="1">
      <c r="B19" s="10"/>
      <c r="C19" s="11"/>
      <c r="D19" s="11"/>
      <c r="E19" s="316"/>
      <c r="F19" s="336">
        <v>613300</v>
      </c>
      <c r="G19" s="362"/>
      <c r="H19" s="20" t="s">
        <v>176</v>
      </c>
      <c r="I19" s="392">
        <v>0</v>
      </c>
      <c r="J19" s="392">
        <v>0</v>
      </c>
      <c r="K19" s="559">
        <v>0</v>
      </c>
      <c r="L19" s="569">
        <v>0</v>
      </c>
      <c r="M19" s="393">
        <v>0</v>
      </c>
      <c r="N19" s="724">
        <f t="shared" si="10"/>
        <v>0</v>
      </c>
      <c r="O19" s="377" t="str">
        <f t="shared" si="4"/>
        <v/>
      </c>
    </row>
    <row r="20" spans="1:16" ht="12.95" customHeight="1">
      <c r="B20" s="10"/>
      <c r="C20" s="11"/>
      <c r="D20" s="11"/>
      <c r="E20" s="316"/>
      <c r="F20" s="336">
        <v>613400</v>
      </c>
      <c r="G20" s="362"/>
      <c r="H20" s="11" t="s">
        <v>148</v>
      </c>
      <c r="I20" s="392">
        <f t="shared" si="11"/>
        <v>0</v>
      </c>
      <c r="J20" s="392">
        <f t="shared" si="11"/>
        <v>0</v>
      </c>
      <c r="K20" s="559">
        <v>0</v>
      </c>
      <c r="L20" s="569">
        <v>0</v>
      </c>
      <c r="M20" s="393">
        <v>0</v>
      </c>
      <c r="N20" s="724">
        <f t="shared" si="10"/>
        <v>0</v>
      </c>
      <c r="O20" s="377" t="str">
        <f t="shared" si="4"/>
        <v/>
      </c>
    </row>
    <row r="21" spans="1:16" ht="12.95" customHeight="1">
      <c r="B21" s="10"/>
      <c r="C21" s="11"/>
      <c r="D21" s="11"/>
      <c r="E21" s="316"/>
      <c r="F21" s="336">
        <v>613500</v>
      </c>
      <c r="G21" s="362"/>
      <c r="H21" s="11" t="s">
        <v>85</v>
      </c>
      <c r="I21" s="392">
        <f t="shared" si="11"/>
        <v>0</v>
      </c>
      <c r="J21" s="392">
        <f t="shared" si="11"/>
        <v>0</v>
      </c>
      <c r="K21" s="559">
        <v>0</v>
      </c>
      <c r="L21" s="569">
        <v>0</v>
      </c>
      <c r="M21" s="393">
        <v>0</v>
      </c>
      <c r="N21" s="724">
        <f t="shared" si="10"/>
        <v>0</v>
      </c>
      <c r="O21" s="377" t="str">
        <f t="shared" si="4"/>
        <v/>
      </c>
    </row>
    <row r="22" spans="1:16" ht="12.95" customHeight="1">
      <c r="B22" s="10"/>
      <c r="C22" s="11"/>
      <c r="D22" s="11"/>
      <c r="E22" s="316"/>
      <c r="F22" s="336">
        <v>613600</v>
      </c>
      <c r="G22" s="362"/>
      <c r="H22" s="20" t="s">
        <v>177</v>
      </c>
      <c r="I22" s="392">
        <f t="shared" si="11"/>
        <v>0</v>
      </c>
      <c r="J22" s="392">
        <f t="shared" si="11"/>
        <v>0</v>
      </c>
      <c r="K22" s="559">
        <v>0</v>
      </c>
      <c r="L22" s="569">
        <v>0</v>
      </c>
      <c r="M22" s="393">
        <v>0</v>
      </c>
      <c r="N22" s="724">
        <f t="shared" si="10"/>
        <v>0</v>
      </c>
      <c r="O22" s="377" t="str">
        <f t="shared" si="4"/>
        <v/>
      </c>
    </row>
    <row r="23" spans="1:16" ht="12.95" customHeight="1">
      <c r="B23" s="10"/>
      <c r="C23" s="11"/>
      <c r="D23" s="11"/>
      <c r="E23" s="316"/>
      <c r="F23" s="336">
        <v>613700</v>
      </c>
      <c r="G23" s="362"/>
      <c r="H23" s="11" t="s">
        <v>86</v>
      </c>
      <c r="I23" s="392">
        <v>0</v>
      </c>
      <c r="J23" s="392">
        <v>0</v>
      </c>
      <c r="K23" s="559">
        <v>0</v>
      </c>
      <c r="L23" s="569">
        <v>0</v>
      </c>
      <c r="M23" s="393">
        <v>0</v>
      </c>
      <c r="N23" s="724">
        <f t="shared" si="10"/>
        <v>0</v>
      </c>
      <c r="O23" s="377" t="str">
        <f t="shared" si="4"/>
        <v/>
      </c>
    </row>
    <row r="24" spans="1:16" ht="12.95" customHeight="1">
      <c r="B24" s="10"/>
      <c r="C24" s="11"/>
      <c r="D24" s="11"/>
      <c r="E24" s="316"/>
      <c r="F24" s="336">
        <v>613800</v>
      </c>
      <c r="G24" s="362"/>
      <c r="H24" s="11" t="s">
        <v>149</v>
      </c>
      <c r="I24" s="392">
        <f t="shared" si="11"/>
        <v>0</v>
      </c>
      <c r="J24" s="392">
        <f t="shared" si="11"/>
        <v>0</v>
      </c>
      <c r="K24" s="559">
        <v>0</v>
      </c>
      <c r="L24" s="569">
        <v>0</v>
      </c>
      <c r="M24" s="393">
        <v>0</v>
      </c>
      <c r="N24" s="724">
        <f t="shared" si="10"/>
        <v>0</v>
      </c>
      <c r="O24" s="377" t="str">
        <f t="shared" si="4"/>
        <v/>
      </c>
      <c r="P24" s="55"/>
    </row>
    <row r="25" spans="1:16" ht="12.95" customHeight="1">
      <c r="B25" s="10"/>
      <c r="C25" s="11"/>
      <c r="D25" s="11"/>
      <c r="E25" s="316"/>
      <c r="F25" s="336">
        <v>613900</v>
      </c>
      <c r="G25" s="362"/>
      <c r="H25" s="11" t="s">
        <v>150</v>
      </c>
      <c r="I25" s="392">
        <v>0</v>
      </c>
      <c r="J25" s="392">
        <v>0</v>
      </c>
      <c r="K25" s="559">
        <v>0</v>
      </c>
      <c r="L25" s="568">
        <v>0</v>
      </c>
      <c r="M25" s="396">
        <v>0</v>
      </c>
      <c r="N25" s="724">
        <f t="shared" si="10"/>
        <v>0</v>
      </c>
      <c r="O25" s="377" t="str">
        <f t="shared" si="4"/>
        <v/>
      </c>
    </row>
    <row r="26" spans="1:16" ht="12.95" customHeight="1">
      <c r="B26" s="10"/>
      <c r="C26" s="11"/>
      <c r="D26" s="11"/>
      <c r="E26" s="316"/>
      <c r="F26" s="336">
        <v>613900</v>
      </c>
      <c r="G26" s="362"/>
      <c r="H26" s="210" t="s">
        <v>465</v>
      </c>
      <c r="I26" s="392">
        <v>0</v>
      </c>
      <c r="J26" s="392">
        <v>0</v>
      </c>
      <c r="K26" s="559">
        <v>0</v>
      </c>
      <c r="L26" s="569">
        <v>0</v>
      </c>
      <c r="M26" s="393">
        <v>0</v>
      </c>
      <c r="N26" s="724">
        <f t="shared" si="10"/>
        <v>0</v>
      </c>
      <c r="O26" s="377" t="str">
        <f t="shared" si="4"/>
        <v/>
      </c>
    </row>
    <row r="27" spans="1:16" ht="8.1" customHeight="1">
      <c r="B27" s="10"/>
      <c r="C27" s="11"/>
      <c r="D27" s="11"/>
      <c r="E27" s="316"/>
      <c r="F27" s="336"/>
      <c r="G27" s="362"/>
      <c r="H27" s="11"/>
      <c r="I27" s="389"/>
      <c r="J27" s="389"/>
      <c r="K27" s="560"/>
      <c r="L27" s="694"/>
      <c r="M27" s="318"/>
      <c r="N27" s="726"/>
      <c r="O27" s="377" t="str">
        <f t="shared" si="4"/>
        <v/>
      </c>
    </row>
    <row r="28" spans="1:16" s="1" customFormat="1" ht="12.95" customHeight="1">
      <c r="A28" s="311"/>
      <c r="B28" s="12"/>
      <c r="C28" s="8"/>
      <c r="D28" s="8"/>
      <c r="E28" s="666"/>
      <c r="F28" s="346">
        <v>614000</v>
      </c>
      <c r="G28" s="373"/>
      <c r="H28" s="8" t="s">
        <v>178</v>
      </c>
      <c r="I28" s="389">
        <f t="shared" ref="I28:N28" si="12">SUM(I29:I29)</f>
        <v>0</v>
      </c>
      <c r="J28" s="389">
        <f t="shared" si="12"/>
        <v>0</v>
      </c>
      <c r="K28" s="560">
        <f t="shared" si="12"/>
        <v>0</v>
      </c>
      <c r="L28" s="694">
        <f t="shared" si="12"/>
        <v>0</v>
      </c>
      <c r="M28" s="318">
        <f t="shared" si="12"/>
        <v>0</v>
      </c>
      <c r="N28" s="726">
        <f t="shared" si="12"/>
        <v>0</v>
      </c>
      <c r="O28" s="376" t="str">
        <f t="shared" si="4"/>
        <v/>
      </c>
    </row>
    <row r="29" spans="1:16" ht="12.95" customHeight="1">
      <c r="B29" s="10"/>
      <c r="C29" s="11"/>
      <c r="D29" s="24"/>
      <c r="E29" s="24"/>
      <c r="F29" s="384">
        <v>614200</v>
      </c>
      <c r="G29" s="370" t="s">
        <v>568</v>
      </c>
      <c r="H29" s="41" t="s">
        <v>98</v>
      </c>
      <c r="I29" s="392">
        <v>0</v>
      </c>
      <c r="J29" s="392">
        <v>0</v>
      </c>
      <c r="K29" s="559">
        <v>0</v>
      </c>
      <c r="L29" s="568">
        <v>0</v>
      </c>
      <c r="M29" s="310">
        <v>0</v>
      </c>
      <c r="N29" s="724">
        <f>SUM(L29:M29)</f>
        <v>0</v>
      </c>
      <c r="O29" s="377" t="str">
        <f t="shared" si="4"/>
        <v/>
      </c>
    </row>
    <row r="30" spans="1:16" ht="8.1" customHeight="1">
      <c r="B30" s="10"/>
      <c r="C30" s="11"/>
      <c r="D30" s="11"/>
      <c r="E30" s="662"/>
      <c r="F30" s="344"/>
      <c r="G30" s="369"/>
      <c r="H30" s="11"/>
      <c r="I30" s="392"/>
      <c r="J30" s="392"/>
      <c r="K30" s="559"/>
      <c r="L30" s="569"/>
      <c r="M30" s="309"/>
      <c r="N30" s="725"/>
      <c r="O30" s="377" t="str">
        <f t="shared" si="4"/>
        <v/>
      </c>
    </row>
    <row r="31" spans="1:16" s="1" customFormat="1" ht="12.95" customHeight="1">
      <c r="A31" s="311"/>
      <c r="B31" s="12"/>
      <c r="C31" s="8"/>
      <c r="D31" s="8"/>
      <c r="E31" s="8"/>
      <c r="F31" s="335">
        <v>821000</v>
      </c>
      <c r="G31" s="361"/>
      <c r="H31" s="8" t="s">
        <v>89</v>
      </c>
      <c r="I31" s="389">
        <f t="shared" ref="I31" si="13">SUM(I32:I33)</f>
        <v>0</v>
      </c>
      <c r="J31" s="389">
        <f t="shared" ref="J31" si="14">SUM(J32:J33)</f>
        <v>0</v>
      </c>
      <c r="K31" s="560">
        <f>SUM(K32:K33)</f>
        <v>0</v>
      </c>
      <c r="L31" s="694">
        <f t="shared" ref="L31" si="15">SUM(L32:L33)</f>
        <v>0</v>
      </c>
      <c r="M31" s="318">
        <f>SUM(M32:M33)</f>
        <v>0</v>
      </c>
      <c r="N31" s="726">
        <f>SUM(N32:N33)</f>
        <v>0</v>
      </c>
      <c r="O31" s="376" t="str">
        <f t="shared" si="4"/>
        <v/>
      </c>
    </row>
    <row r="32" spans="1:16" ht="12.95" customHeight="1">
      <c r="B32" s="10"/>
      <c r="C32" s="11"/>
      <c r="D32" s="11"/>
      <c r="E32" s="316"/>
      <c r="F32" s="336">
        <v>821200</v>
      </c>
      <c r="G32" s="362"/>
      <c r="H32" s="11" t="s">
        <v>90</v>
      </c>
      <c r="I32" s="392">
        <f t="shared" ref="I32:J32" si="16">SUM(G32:H32)</f>
        <v>0</v>
      </c>
      <c r="J32" s="392">
        <f t="shared" si="16"/>
        <v>0</v>
      </c>
      <c r="K32" s="559">
        <v>0</v>
      </c>
      <c r="L32" s="568">
        <v>0</v>
      </c>
      <c r="M32" s="310">
        <v>0</v>
      </c>
      <c r="N32" s="724">
        <f t="shared" ref="N32:N33" si="17">SUM(L32:M32)</f>
        <v>0</v>
      </c>
      <c r="O32" s="377" t="str">
        <f t="shared" si="4"/>
        <v/>
      </c>
    </row>
    <row r="33" spans="1:15" ht="12.95" customHeight="1">
      <c r="B33" s="10"/>
      <c r="C33" s="11"/>
      <c r="D33" s="11"/>
      <c r="E33" s="316"/>
      <c r="F33" s="336">
        <v>821300</v>
      </c>
      <c r="G33" s="362"/>
      <c r="H33" s="11" t="s">
        <v>91</v>
      </c>
      <c r="I33" s="392">
        <v>0</v>
      </c>
      <c r="J33" s="392">
        <v>0</v>
      </c>
      <c r="K33" s="559">
        <v>0</v>
      </c>
      <c r="L33" s="569">
        <v>0</v>
      </c>
      <c r="M33" s="309">
        <v>0</v>
      </c>
      <c r="N33" s="724">
        <f t="shared" si="17"/>
        <v>0</v>
      </c>
      <c r="O33" s="377" t="str">
        <f t="shared" si="4"/>
        <v/>
      </c>
    </row>
    <row r="34" spans="1:15" ht="8.1" customHeight="1">
      <c r="B34" s="10"/>
      <c r="C34" s="11"/>
      <c r="D34" s="11"/>
      <c r="E34" s="316"/>
      <c r="F34" s="336"/>
      <c r="G34" s="362"/>
      <c r="H34" s="11"/>
      <c r="I34" s="392"/>
      <c r="J34" s="392"/>
      <c r="K34" s="559"/>
      <c r="L34" s="569"/>
      <c r="M34" s="309"/>
      <c r="N34" s="725"/>
      <c r="O34" s="377" t="str">
        <f>IF(J34=0,"",N34/J34*100)</f>
        <v/>
      </c>
    </row>
    <row r="35" spans="1:15" s="1" customFormat="1" ht="12.95" customHeight="1">
      <c r="A35" s="311"/>
      <c r="B35" s="12"/>
      <c r="C35" s="8"/>
      <c r="D35" s="8"/>
      <c r="E35" s="8"/>
      <c r="F35" s="335"/>
      <c r="G35" s="361"/>
      <c r="H35" s="8" t="s">
        <v>92</v>
      </c>
      <c r="I35" s="389">
        <v>0</v>
      </c>
      <c r="J35" s="389">
        <v>0</v>
      </c>
      <c r="K35" s="560">
        <v>0</v>
      </c>
      <c r="L35" s="695">
        <v>0</v>
      </c>
      <c r="M35" s="325"/>
      <c r="N35" s="726">
        <v>0</v>
      </c>
      <c r="O35" s="377"/>
    </row>
    <row r="36" spans="1:15" s="1" customFormat="1" ht="12.95" customHeight="1">
      <c r="A36" s="311"/>
      <c r="B36" s="12"/>
      <c r="C36" s="8"/>
      <c r="D36" s="8"/>
      <c r="E36" s="8"/>
      <c r="F36" s="335"/>
      <c r="G36" s="361"/>
      <c r="H36" s="8" t="s">
        <v>110</v>
      </c>
      <c r="I36" s="15">
        <f t="shared" ref="I36:N36" si="18">I31+I28+I16+I13+I8</f>
        <v>0</v>
      </c>
      <c r="J36" s="15">
        <f t="shared" si="18"/>
        <v>0</v>
      </c>
      <c r="K36" s="565">
        <f t="shared" si="18"/>
        <v>0</v>
      </c>
      <c r="L36" s="582">
        <f t="shared" si="18"/>
        <v>0</v>
      </c>
      <c r="M36" s="318">
        <f t="shared" si="18"/>
        <v>0</v>
      </c>
      <c r="N36" s="726">
        <f t="shared" si="18"/>
        <v>0</v>
      </c>
      <c r="O36" s="376" t="str">
        <f>IF(J36=0,"",N36/J36*100)</f>
        <v/>
      </c>
    </row>
    <row r="37" spans="1:15" s="1" customFormat="1" ht="12.95" customHeight="1">
      <c r="A37" s="311"/>
      <c r="B37" s="12"/>
      <c r="C37" s="8"/>
      <c r="D37" s="8"/>
      <c r="E37" s="8"/>
      <c r="F37" s="335"/>
      <c r="G37" s="361"/>
      <c r="H37" s="8" t="s">
        <v>93</v>
      </c>
      <c r="I37" s="15"/>
      <c r="J37" s="15"/>
      <c r="K37" s="565"/>
      <c r="L37" s="582"/>
      <c r="M37" s="318"/>
      <c r="N37" s="726"/>
      <c r="O37" s="383"/>
    </row>
    <row r="38" spans="1:15" s="1" customFormat="1" ht="12.95" customHeight="1">
      <c r="A38" s="311"/>
      <c r="B38" s="12"/>
      <c r="C38" s="8"/>
      <c r="D38" s="8"/>
      <c r="E38" s="8"/>
      <c r="F38" s="335"/>
      <c r="G38" s="361"/>
      <c r="H38" s="8" t="s">
        <v>94</v>
      </c>
      <c r="I38" s="30"/>
      <c r="J38" s="30"/>
      <c r="K38" s="636"/>
      <c r="L38" s="580"/>
      <c r="M38" s="309"/>
      <c r="N38" s="725"/>
      <c r="O38" s="378"/>
    </row>
    <row r="39" spans="1:15" ht="8.1" customHeight="1" thickBot="1">
      <c r="B39" s="16"/>
      <c r="C39" s="17"/>
      <c r="D39" s="17"/>
      <c r="E39" s="17"/>
      <c r="F39" s="337"/>
      <c r="G39" s="363"/>
      <c r="H39" s="17"/>
      <c r="I39" s="17"/>
      <c r="J39" s="17"/>
      <c r="K39" s="27"/>
      <c r="L39" s="16"/>
      <c r="M39" s="17"/>
      <c r="N39" s="735"/>
      <c r="O39" s="379"/>
    </row>
    <row r="40" spans="1:15" ht="12.95" customHeight="1">
      <c r="F40" s="338"/>
      <c r="G40" s="364"/>
      <c r="N40" s="423"/>
    </row>
    <row r="41" spans="1:15" ht="12.95" customHeight="1">
      <c r="B41" s="55"/>
      <c r="F41" s="338"/>
      <c r="G41" s="364"/>
      <c r="N41" s="423"/>
    </row>
    <row r="42" spans="1:15" ht="12.95" customHeight="1">
      <c r="F42" s="338"/>
      <c r="G42" s="364"/>
      <c r="N42" s="423"/>
    </row>
    <row r="43" spans="1:15" ht="12.95" customHeight="1">
      <c r="F43" s="338"/>
      <c r="G43" s="364"/>
      <c r="N43" s="423"/>
    </row>
    <row r="44" spans="1:15" ht="12.95" customHeight="1">
      <c r="F44" s="338"/>
      <c r="G44" s="364"/>
      <c r="N44" s="423"/>
    </row>
    <row r="45" spans="1:15" ht="12.95" customHeight="1">
      <c r="F45" s="338"/>
      <c r="G45" s="364"/>
      <c r="N45" s="423"/>
    </row>
    <row r="46" spans="1:15" ht="12.95" customHeight="1">
      <c r="F46" s="338"/>
      <c r="G46" s="364"/>
      <c r="N46" s="423"/>
    </row>
    <row r="47" spans="1:15" ht="12.95" customHeight="1">
      <c r="F47" s="338"/>
      <c r="G47" s="364"/>
      <c r="N47" s="423"/>
    </row>
    <row r="48" spans="1:15" ht="12.95" customHeight="1">
      <c r="F48" s="338"/>
      <c r="G48" s="364"/>
      <c r="N48" s="423"/>
    </row>
    <row r="49" spans="6:14" ht="12.95" customHeight="1">
      <c r="F49" s="338"/>
      <c r="G49" s="364"/>
      <c r="N49" s="423"/>
    </row>
    <row r="50" spans="6:14" ht="12.95" customHeight="1">
      <c r="F50" s="338"/>
      <c r="G50" s="364"/>
      <c r="N50" s="423"/>
    </row>
    <row r="51" spans="6:14" ht="12.95" customHeight="1">
      <c r="F51" s="338"/>
      <c r="G51" s="364"/>
      <c r="N51" s="423"/>
    </row>
    <row r="52" spans="6:14" ht="12.95" customHeight="1">
      <c r="F52" s="338"/>
      <c r="G52" s="364"/>
      <c r="N52" s="423"/>
    </row>
    <row r="53" spans="6:14" ht="12.95" customHeight="1">
      <c r="F53" s="338"/>
      <c r="G53" s="364"/>
      <c r="N53" s="423"/>
    </row>
    <row r="54" spans="6:14" ht="12.95" customHeight="1">
      <c r="F54" s="338"/>
      <c r="G54" s="364"/>
      <c r="N54" s="423"/>
    </row>
    <row r="55" spans="6:14" ht="12.95" customHeight="1">
      <c r="F55" s="338"/>
      <c r="G55" s="364"/>
      <c r="N55" s="423"/>
    </row>
    <row r="56" spans="6:14" ht="12.95" customHeight="1">
      <c r="F56" s="338"/>
      <c r="G56" s="364"/>
      <c r="N56" s="423"/>
    </row>
    <row r="57" spans="6:14" ht="12.95" customHeight="1">
      <c r="F57" s="338"/>
      <c r="G57" s="364"/>
      <c r="N57" s="423"/>
    </row>
    <row r="58" spans="6:14" ht="12.95" customHeight="1">
      <c r="F58" s="338"/>
      <c r="G58" s="364"/>
      <c r="N58" s="423"/>
    </row>
    <row r="59" spans="6:14" ht="12.95" customHeight="1">
      <c r="F59" s="338"/>
      <c r="G59" s="364"/>
      <c r="N59" s="423"/>
    </row>
    <row r="60" spans="6:14" ht="17.100000000000001" customHeight="1">
      <c r="F60" s="338"/>
      <c r="G60" s="364"/>
      <c r="N60" s="423"/>
    </row>
    <row r="61" spans="6:14" ht="14.25">
      <c r="F61" s="338"/>
      <c r="G61" s="364"/>
      <c r="N61" s="423"/>
    </row>
    <row r="62" spans="6:14" ht="14.25">
      <c r="F62" s="338"/>
      <c r="G62" s="364"/>
      <c r="N62" s="423"/>
    </row>
    <row r="63" spans="6:14" ht="14.25">
      <c r="F63" s="338"/>
      <c r="G63" s="364"/>
      <c r="N63" s="423"/>
    </row>
    <row r="64" spans="6:14" ht="14.25">
      <c r="F64" s="338"/>
      <c r="G64" s="364"/>
      <c r="N64" s="423"/>
    </row>
    <row r="65" spans="6:14" ht="14.25">
      <c r="F65" s="338"/>
      <c r="G65" s="364"/>
      <c r="N65" s="423"/>
    </row>
    <row r="66" spans="6:14" ht="14.25">
      <c r="F66" s="338"/>
      <c r="G66" s="364"/>
      <c r="N66" s="423"/>
    </row>
    <row r="67" spans="6:14" ht="14.25">
      <c r="F67" s="338"/>
      <c r="G67" s="364"/>
      <c r="N67" s="423"/>
    </row>
    <row r="68" spans="6:14" ht="14.25">
      <c r="F68" s="338"/>
      <c r="G68" s="364"/>
      <c r="N68" s="423"/>
    </row>
    <row r="69" spans="6:14" ht="14.25">
      <c r="F69" s="338"/>
      <c r="G69" s="364"/>
      <c r="N69" s="423"/>
    </row>
    <row r="70" spans="6:14" ht="14.25">
      <c r="F70" s="338"/>
      <c r="G70" s="364"/>
      <c r="N70" s="423"/>
    </row>
    <row r="71" spans="6:14" ht="14.25">
      <c r="F71" s="338"/>
      <c r="G71" s="364"/>
      <c r="N71" s="423"/>
    </row>
    <row r="72" spans="6:14" ht="14.25">
      <c r="F72" s="338"/>
      <c r="G72" s="364"/>
      <c r="N72" s="423"/>
    </row>
    <row r="73" spans="6:14" ht="14.25">
      <c r="F73" s="338"/>
      <c r="G73" s="364"/>
      <c r="N73" s="423"/>
    </row>
    <row r="74" spans="6:14" ht="14.25">
      <c r="F74" s="338"/>
      <c r="G74" s="338"/>
      <c r="N74" s="423"/>
    </row>
    <row r="75" spans="6:14" ht="14.25">
      <c r="F75" s="338"/>
      <c r="G75" s="338"/>
      <c r="N75" s="423"/>
    </row>
    <row r="76" spans="6:14" ht="14.25">
      <c r="F76" s="338"/>
      <c r="G76" s="338"/>
      <c r="N76" s="423"/>
    </row>
    <row r="77" spans="6:14" ht="14.25">
      <c r="F77" s="338"/>
      <c r="G77" s="338"/>
      <c r="N77" s="423"/>
    </row>
    <row r="78" spans="6:14" ht="14.25">
      <c r="F78" s="338"/>
      <c r="G78" s="338"/>
      <c r="N78" s="423"/>
    </row>
    <row r="79" spans="6:14" ht="14.25">
      <c r="F79" s="338"/>
      <c r="G79" s="338"/>
      <c r="N79" s="423"/>
    </row>
    <row r="80" spans="6:14" ht="14.25">
      <c r="F80" s="338"/>
      <c r="G80" s="338"/>
      <c r="N80" s="423"/>
    </row>
    <row r="81" spans="6:14" ht="14.25">
      <c r="F81" s="338"/>
      <c r="G81" s="338"/>
      <c r="N81" s="423"/>
    </row>
    <row r="82" spans="6:14" ht="14.25">
      <c r="F82" s="338"/>
      <c r="G82" s="338"/>
      <c r="N82" s="423"/>
    </row>
    <row r="83" spans="6:14" ht="14.25">
      <c r="F83" s="338"/>
      <c r="G83" s="338"/>
      <c r="N83" s="423"/>
    </row>
    <row r="84" spans="6:14" ht="14.25">
      <c r="F84" s="338"/>
      <c r="G84" s="338"/>
      <c r="N84" s="423"/>
    </row>
    <row r="85" spans="6:14" ht="14.25">
      <c r="F85" s="338"/>
      <c r="G85" s="338"/>
      <c r="N85" s="423"/>
    </row>
    <row r="86" spans="6:14" ht="14.25">
      <c r="F86" s="338"/>
      <c r="G86" s="338"/>
      <c r="N86" s="423"/>
    </row>
    <row r="87" spans="6:14" ht="14.25">
      <c r="F87" s="338"/>
      <c r="G87" s="338"/>
      <c r="N87" s="423"/>
    </row>
    <row r="88" spans="6:14" ht="14.25">
      <c r="F88" s="338"/>
      <c r="G88" s="338"/>
      <c r="N88" s="423"/>
    </row>
    <row r="89" spans="6:14" ht="14.25">
      <c r="F89" s="338"/>
      <c r="G89" s="338"/>
      <c r="N89" s="423"/>
    </row>
    <row r="90" spans="6:14" ht="14.25">
      <c r="F90" s="338"/>
      <c r="G90" s="338"/>
      <c r="N90" s="423"/>
    </row>
    <row r="91" spans="6:14">
      <c r="G91" s="338"/>
    </row>
    <row r="92" spans="6:14">
      <c r="G92" s="338"/>
    </row>
    <row r="93" spans="6:14">
      <c r="G93" s="338"/>
    </row>
    <row r="94" spans="6:14">
      <c r="G94" s="338"/>
    </row>
    <row r="95" spans="6:14">
      <c r="G95" s="338"/>
    </row>
    <row r="96" spans="6:14">
      <c r="G96" s="338"/>
    </row>
  </sheetData>
  <mergeCells count="14">
    <mergeCell ref="O4:O5"/>
    <mergeCell ref="H4:H5"/>
    <mergeCell ref="B2:N2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K4:K5"/>
    <mergeCell ref="E4:E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46</vt:i4>
      </vt:variant>
      <vt:variant>
        <vt:lpstr>Imenovani rasponi</vt:lpstr>
      </vt:variant>
      <vt:variant>
        <vt:i4>13</vt:i4>
      </vt:variant>
    </vt:vector>
  </HeadingPairs>
  <TitlesOfParts>
    <vt:vector size="59" baseType="lpstr">
      <vt:lpstr>Naslovnica</vt:lpstr>
      <vt:lpstr>Sadrzaj</vt:lpstr>
      <vt:lpstr>Uvod</vt:lpstr>
      <vt:lpstr>Prihodi</vt:lpstr>
      <vt:lpstr>Rashodi</vt:lpstr>
      <vt:lpstr>1</vt:lpstr>
      <vt:lpstr>3</vt:lpstr>
      <vt:lpstr>4 (S)</vt:lpstr>
      <vt:lpstr>5</vt:lpstr>
      <vt:lpstr>6</vt:lpstr>
      <vt:lpstr>7</vt:lpstr>
      <vt:lpstr>4 (N)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Sumarno</vt:lpstr>
      <vt:lpstr>Funkcijska</vt:lpstr>
      <vt:lpstr>Kap.pror.</vt:lpstr>
      <vt:lpstr>Kraj</vt:lpstr>
      <vt:lpstr>Funkcijska!Ispis_naslova</vt:lpstr>
      <vt:lpstr>Prihodi!Ispis_naslova</vt:lpstr>
      <vt:lpstr>Rashodi!Ispis_naslova</vt:lpstr>
      <vt:lpstr>'15'!Podrucje_ispisa</vt:lpstr>
      <vt:lpstr>'16'!Podrucje_ispisa</vt:lpstr>
      <vt:lpstr>'17'!Podrucje_ispisa</vt:lpstr>
      <vt:lpstr>'21'!Podrucje_ispisa</vt:lpstr>
      <vt:lpstr>Funkcijska!Podrucje_ispisa</vt:lpstr>
      <vt:lpstr>Kraj!Podrucje_ispisa</vt:lpstr>
      <vt:lpstr>Prihodi!Podrucje_ispisa</vt:lpstr>
      <vt:lpstr>Rashodi!Podrucje_ispisa</vt:lpstr>
      <vt:lpstr>Sadrzaj!Podrucje_ispisa</vt:lpstr>
      <vt:lpstr>Uvod!Podrucje_ispisa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operater</dc:creator>
  <cp:lastModifiedBy>Ružica Živković</cp:lastModifiedBy>
  <cp:lastPrinted>2020-06-09T10:58:24Z</cp:lastPrinted>
  <dcterms:created xsi:type="dcterms:W3CDTF">2004-07-23T11:14:23Z</dcterms:created>
  <dcterms:modified xsi:type="dcterms:W3CDTF">2020-06-09T10:58:29Z</dcterms:modified>
</cp:coreProperties>
</file>